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14" activeTab="1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已废)" sheetId="70" state="hidden" r:id="rId13"/>
    <sheet name="面积表" sheetId="71" r:id="rId14"/>
    <sheet name="数据-汇总表" sheetId="6" r:id="rId15"/>
    <sheet name="数据-取费表" sheetId="1" r:id="rId16"/>
    <sheet name="估价对象房地状况" sheetId="20" r:id="rId17"/>
    <sheet name="系统读取表" sheetId="66" r:id="rId18"/>
    <sheet name="结果表" sheetId="9" r:id="rId19"/>
    <sheet name="剩余法-待开发" sheetId="12"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收益法 (车库)" sheetId="68" r:id="rId42"/>
    <sheet name="存贷款利率" sheetId="65" state="hidden" r:id="rId43"/>
    <sheet name="Sheet2" sheetId="69" r:id="rId44"/>
    <sheet name="不动产比较法-(商业)" sheetId="72" state="hidden" r:id="rId45"/>
    <sheet name="Sheet1" sheetId="73" state="hidden" r:id="rId46"/>
  </sheets>
  <externalReferences>
    <externalReference r:id="rId47"/>
  </externalReferences>
  <definedNames>
    <definedName name="_xlnm._FilterDatabase" localSheetId="22" hidden="1">'比较法-工业'!$A$1:$L$45</definedName>
    <definedName name="_xlnm._FilterDatabase" localSheetId="21" hidden="1">'比较法-住宅、综合'!$A$1:$L$50</definedName>
    <definedName name="_xlnm._FilterDatabase" localSheetId="44" hidden="1">'不动产比较法-(商业)'!$A$1:$L$49</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4">'[1]不动产比较法-办公'!$B$119:$M$119</definedName>
    <definedName name="办公层高">'不动产比较法-办公'!$B$119:$M$119</definedName>
    <definedName name="办公朝向" localSheetId="44">'[1]不动产比较法-办公'!$B$91:$M$91</definedName>
    <definedName name="办公朝向">'不动产比较法-办公'!$B$91:$M$91</definedName>
    <definedName name="办公道路级别" localSheetId="44">'[1]不动产比较法-办公'!$B$87:$M$87</definedName>
    <definedName name="办公道路级别">'不动产比较法-办公'!$B$87:$M$87</definedName>
    <definedName name="办公公共部分装修" localSheetId="44">'[1]不动产比较法-办公'!$B$108:$M$108</definedName>
    <definedName name="办公公共部分装修">'不动产比较法-办公'!$B$108:$M$108</definedName>
    <definedName name="办公基础设施水平" localSheetId="44">'[1]不动产比较法-办公'!$B$117:$M$117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'[1]不动产比较法-办公'!$B$106:$M$106</definedName>
    <definedName name="办公建筑结构">'不动产比较法-办公'!$B$106:$M$106</definedName>
    <definedName name="办公建筑类型" localSheetId="44">'[1]不动产比较法-办公'!$B$101:$M$101</definedName>
    <definedName name="办公建筑类型">'不动产比较法-办公'!$B$101:$M$101</definedName>
    <definedName name="办公交易情况" localSheetId="44">'[1]不动产比较法-办公'!$A$62:$M$62</definedName>
    <definedName name="办公交易情况">'不动产比较法-办公'!$A$62:$M$62</definedName>
    <definedName name="办公楼层" localSheetId="44">'[1]不动产比较法-办公'!$B$89:$M$89</definedName>
    <definedName name="办公楼层">'不动产比较法-办公'!$B$89:$M$89</definedName>
    <definedName name="办公内部装修" localSheetId="44">'[1]不动产比较法-办公'!$B$123:$M$123</definedName>
    <definedName name="办公内部装修">'不动产比较法-办公'!$B$123:$M$123</definedName>
    <definedName name="办公物业管理" localSheetId="44">'[1]不动产比较法-办公'!$B$115:$M$115</definedName>
    <definedName name="办公物业管理">'不动产比较法-办公'!$B$115:$M$115</definedName>
    <definedName name="办公用途" localSheetId="44">'[1]不动产比较法-办公'!$B$64:$M$64</definedName>
    <definedName name="办公用途">'不动产比较法-办公'!$B$64:$M$64</definedName>
    <definedName name="仓储公共部分装修" localSheetId="44">'[1]不动产比较法-仓储'!$B$77:$M$77</definedName>
    <definedName name="仓储公共部分装修">'不动产比较法-仓储'!$B$77:$M$77</definedName>
    <definedName name="仓储交易情况" localSheetId="44">'[1]不动产比较法-仓储'!$A$49:$M$49</definedName>
    <definedName name="仓储交易情况">'不动产比较法-仓储'!$A$49:$M$49</definedName>
    <definedName name="仓储楼层" localSheetId="44">'[1]不动产比较法-仓储'!$B$69:$M$69</definedName>
    <definedName name="仓储楼层">'不动产比较法-仓储'!$B$69:$M$69</definedName>
    <definedName name="仓储物业等级" localSheetId="44">'[1]不动产比较法-仓储'!$B$82:$M$82</definedName>
    <definedName name="仓储物业等级">'不动产比较法-仓储'!$B$82:$M$82</definedName>
    <definedName name="仓储用途" localSheetId="44">'[1]不动产比较法-仓储'!$B$51:$M$51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'[1]不动产比较法-车位'!$B$83:$M$83</definedName>
    <definedName name="车位公共部分装修">'不动产比较法-车位'!$B$83:$M$83</definedName>
    <definedName name="车位交易情况" localSheetId="44">'[1]不动产比较法-车位'!$A$51:$M$51</definedName>
    <definedName name="车位交易情况">'不动产比较法-车位'!$A$51:$M$51</definedName>
    <definedName name="车位类型" localSheetId="44">'[1]不动产比较法-车位'!$B$93:$M$93</definedName>
    <definedName name="车位类型">'不动产比较法-车位'!$B$93:$M$93</definedName>
    <definedName name="车位楼层" localSheetId="44">'[1]不动产比较法-车位'!$B$71:$M$71</definedName>
    <definedName name="车位楼层">'不动产比较法-车位'!$B$71:$M$71</definedName>
    <definedName name="车位配套类型" localSheetId="44">'[1]不动产比较法-车位'!$B$79:$M$79</definedName>
    <definedName name="车位配套类型">'不动产比较法-车位'!$B$79:$M$79</definedName>
    <definedName name="车位物业等级" localSheetId="44">'[1]不动产比较法-车位'!$B$88:$M$88</definedName>
    <definedName name="车位物业等级">'不动产比较法-车位'!$B$88:$M$88</definedName>
    <definedName name="车位用途" localSheetId="44">'[1]不动产比较法-车位'!$B$53:$M$53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区片价!$J$1:$J$20</definedName>
    <definedName name="二级分类" localSheetId="44">[1]修正!$C$17:$C$39</definedName>
    <definedName name="二级分类">修正!$C$17:$C$39</definedName>
    <definedName name="法定最高年限" localSheetId="44">[1]定义!$G$2:$G$4</definedName>
    <definedName name="法定最高年限">定义!$G$2:$G$4</definedName>
    <definedName name="工业公共部分装修" localSheetId="44">'[1]不动产比较法-工业'!$B$95:$M$95</definedName>
    <definedName name="工业公共部分装修">'不动产比较法-工业'!$B$95:$M$95</definedName>
    <definedName name="工业基础设施水平" localSheetId="44">'[1]不动产比较法-工业'!$B$102:$M$102</definedName>
    <definedName name="工业基础设施水平">'不动产比较法-工业'!$B$102:$M$102</definedName>
    <definedName name="工业建筑结构" localSheetId="44">'[1]不动产比较法-工业'!$B$93:$M$93</definedName>
    <definedName name="工业建筑结构">'不动产比较法-工业'!$B$93:$M$93</definedName>
    <definedName name="工业建筑类型" localSheetId="44">'[1]不动产比较法-工业'!$B$88:$M$88</definedName>
    <definedName name="工业建筑类型">'不动产比较法-工业'!$B$88:$M$88</definedName>
    <definedName name="工业交易情况" localSheetId="44">'[1]不动产比较法-工业'!$A$55:$M$55</definedName>
    <definedName name="工业交易情况">'不动产比较法-工业'!$A$55:$M$55</definedName>
    <definedName name="工业内部装修" localSheetId="44">'[1]不动产比较法-工业'!$B$104:$M$104</definedName>
    <definedName name="工业内部装修">'不动产比较法-工业'!$B$104:$M$104</definedName>
    <definedName name="工业物业管理" localSheetId="44">'[1]不动产比较法-工业'!$B$100:$M$100</definedName>
    <definedName name="工业物业管理">'不动产比较法-工业'!$B$100:$M$100</definedName>
    <definedName name="工业用途" localSheetId="44">'[1]不动产比较法-工业'!$B$57:$M$57</definedName>
    <definedName name="工业用途">'不动产比较法-工业'!$B$57:$M$57</definedName>
    <definedName name="公共配套设施" localSheetId="44">[1]定义!$Q$1:$Q$6</definedName>
    <definedName name="公共配套设施">定义!$Q$1:$Q$6</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基准地价!$N$19:$AB$19</definedName>
    <definedName name="季度2014">地价!$A$2:$A$27</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区片价!$Q$1:$Q$46</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区片价!$N$1:$N$49</definedName>
    <definedName name="内部装修维护情况" localSheetId="44">[1]定义!$U$1:$U$6</definedName>
    <definedName name="内部装修维护情况">定义!$U$1:$U$6</definedName>
    <definedName name="判定" localSheetId="44">[1]定义!$D$1:$D$4</definedName>
    <definedName name="判定">定义!$D$1:$D$4</definedName>
    <definedName name="七级">区片价!$O$1:$O$49</definedName>
    <definedName name="七通一平" localSheetId="44">[1]修正!$A$6:$A$14</definedName>
    <definedName name="七通一平">修正!$A$6:$A$14</definedName>
    <definedName name="区域土地利用方向" localSheetId="44">[1]定义!$P$1:$P$6</definedName>
    <definedName name="区域土地利用方向">定义!$P$1:$P$6</definedName>
    <definedName name="三级">区片价!$K$1:$K$21</definedName>
    <definedName name="商业层高" localSheetId="44">'[1]不动产比较法-商业'!$B$116:$M$116</definedName>
    <definedName name="商业层高">'不动产比较法-商业'!$B$116:$M$116</definedName>
    <definedName name="商业成新度">'不动产比较法-商业'!$B$109:$M$109</definedName>
    <definedName name="商业繁华度" localSheetId="44">[1]定义!$L$1:$L$6</definedName>
    <definedName name="商业繁华度">定义!$L$1:$L$6</definedName>
    <definedName name="商业公共部分装修" localSheetId="44">'[1]不动产比较法-商业'!$B$107:$M$107</definedName>
    <definedName name="商业公共部分装修">'不动产比较法-商业'!$B$107:$M$107</definedName>
    <definedName name="商业基础设施水平" localSheetId="44">'[1]不动产比较法-商业'!$B$112:$M$112</definedName>
    <definedName name="商业基础设施水平">'不动产比较法-商业'!$B$112:$M$112</definedName>
    <definedName name="商业建筑结构" localSheetId="44">'[1]不动产比较法-商业'!$B$105:$M$105</definedName>
    <definedName name="商业建筑结构">'不动产比较法-商业'!$B$105:$M$105</definedName>
    <definedName name="商业交易情况" localSheetId="44">'[1]不动产比较法-商业'!$A$61:$M$61</definedName>
    <definedName name="商业交易情况">'不动产比较法-商业'!$A$61:$M$61</definedName>
    <definedName name="商业街名称" localSheetId="44">[1]修正!$C$59:$C$119</definedName>
    <definedName name="商业街名称">修正!$C$59:$C$119</definedName>
    <definedName name="商业进深比" localSheetId="44">'[1]不动产比较法-商业'!$B$120:$M$120</definedName>
    <definedName name="商业进深比">'不动产比较法-商业'!$B$120:$M$120</definedName>
    <definedName name="商业类型" localSheetId="44">'[1]不动产比较法-商业'!$B$100:$M$100</definedName>
    <definedName name="商业类型">'不动产比较法-商业'!$B$100:$M$100</definedName>
    <definedName name="商业临街状况" localSheetId="44">'[1]不动产比较法-商业'!$B$86:$M$86</definedName>
    <definedName name="商业临街状况">'不动产比较法-商业'!$B$86:$M$86</definedName>
    <definedName name="商业楼层" localSheetId="44">'[1]不动产比较法-商业'!$B$92:$M$92</definedName>
    <definedName name="商业楼层">'不动产比较法-商业'!$B$92:$M$92</definedName>
    <definedName name="商业内部装修" localSheetId="44">'[1]不动产比较法-商业'!$B$122:$M$122</definedName>
    <definedName name="商业内部装修">'不动产比较法-商业'!$B$122:$M$122</definedName>
    <definedName name="商业人流量" localSheetId="44">'[1]不动产比较法-商业'!$B$90:$M$90</definedName>
    <definedName name="商业人流量">'不动产比较法-商业'!$B$90:$M$90</definedName>
    <definedName name="商业业态" localSheetId="44">'[1]不动产比较法-商业'!$B$114:$M$114</definedName>
    <definedName name="商业业态">'不动产比较法-商业'!$B$114:$M$114</definedName>
    <definedName name="商业用途" localSheetId="44">'[1]不动产比较法-商业'!$B$63:$M$63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4">'[1]不动产比较法-仓储'!$B$89:$M$89</definedName>
    <definedName name="是否封闭">'不动产比较法-仓储'!$B$89:$M$89</definedName>
    <definedName name="是否直接入户" localSheetId="44">'[1]不动产比较法-车位'!$B$95:$M$95</definedName>
    <definedName name="是否直接入户">'不动产比较法-车位'!$B$95:$M$95</definedName>
    <definedName name="四级">区片价!$L$1:$L$28</definedName>
    <definedName name="套工工程地质条件" localSheetId="44">'[1]比较法-工业'!$B$116:$M$116</definedName>
    <definedName name="套工工程地质条件">'比较法-工业'!$B$116:$M$116</definedName>
    <definedName name="套工交易情况" localSheetId="44">'[1]比较法-住宅、综合'!$A$75:$M$75</definedName>
    <definedName name="套工交易情况">'比较法-住宅、综合'!$A$75:$M$75</definedName>
    <definedName name="套工开发程度" localSheetId="44">'[1]比较法-工业'!$B$114:$M$114</definedName>
    <definedName name="套工开发程度">'比较法-工业'!$B$114:$M$114</definedName>
    <definedName name="套工临街等级" localSheetId="44">'[1]比较法-工业'!$B$99:$M$99</definedName>
    <definedName name="套工临街等级">'比较法-工业'!$B$99:$M$99</definedName>
    <definedName name="套工土地级别" localSheetId="44">'[1]比较法-工业'!$B$101:$M$101</definedName>
    <definedName name="套工土地级别">'比较法-工业'!$B$101:$M$101</definedName>
    <definedName name="套工用途" localSheetId="44">'[1]比较法-工业'!$B$72:$M$72</definedName>
    <definedName name="套工用途">'比较法-工业'!$B$72:$M$72</definedName>
    <definedName name="套工宗地形状" localSheetId="44">'[1]比较法-工业'!$B$112:$M$112</definedName>
    <definedName name="套工宗地形状">'比较法-工业'!$B$112:$M$112</definedName>
    <definedName name="套综道路等级" localSheetId="44">'[1]比较法-住宅、综合'!$B$108:$M$108</definedName>
    <definedName name="套综道路等级">'比较法-住宅、综合'!$B$108:$M$108</definedName>
    <definedName name="套综工程地质条件" localSheetId="44">'[1]比较法-住宅、综合'!$B$127:$M$127</definedName>
    <definedName name="套综工程地质条件">'比较法-住宅、综合'!$B$127:$M$127</definedName>
    <definedName name="套综交易情况" localSheetId="44">'[1]比较法-住宅、综合'!$A$75:$M$75</definedName>
    <definedName name="套综交易情况">'比较法-住宅、综合'!$A$75:$M$75</definedName>
    <definedName name="套综临街宽度及深度" localSheetId="44">'[1]比较法-住宅、综合'!$B$123:$M$123</definedName>
    <definedName name="套综临街宽度及深度">'比较法-住宅、综合'!$B$123:$M$123</definedName>
    <definedName name="套综土地级别" localSheetId="44">'[1]比较法-住宅、综合'!$B$110:$M$110</definedName>
    <definedName name="套综土地级别">'比较法-住宅、综合'!$B$110:$M$110</definedName>
    <definedName name="套综用途" localSheetId="44">'[1]比较法-住宅、综合'!$B$77:$M$77</definedName>
    <definedName name="套综用途">'比较法-住宅、综合'!$B$77:$M$77</definedName>
    <definedName name="套综宗地内开发程度" localSheetId="44">'[1]比较法-住宅、综合'!$B$125:$M$125</definedName>
    <definedName name="套综宗地内开发程度">'比较法-住宅、综合'!$B$125:$M$125</definedName>
    <definedName name="套综宗地形状" localSheetId="44">'[1]比较法-住宅、综合'!$B$121:$M$121</definedName>
    <definedName name="套综宗地形状">'比较法-住宅、综合'!$B$121:$M$121</definedName>
    <definedName name="土地估价师" localSheetId="44">[1]估价师及机构信息!$D$3:$D$24</definedName>
    <definedName name="土地估价师">估价师及机构信息!$D$3:$D$24</definedName>
    <definedName name="土地级别" localSheetId="44">[1]定义!$C$1:$C$14</definedName>
    <definedName name="土地级别">定义!$C$1:$C$14</definedName>
    <definedName name="土地利用方向">定义!$P$1:$P$6</definedName>
    <definedName name="土地年限区间" localSheetId="44">[1]定义!$I$1:$I$8</definedName>
    <definedName name="土地年限区间">定义!$I$1:$I$8</definedName>
    <definedName name="位置" localSheetId="44">[1]定义!$E$2:$E$4</definedName>
    <definedName name="位置">定义!$E$2:$E$4</definedName>
    <definedName name="五等判定" localSheetId="44">[1]定义!$W$1:$W$6</definedName>
    <definedName name="五等判定">定义!$W$1:$W$6</definedName>
    <definedName name="五级">区片价!$M$1:$M$35</definedName>
    <definedName name="项目类型" localSheetId="44">'[1]数据-汇总表'!$C$17:$C$26</definedName>
    <definedName name="项目类型">'数据-汇总表'!$C$17:$C$26</definedName>
    <definedName name="写字楼等级" localSheetId="44">'[1]不动产比较法-办公'!$B$113:$M$113</definedName>
    <definedName name="写字楼等级">'不动产比较法-办公'!$B$113:$M$113</definedName>
    <definedName name="一级">区片价!$I$1:$I$6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 localSheetId="44">[1]定义!$A$1:$A$50</definedName>
    <definedName name="用途类型">定义!$A$1:$A$50</definedName>
    <definedName name="有无电梯" localSheetId="44">'[1]不动产比较法-仓储'!$B$84:$M$84</definedName>
    <definedName name="有无电梯">'不动产比较法-仓储'!$B$84:$M$84</definedName>
    <definedName name="主用途" localSheetId="44">[1]定义!$F$1:$F$10</definedName>
    <definedName name="主用途">定义!$F$1:$F$10</definedName>
    <definedName name="住宅朝向" localSheetId="44">'不动产比较法-(商业)'!$B$88:$M$88</definedName>
    <definedName name="住宅朝向">'不动产比较法-住宅'!$B$88:$M$88</definedName>
    <definedName name="住宅房型" localSheetId="44">'不动产比较法-(商业)'!$B$118:$M$118</definedName>
    <definedName name="住宅房型">'不动产比较法-住宅'!$B$118:$M$118</definedName>
    <definedName name="住宅公共部分装修" localSheetId="44">'不动产比较法-(商业)'!$B$109:$M$109</definedName>
    <definedName name="住宅公共部分装修">'不动产比较法-住宅'!$B$109:$M$109</definedName>
    <definedName name="住宅基础设施水平" localSheetId="44">'不动产比较法-(商业)'!$B$116:$M$116</definedName>
    <definedName name="住宅基础设施水平">'不动产比较法-住宅'!$B$116:$M$116</definedName>
    <definedName name="住宅建筑结构" localSheetId="44">'不动产比较法-(商业)'!$B$105:$M$105</definedName>
    <definedName name="住宅建筑结构">'不动产比较法-住宅'!$B$105:$M$105</definedName>
    <definedName name="住宅建筑类型" localSheetId="44">'不动产比较法-(商业)'!$B$100:$M$100</definedName>
    <definedName name="住宅建筑类型">'不动产比较法-住宅'!$B$100:$M$100</definedName>
    <definedName name="住宅建筑品质" localSheetId="44">'不动产比较法-(商业)'!$B$107:$M$107</definedName>
    <definedName name="住宅建筑品质">'不动产比较法-住宅'!$B$107:$M$107</definedName>
    <definedName name="住宅交易情况" localSheetId="44">'不动产比较法-(商业)'!$A$61:$M$61</definedName>
    <definedName name="住宅交易情况">'不动产比较法-住宅'!$A$61:$M$61</definedName>
    <definedName name="住宅楼层" localSheetId="44">'不动产比较法-(商业)'!$B$86:$M$86</definedName>
    <definedName name="住宅楼层">'不动产比较法-住宅'!$B$86:$M$86</definedName>
    <definedName name="住宅内部装修" localSheetId="44">'不动产比较法-(商业)'!$B$122:$M$122</definedName>
    <definedName name="住宅内部装修">'不动产比较法-住宅'!$B$122:$M$122</definedName>
    <definedName name="住宅物业管理" localSheetId="44">'不动产比较法-(商业)'!$B$114:$M$114</definedName>
    <definedName name="住宅物业管理">'不动产比较法-住宅'!$B$114:$M$114</definedName>
    <definedName name="住宅用途" localSheetId="44">'不动产比较法-(商业)'!$B$63:$M$63</definedName>
    <definedName name="住宅用途">'不动产比较法-住宅'!$B$63:$M$63</definedName>
    <definedName name="住宅主力户型面积" localSheetId="44">'不动产比较法-(商业)'!$B$120:$M$120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I7" i="33" l="1"/>
  <c r="G7" i="33"/>
  <c r="E7" i="33"/>
  <c r="C145" i="72" l="1"/>
  <c r="J142" i="72"/>
  <c r="J140" i="72"/>
  <c r="K145" i="72" s="1"/>
  <c r="K139" i="72"/>
  <c r="K143" i="72" s="1"/>
  <c r="B130" i="72"/>
  <c r="B128" i="72"/>
  <c r="B126" i="72"/>
  <c r="E125" i="72"/>
  <c r="F125" i="72" s="1"/>
  <c r="G125" i="72" s="1"/>
  <c r="D125" i="72"/>
  <c r="E123" i="72"/>
  <c r="F123" i="72" s="1"/>
  <c r="G123" i="72" s="1"/>
  <c r="H123" i="72" s="1"/>
  <c r="I123" i="72" s="1"/>
  <c r="J123" i="72" s="1"/>
  <c r="K123" i="72" s="1"/>
  <c r="L123" i="72" s="1"/>
  <c r="M123" i="72" s="1"/>
  <c r="D123" i="72"/>
  <c r="E119" i="72"/>
  <c r="F119" i="72" s="1"/>
  <c r="G119" i="72" s="1"/>
  <c r="H119" i="72" s="1"/>
  <c r="I119" i="72" s="1"/>
  <c r="J119" i="72" s="1"/>
  <c r="K119" i="72" s="1"/>
  <c r="L119" i="72" s="1"/>
  <c r="M119" i="72" s="1"/>
  <c r="D119" i="72"/>
  <c r="E117" i="72"/>
  <c r="F117" i="72" s="1"/>
  <c r="G117" i="72" s="1"/>
  <c r="D117" i="72"/>
  <c r="E115" i="72"/>
  <c r="F115" i="72" s="1"/>
  <c r="G115" i="72" s="1"/>
  <c r="H115" i="72" s="1"/>
  <c r="I115" i="72" s="1"/>
  <c r="J115" i="72" s="1"/>
  <c r="K115" i="72" s="1"/>
  <c r="L115" i="72" s="1"/>
  <c r="M115" i="72" s="1"/>
  <c r="D115" i="72"/>
  <c r="D113" i="72"/>
  <c r="E113" i="72" s="1"/>
  <c r="F113" i="72" s="1"/>
  <c r="G113" i="72" s="1"/>
  <c r="H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E101" i="72"/>
  <c r="F101" i="72" s="1"/>
  <c r="G101" i="72" s="1"/>
  <c r="H101" i="72" s="1"/>
  <c r="I101" i="72" s="1"/>
  <c r="J101" i="72" s="1"/>
  <c r="K101" i="72" s="1"/>
  <c r="L101" i="72" s="1"/>
  <c r="M101" i="72" s="1"/>
  <c r="D101" i="72"/>
  <c r="B98" i="72"/>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D85" i="72"/>
  <c r="E85" i="72" s="1"/>
  <c r="F85" i="72" s="1"/>
  <c r="G85" i="72" s="1"/>
  <c r="D83" i="72"/>
  <c r="E83" i="72" s="1"/>
  <c r="F83" i="72" s="1"/>
  <c r="G83" i="72" s="1"/>
  <c r="D81" i="72"/>
  <c r="E81" i="72" s="1"/>
  <c r="F81" i="72" s="1"/>
  <c r="G81" i="72" s="1"/>
  <c r="D79" i="72"/>
  <c r="E79" i="72" s="1"/>
  <c r="F79" i="72" s="1"/>
  <c r="G79" i="72" s="1"/>
  <c r="D77" i="72"/>
  <c r="E77" i="72" s="1"/>
  <c r="F77" i="72" s="1"/>
  <c r="G77" i="72" s="1"/>
  <c r="B74" i="72"/>
  <c r="B72" i="72"/>
  <c r="B70" i="72"/>
  <c r="E69" i="72"/>
  <c r="F69" i="72" s="1"/>
  <c r="G69" i="72" s="1"/>
  <c r="H69" i="72" s="1"/>
  <c r="I69" i="72" s="1"/>
  <c r="J69" i="72" s="1"/>
  <c r="K69" i="72" s="1"/>
  <c r="L69" i="72" s="1"/>
  <c r="M69" i="72" s="1"/>
  <c r="D69" i="72"/>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V47" i="72"/>
  <c r="T47" i="72"/>
  <c r="R47" i="72"/>
  <c r="P47" i="72"/>
  <c r="Q46" i="72"/>
  <c r="Z46" i="72" s="1"/>
  <c r="J46" i="72"/>
  <c r="AC46" i="72" s="1"/>
  <c r="H46" i="72"/>
  <c r="AB46" i="72" s="1"/>
  <c r="F46" i="72"/>
  <c r="AA46" i="72" s="1"/>
  <c r="Z45" i="72"/>
  <c r="Q45" i="72"/>
  <c r="J45" i="72"/>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J33" i="72"/>
  <c r="AC33" i="72" s="1"/>
  <c r="H33" i="72"/>
  <c r="AB33" i="72" s="1"/>
  <c r="F33" i="72"/>
  <c r="AA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H23" i="72"/>
  <c r="AB23" i="72" s="1"/>
  <c r="F23" i="72"/>
  <c r="AA23" i="72" s="1"/>
  <c r="C23" i="72"/>
  <c r="Q21" i="72"/>
  <c r="Z21" i="72" s="1"/>
  <c r="J21" i="72"/>
  <c r="AC21" i="72" s="1"/>
  <c r="H21" i="72"/>
  <c r="AB21" i="72" s="1"/>
  <c r="F21" i="72"/>
  <c r="C21" i="72"/>
  <c r="AC19" i="72"/>
  <c r="W19" i="72"/>
  <c r="Q19" i="72"/>
  <c r="Z19" i="72" s="1"/>
  <c r="J19" i="72"/>
  <c r="H19" i="72"/>
  <c r="AB19" i="72" s="1"/>
  <c r="F19" i="72"/>
  <c r="AA19" i="72" s="1"/>
  <c r="C19" i="72"/>
  <c r="Q17" i="72"/>
  <c r="Z17" i="72" s="1"/>
  <c r="J17" i="72"/>
  <c r="AC17" i="72" s="1"/>
  <c r="H17" i="72"/>
  <c r="AB17" i="72" s="1"/>
  <c r="F17" i="72"/>
  <c r="S17" i="72" s="1"/>
  <c r="C17" i="72"/>
  <c r="Q15" i="72"/>
  <c r="Z15"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Q10" i="72"/>
  <c r="Z10" i="72" s="1"/>
  <c r="J10" i="72"/>
  <c r="AC10" i="72" s="1"/>
  <c r="H10" i="72"/>
  <c r="AB10" i="72" s="1"/>
  <c r="F10" i="72"/>
  <c r="AA10" i="72" s="1"/>
  <c r="Q9" i="72"/>
  <c r="Z9" i="72" s="1"/>
  <c r="J9" i="72"/>
  <c r="AC9" i="72" s="1"/>
  <c r="H9" i="72"/>
  <c r="AB9" i="72" s="1"/>
  <c r="F9" i="72"/>
  <c r="AA9" i="72" s="1"/>
  <c r="W8" i="72"/>
  <c r="S8" i="72"/>
  <c r="J8" i="72"/>
  <c r="AC8" i="72" s="1"/>
  <c r="H8" i="72"/>
  <c r="AB8" i="72" s="1"/>
  <c r="F8" i="72"/>
  <c r="AA8" i="72" s="1"/>
  <c r="C7" i="72"/>
  <c r="C58" i="72" s="1"/>
  <c r="D58" i="72" s="1"/>
  <c r="E58" i="72" s="1"/>
  <c r="F58" i="72" s="1"/>
  <c r="G58" i="72" s="1"/>
  <c r="H58" i="72" s="1"/>
  <c r="I58" i="72" s="1"/>
  <c r="J58" i="72" s="1"/>
  <c r="K58" i="72" s="1"/>
  <c r="L58" i="72" s="1"/>
  <c r="M58" i="72" s="1"/>
  <c r="N58" i="72" s="1"/>
  <c r="O58" i="72" s="1"/>
  <c r="D3" i="72"/>
  <c r="E7" i="72" l="1"/>
  <c r="F7" i="72" s="1"/>
  <c r="G7" i="72"/>
  <c r="H7" i="72" s="1"/>
  <c r="I7" i="72"/>
  <c r="J7" i="72" s="1"/>
  <c r="U8" i="72"/>
  <c r="U9" i="72"/>
  <c r="S10" i="72"/>
  <c r="W10" i="72"/>
  <c r="U12" i="72"/>
  <c r="S13" i="72"/>
  <c r="W13" i="72"/>
  <c r="U14" i="72"/>
  <c r="U15" i="72"/>
  <c r="U17" i="72"/>
  <c r="AA17" i="72"/>
  <c r="AA21" i="72"/>
  <c r="S21" i="72"/>
  <c r="S9" i="72"/>
  <c r="W9" i="72"/>
  <c r="U10" i="72"/>
  <c r="S12" i="72"/>
  <c r="W12" i="72"/>
  <c r="U13" i="72"/>
  <c r="S14" i="72"/>
  <c r="W14" i="72"/>
  <c r="S15" i="72"/>
  <c r="W15" i="72"/>
  <c r="W17" i="72"/>
  <c r="S19" i="72"/>
  <c r="U19" i="72"/>
  <c r="U21" i="72"/>
  <c r="U23" i="72"/>
  <c r="S25" i="72"/>
  <c r="W25" i="72"/>
  <c r="U26" i="72"/>
  <c r="S27" i="72"/>
  <c r="W27" i="72"/>
  <c r="U28" i="72"/>
  <c r="S29" i="72"/>
  <c r="W29" i="72"/>
  <c r="U30" i="72"/>
  <c r="S31" i="72"/>
  <c r="W31" i="72"/>
  <c r="U32" i="72"/>
  <c r="S33" i="72"/>
  <c r="W33" i="72"/>
  <c r="U34" i="72"/>
  <c r="S35" i="72"/>
  <c r="W35" i="72"/>
  <c r="U36" i="72"/>
  <c r="S37" i="72"/>
  <c r="W37" i="72"/>
  <c r="U38" i="72"/>
  <c r="S39" i="72"/>
  <c r="W39" i="72"/>
  <c r="U40" i="72"/>
  <c r="S41" i="72"/>
  <c r="W41" i="72"/>
  <c r="U42" i="72"/>
  <c r="S43" i="72"/>
  <c r="W43" i="72"/>
  <c r="U44" i="72"/>
  <c r="AC45" i="72"/>
  <c r="W45" i="72"/>
  <c r="S45" i="72"/>
  <c r="S46" i="72"/>
  <c r="W21" i="72"/>
  <c r="S23" i="72"/>
  <c r="W23" i="72"/>
  <c r="U25" i="72"/>
  <c r="S26" i="72"/>
  <c r="W26" i="72"/>
  <c r="U27" i="72"/>
  <c r="S28" i="72"/>
  <c r="W28" i="72"/>
  <c r="U29" i="72"/>
  <c r="S30" i="72"/>
  <c r="W30" i="72"/>
  <c r="U31" i="72"/>
  <c r="S32" i="72"/>
  <c r="W32" i="72"/>
  <c r="U33" i="72"/>
  <c r="S34" i="72"/>
  <c r="W34" i="72"/>
  <c r="U35" i="72"/>
  <c r="S36" i="72"/>
  <c r="W36" i="72"/>
  <c r="U37" i="72"/>
  <c r="S38" i="72"/>
  <c r="W38" i="72"/>
  <c r="U39" i="72"/>
  <c r="S40" i="72"/>
  <c r="W40" i="72"/>
  <c r="U41" i="72"/>
  <c r="S42" i="72"/>
  <c r="W42" i="72"/>
  <c r="U43" i="72"/>
  <c r="S44" i="72"/>
  <c r="W44" i="72"/>
  <c r="U45" i="72"/>
  <c r="W46" i="72"/>
  <c r="K141" i="72"/>
  <c r="U46" i="72"/>
  <c r="K144" i="72"/>
  <c r="H27" i="71"/>
  <c r="C106" i="9"/>
  <c r="U7" i="72" l="1"/>
  <c r="AB7" i="72"/>
  <c r="AC7" i="72"/>
  <c r="W7" i="72"/>
  <c r="AA7" i="72"/>
  <c r="S7" i="72"/>
  <c r="AL13" i="3"/>
  <c r="AH13" i="3"/>
  <c r="AD13" i="3"/>
  <c r="M13" i="3"/>
  <c r="K13" i="3"/>
  <c r="I13" i="3"/>
  <c r="E23" i="71" l="1"/>
  <c r="E12" i="71"/>
  <c r="I7" i="6" s="1"/>
  <c r="C11" i="33" l="1"/>
  <c r="C11" i="72"/>
  <c r="C11" i="21"/>
  <c r="C13" i="39"/>
  <c r="H11" i="72" l="1"/>
  <c r="J11" i="72"/>
  <c r="F11" i="72"/>
  <c r="T222" i="70"/>
  <c r="R210" i="70"/>
  <c r="AC11" i="72" l="1"/>
  <c r="V48" i="72" s="1"/>
  <c r="I48" i="72" s="1"/>
  <c r="W11" i="72"/>
  <c r="AA11" i="72"/>
  <c r="R48" i="72" s="1"/>
  <c r="S11" i="72"/>
  <c r="AB11" i="72"/>
  <c r="T48" i="72" s="1"/>
  <c r="G48" i="72" s="1"/>
  <c r="U11" i="72"/>
  <c r="U213" i="70"/>
  <c r="U221" i="70" s="1"/>
  <c r="U218" i="70"/>
  <c r="U216" i="70"/>
  <c r="U211" i="70"/>
  <c r="T192" i="70"/>
  <c r="U195" i="70" s="1"/>
  <c r="I177" i="70"/>
  <c r="R177" i="70" s="1"/>
  <c r="R176" i="70"/>
  <c r="I176" i="70"/>
  <c r="I178" i="70" s="1"/>
  <c r="J175" i="70"/>
  <c r="I175" i="70"/>
  <c r="R172" i="70"/>
  <c r="F171" i="70"/>
  <c r="I170" i="70"/>
  <c r="H170" i="70"/>
  <c r="J170" i="70" s="1"/>
  <c r="I169" i="70"/>
  <c r="H169" i="70"/>
  <c r="J169" i="70" s="1"/>
  <c r="N168" i="70"/>
  <c r="N171" i="70" s="1"/>
  <c r="I168" i="70"/>
  <c r="H168" i="70"/>
  <c r="J168" i="70" s="1"/>
  <c r="I167" i="70"/>
  <c r="H167" i="70"/>
  <c r="J167" i="70" s="1"/>
  <c r="I166" i="70"/>
  <c r="H166" i="70"/>
  <c r="J166" i="70" s="1"/>
  <c r="I165" i="70"/>
  <c r="H165" i="70"/>
  <c r="J165" i="70" s="1"/>
  <c r="I164" i="70"/>
  <c r="H164" i="70"/>
  <c r="J164" i="70" s="1"/>
  <c r="J163" i="70"/>
  <c r="I163" i="70"/>
  <c r="I162" i="70"/>
  <c r="L161" i="70"/>
  <c r="I161" i="70"/>
  <c r="H161" i="70"/>
  <c r="J161" i="70" s="1"/>
  <c r="J160" i="70"/>
  <c r="I160" i="70"/>
  <c r="R161" i="70" s="1"/>
  <c r="R159" i="70"/>
  <c r="L159" i="70"/>
  <c r="I159" i="70"/>
  <c r="R160" i="70" s="1"/>
  <c r="H159" i="70"/>
  <c r="J159" i="70" s="1"/>
  <c r="J171" i="70" s="1"/>
  <c r="F158" i="70"/>
  <c r="I157" i="70"/>
  <c r="H157" i="70"/>
  <c r="J157" i="70" s="1"/>
  <c r="N156" i="70"/>
  <c r="N158" i="70" s="1"/>
  <c r="I156" i="70"/>
  <c r="H156" i="70"/>
  <c r="J156" i="70" s="1"/>
  <c r="I155" i="70"/>
  <c r="H155" i="70"/>
  <c r="J155" i="70" s="1"/>
  <c r="I154" i="70"/>
  <c r="H154" i="70"/>
  <c r="J154" i="70" s="1"/>
  <c r="I153" i="70"/>
  <c r="I158" i="70" s="1"/>
  <c r="H153" i="70"/>
  <c r="J153" i="70" s="1"/>
  <c r="J158" i="70" s="1"/>
  <c r="F152" i="70"/>
  <c r="I151" i="70"/>
  <c r="H151" i="70"/>
  <c r="J151" i="70" s="1"/>
  <c r="N150" i="70"/>
  <c r="N152" i="70" s="1"/>
  <c r="I150" i="70"/>
  <c r="H150" i="70"/>
  <c r="J150" i="70" s="1"/>
  <c r="I149" i="70"/>
  <c r="H149" i="70"/>
  <c r="J149" i="70" s="1"/>
  <c r="I148" i="70"/>
  <c r="H148" i="70"/>
  <c r="J148" i="70" s="1"/>
  <c r="I147" i="70"/>
  <c r="I152" i="70" s="1"/>
  <c r="H147" i="70"/>
  <c r="J147" i="70" s="1"/>
  <c r="J152" i="70" s="1"/>
  <c r="N146" i="70"/>
  <c r="F146" i="70"/>
  <c r="I145" i="70"/>
  <c r="H145" i="70"/>
  <c r="J145" i="70" s="1"/>
  <c r="N144" i="70"/>
  <c r="I144" i="70"/>
  <c r="H144" i="70"/>
  <c r="J144" i="70" s="1"/>
  <c r="I143" i="70"/>
  <c r="H143" i="70"/>
  <c r="J143" i="70" s="1"/>
  <c r="I142" i="70"/>
  <c r="H142" i="70"/>
  <c r="J142" i="70" s="1"/>
  <c r="I141" i="70"/>
  <c r="I146" i="70" s="1"/>
  <c r="H141" i="70"/>
  <c r="J141" i="70" s="1"/>
  <c r="F140" i="70"/>
  <c r="J139" i="70"/>
  <c r="I139" i="70"/>
  <c r="H139" i="70"/>
  <c r="J138" i="70"/>
  <c r="I138" i="70"/>
  <c r="H138" i="70"/>
  <c r="J137" i="70"/>
  <c r="J140" i="70" s="1"/>
  <c r="I137" i="70"/>
  <c r="I140" i="70" s="1"/>
  <c r="R137" i="70" s="1"/>
  <c r="R219" i="70" s="1"/>
  <c r="H137" i="70"/>
  <c r="F136" i="70"/>
  <c r="I135" i="70"/>
  <c r="H135" i="70"/>
  <c r="J135" i="70" s="1"/>
  <c r="J134" i="70"/>
  <c r="I134" i="70"/>
  <c r="N133" i="70"/>
  <c r="N136" i="70" s="1"/>
  <c r="I133" i="70"/>
  <c r="H133" i="70"/>
  <c r="J133" i="70" s="1"/>
  <c r="J132" i="70"/>
  <c r="I132" i="70"/>
  <c r="I131" i="70"/>
  <c r="H131" i="70"/>
  <c r="J131" i="70" s="1"/>
  <c r="J130" i="70"/>
  <c r="I130" i="70"/>
  <c r="J129" i="70"/>
  <c r="I129" i="70"/>
  <c r="J128" i="70"/>
  <c r="I128" i="70"/>
  <c r="R125" i="70" s="1"/>
  <c r="I127" i="70"/>
  <c r="H127" i="70"/>
  <c r="J127" i="70" s="1"/>
  <c r="J126" i="70"/>
  <c r="I126" i="70"/>
  <c r="R127" i="70" s="1"/>
  <c r="L125" i="70"/>
  <c r="I125" i="70"/>
  <c r="I136" i="70" s="1"/>
  <c r="H125" i="70"/>
  <c r="J125" i="70" s="1"/>
  <c r="J136" i="70" s="1"/>
  <c r="N124" i="70"/>
  <c r="F124" i="70"/>
  <c r="I123" i="70"/>
  <c r="H123" i="70"/>
  <c r="J123" i="70" s="1"/>
  <c r="J122" i="70"/>
  <c r="I122" i="70"/>
  <c r="N121" i="70"/>
  <c r="I121" i="70"/>
  <c r="H121" i="70"/>
  <c r="J121" i="70" s="1"/>
  <c r="J120" i="70"/>
  <c r="I120" i="70"/>
  <c r="I119" i="70"/>
  <c r="H119" i="70"/>
  <c r="J119" i="70" s="1"/>
  <c r="J118" i="70"/>
  <c r="I118" i="70"/>
  <c r="I117" i="70"/>
  <c r="H117" i="70"/>
  <c r="J117" i="70" s="1"/>
  <c r="J116" i="70"/>
  <c r="I116" i="70"/>
  <c r="R113" i="70" s="1"/>
  <c r="J115" i="70"/>
  <c r="I115" i="70"/>
  <c r="L115" i="70" s="1"/>
  <c r="I114" i="70"/>
  <c r="R115" i="70" s="1"/>
  <c r="H114" i="70"/>
  <c r="J114" i="70" s="1"/>
  <c r="L113" i="70"/>
  <c r="I113" i="70"/>
  <c r="L114" i="70" s="1"/>
  <c r="H113" i="70"/>
  <c r="J113" i="70" s="1"/>
  <c r="J124" i="70" s="1"/>
  <c r="N112" i="70"/>
  <c r="F112" i="70"/>
  <c r="I111" i="70"/>
  <c r="H111" i="70"/>
  <c r="J111" i="70" s="1"/>
  <c r="J110" i="70"/>
  <c r="I110" i="70"/>
  <c r="N109" i="70"/>
  <c r="I109" i="70"/>
  <c r="H109" i="70"/>
  <c r="J109" i="70" s="1"/>
  <c r="J108" i="70"/>
  <c r="I108" i="70"/>
  <c r="I107" i="70"/>
  <c r="H107" i="70"/>
  <c r="J107" i="70" s="1"/>
  <c r="J106" i="70"/>
  <c r="I106" i="70"/>
  <c r="I105" i="70"/>
  <c r="H105" i="70"/>
  <c r="J105" i="70" s="1"/>
  <c r="J104" i="70"/>
  <c r="I104" i="70"/>
  <c r="I103" i="70"/>
  <c r="R103" i="70" s="1"/>
  <c r="H103" i="70"/>
  <c r="J103" i="70" s="1"/>
  <c r="J102" i="70"/>
  <c r="I102" i="70"/>
  <c r="R101" i="70" s="1"/>
  <c r="L101" i="70"/>
  <c r="I101" i="70"/>
  <c r="R102" i="70" s="1"/>
  <c r="H101" i="70"/>
  <c r="J101" i="70" s="1"/>
  <c r="J112" i="70" s="1"/>
  <c r="N100" i="70"/>
  <c r="F100" i="70"/>
  <c r="I99" i="70"/>
  <c r="H99" i="70"/>
  <c r="J99" i="70" s="1"/>
  <c r="N98" i="70"/>
  <c r="I98" i="70"/>
  <c r="H98" i="70"/>
  <c r="J98" i="70" s="1"/>
  <c r="I97" i="70"/>
  <c r="H97" i="70"/>
  <c r="J97" i="70" s="1"/>
  <c r="I96" i="70"/>
  <c r="H96" i="70"/>
  <c r="J96" i="70" s="1"/>
  <c r="I95" i="70"/>
  <c r="I100" i="70" s="1"/>
  <c r="H95" i="70"/>
  <c r="J95" i="70" s="1"/>
  <c r="N94" i="70"/>
  <c r="F94" i="70"/>
  <c r="I93" i="70"/>
  <c r="H93" i="70"/>
  <c r="J93" i="70" s="1"/>
  <c r="N92" i="70"/>
  <c r="I92" i="70"/>
  <c r="H92" i="70"/>
  <c r="J92" i="70" s="1"/>
  <c r="I91" i="70"/>
  <c r="H91" i="70"/>
  <c r="J91" i="70" s="1"/>
  <c r="I90" i="70"/>
  <c r="H90" i="70"/>
  <c r="J90" i="70" s="1"/>
  <c r="I89" i="70"/>
  <c r="I94" i="70" s="1"/>
  <c r="H89" i="70"/>
  <c r="J89" i="70" s="1"/>
  <c r="J94" i="70" s="1"/>
  <c r="N88" i="70"/>
  <c r="F88" i="70"/>
  <c r="I87" i="70"/>
  <c r="H87" i="70"/>
  <c r="J87" i="70" s="1"/>
  <c r="J86" i="70"/>
  <c r="I86" i="70"/>
  <c r="N85" i="70"/>
  <c r="I85" i="70"/>
  <c r="H85" i="70"/>
  <c r="J85" i="70" s="1"/>
  <c r="J84" i="70"/>
  <c r="I84" i="70"/>
  <c r="I83" i="70"/>
  <c r="H83" i="70"/>
  <c r="J83" i="70" s="1"/>
  <c r="J82" i="70"/>
  <c r="I82" i="70"/>
  <c r="I81" i="70"/>
  <c r="H81" i="70"/>
  <c r="J81" i="70" s="1"/>
  <c r="J80" i="70"/>
  <c r="I80" i="70"/>
  <c r="I79" i="70"/>
  <c r="R79" i="70" s="1"/>
  <c r="H79" i="70"/>
  <c r="J79" i="70" s="1"/>
  <c r="J78" i="70"/>
  <c r="I78" i="70"/>
  <c r="R77" i="70" s="1"/>
  <c r="L77" i="70"/>
  <c r="I77" i="70"/>
  <c r="R78" i="70" s="1"/>
  <c r="H77" i="70"/>
  <c r="J77" i="70" s="1"/>
  <c r="J88" i="70" s="1"/>
  <c r="N76" i="70"/>
  <c r="F76" i="70"/>
  <c r="I75" i="70"/>
  <c r="H75" i="70"/>
  <c r="J75" i="70" s="1"/>
  <c r="J74" i="70"/>
  <c r="I74" i="70"/>
  <c r="N73" i="70"/>
  <c r="I73" i="70"/>
  <c r="H73" i="70"/>
  <c r="J73" i="70" s="1"/>
  <c r="J72" i="70"/>
  <c r="I72" i="70"/>
  <c r="L66" i="70" s="1"/>
  <c r="I71" i="70"/>
  <c r="R68" i="70" s="1"/>
  <c r="H71" i="70"/>
  <c r="J71" i="70" s="1"/>
  <c r="J70" i="70"/>
  <c r="I70" i="70"/>
  <c r="I69" i="70"/>
  <c r="H69" i="70"/>
  <c r="J69" i="70" s="1"/>
  <c r="J68" i="70"/>
  <c r="I68" i="70"/>
  <c r="R67" i="70"/>
  <c r="J67" i="70"/>
  <c r="I67" i="70"/>
  <c r="R66" i="70"/>
  <c r="I66" i="70"/>
  <c r="L67" i="70" s="1"/>
  <c r="H66" i="70"/>
  <c r="J66" i="70" s="1"/>
  <c r="F65" i="70"/>
  <c r="I64" i="70"/>
  <c r="H64" i="70"/>
  <c r="J64" i="70" s="1"/>
  <c r="N63" i="70"/>
  <c r="N65" i="70" s="1"/>
  <c r="I63" i="70"/>
  <c r="H63" i="70"/>
  <c r="J63" i="70" s="1"/>
  <c r="I62" i="70"/>
  <c r="H62" i="70"/>
  <c r="J62" i="70" s="1"/>
  <c r="I61" i="70"/>
  <c r="H61" i="70"/>
  <c r="J61" i="70" s="1"/>
  <c r="R60" i="70"/>
  <c r="I60" i="70"/>
  <c r="I65" i="70" s="1"/>
  <c r="L60" i="70" s="1"/>
  <c r="H60" i="70"/>
  <c r="J60" i="70" s="1"/>
  <c r="J65" i="70" s="1"/>
  <c r="F59" i="70"/>
  <c r="I58" i="70"/>
  <c r="H58" i="70"/>
  <c r="J58" i="70" s="1"/>
  <c r="J57" i="70"/>
  <c r="I57" i="70"/>
  <c r="N56" i="70"/>
  <c r="N59" i="70" s="1"/>
  <c r="I56" i="70"/>
  <c r="H56" i="70"/>
  <c r="J56" i="70" s="1"/>
  <c r="J55" i="70"/>
  <c r="I55" i="70"/>
  <c r="I54" i="70"/>
  <c r="H54" i="70"/>
  <c r="J54" i="70" s="1"/>
  <c r="J53" i="70"/>
  <c r="I53" i="70"/>
  <c r="I52" i="70"/>
  <c r="H52" i="70"/>
  <c r="J52" i="70" s="1"/>
  <c r="J51" i="70"/>
  <c r="I51" i="70"/>
  <c r="I50" i="70"/>
  <c r="R50" i="70" s="1"/>
  <c r="H50" i="70"/>
  <c r="J50" i="70" s="1"/>
  <c r="J49" i="70"/>
  <c r="I49" i="70"/>
  <c r="R48" i="70" s="1"/>
  <c r="L48" i="70"/>
  <c r="I48" i="70"/>
  <c r="I59" i="70" s="1"/>
  <c r="H48" i="70"/>
  <c r="J48" i="70" s="1"/>
  <c r="N47" i="70"/>
  <c r="F47" i="70"/>
  <c r="I46" i="70"/>
  <c r="H46" i="70"/>
  <c r="J46" i="70" s="1"/>
  <c r="J45" i="70"/>
  <c r="I45" i="70"/>
  <c r="N44" i="70"/>
  <c r="I44" i="70"/>
  <c r="H44" i="70"/>
  <c r="J44" i="70" s="1"/>
  <c r="J43" i="70"/>
  <c r="I43" i="70"/>
  <c r="I42" i="70"/>
  <c r="H42" i="70"/>
  <c r="J42" i="70" s="1"/>
  <c r="J41" i="70"/>
  <c r="I41" i="70"/>
  <c r="I40" i="70"/>
  <c r="H40" i="70"/>
  <c r="J40" i="70" s="1"/>
  <c r="J39" i="70"/>
  <c r="I39" i="70"/>
  <c r="I38" i="70"/>
  <c r="R38" i="70" s="1"/>
  <c r="H38" i="70"/>
  <c r="J38" i="70" s="1"/>
  <c r="J37" i="70"/>
  <c r="I37" i="70"/>
  <c r="R36" i="70" s="1"/>
  <c r="L36" i="70"/>
  <c r="I36" i="70"/>
  <c r="I47" i="70" s="1"/>
  <c r="H36" i="70"/>
  <c r="J36" i="70" s="1"/>
  <c r="F35" i="70"/>
  <c r="I34" i="70"/>
  <c r="H34" i="70"/>
  <c r="J34" i="70" s="1"/>
  <c r="J33" i="70"/>
  <c r="I33" i="70"/>
  <c r="I32" i="70"/>
  <c r="H32" i="70"/>
  <c r="J32" i="70" s="1"/>
  <c r="N31" i="70"/>
  <c r="N35" i="70" s="1"/>
  <c r="I31" i="70"/>
  <c r="H31" i="70"/>
  <c r="J31" i="70" s="1"/>
  <c r="I30" i="70"/>
  <c r="H30" i="70"/>
  <c r="J30" i="70" s="1"/>
  <c r="J29" i="70"/>
  <c r="I29" i="70"/>
  <c r="R26" i="70" s="1"/>
  <c r="L28" i="70"/>
  <c r="J28" i="70"/>
  <c r="I28" i="70"/>
  <c r="L27" i="70"/>
  <c r="I27" i="70"/>
  <c r="R28" i="70" s="1"/>
  <c r="R212" i="70" s="1"/>
  <c r="H27" i="70"/>
  <c r="J27" i="70" s="1"/>
  <c r="L26" i="70"/>
  <c r="I26" i="70"/>
  <c r="I35" i="70" s="1"/>
  <c r="H26" i="70"/>
  <c r="J26" i="70" s="1"/>
  <c r="N25" i="70"/>
  <c r="F25" i="70"/>
  <c r="I24" i="70"/>
  <c r="H24" i="70"/>
  <c r="J24" i="70" s="1"/>
  <c r="N23" i="70"/>
  <c r="I23" i="70"/>
  <c r="H23" i="70"/>
  <c r="J23" i="70" s="1"/>
  <c r="I22" i="70"/>
  <c r="H22" i="70"/>
  <c r="J22" i="70" s="1"/>
  <c r="I21" i="70"/>
  <c r="H21" i="70"/>
  <c r="J21" i="70" s="1"/>
  <c r="I20" i="70"/>
  <c r="I25" i="70" s="1"/>
  <c r="L20" i="70" s="1"/>
  <c r="H20" i="70"/>
  <c r="J20" i="70" s="1"/>
  <c r="F19" i="70"/>
  <c r="I18" i="70"/>
  <c r="H18" i="70"/>
  <c r="J18" i="70" s="1"/>
  <c r="I17" i="70"/>
  <c r="H17" i="70"/>
  <c r="J17" i="70" s="1"/>
  <c r="I16" i="70"/>
  <c r="H16" i="70"/>
  <c r="J16" i="70" s="1"/>
  <c r="N15" i="70"/>
  <c r="H15" i="70"/>
  <c r="J15" i="70" s="1"/>
  <c r="I14" i="70"/>
  <c r="H14" i="70"/>
  <c r="J14" i="70" s="1"/>
  <c r="I13" i="70"/>
  <c r="H13" i="70"/>
  <c r="J13" i="70" s="1"/>
  <c r="J12" i="70"/>
  <c r="I12" i="70"/>
  <c r="H12" i="70"/>
  <c r="I11" i="70"/>
  <c r="H11" i="70"/>
  <c r="J11" i="70" s="1"/>
  <c r="J10" i="70"/>
  <c r="I10" i="70"/>
  <c r="J9" i="70"/>
  <c r="I9" i="70"/>
  <c r="J8" i="70"/>
  <c r="I8" i="70"/>
  <c r="J7" i="70"/>
  <c r="I7" i="70"/>
  <c r="R7" i="70" s="1"/>
  <c r="R217" i="70" s="1"/>
  <c r="H7" i="70"/>
  <c r="I6" i="70"/>
  <c r="L7" i="70" s="1"/>
  <c r="H6" i="70"/>
  <c r="J6" i="70" s="1"/>
  <c r="I5" i="70"/>
  <c r="L6" i="70" s="1"/>
  <c r="H5" i="70"/>
  <c r="J5" i="70" s="1"/>
  <c r="I40" i="39"/>
  <c r="G40" i="39"/>
  <c r="E40" i="39"/>
  <c r="C40" i="39"/>
  <c r="I48" i="39"/>
  <c r="G48" i="39"/>
  <c r="E48" i="39"/>
  <c r="I9" i="39"/>
  <c r="G9" i="39"/>
  <c r="I7" i="39"/>
  <c r="G7" i="39"/>
  <c r="E9" i="39"/>
  <c r="E7" i="39"/>
  <c r="I7" i="21"/>
  <c r="G7" i="21"/>
  <c r="E7" i="21"/>
  <c r="Q73" i="68"/>
  <c r="Q60" i="68"/>
  <c r="D60" i="68"/>
  <c r="Q59" i="68"/>
  <c r="K59" i="68"/>
  <c r="P75" i="68" s="1"/>
  <c r="F58" i="68"/>
  <c r="Q52" i="68"/>
  <c r="J50" i="68"/>
  <c r="M47" i="68"/>
  <c r="F33" i="68"/>
  <c r="F60" i="68" s="1"/>
  <c r="F32" i="68"/>
  <c r="F59" i="68" s="1"/>
  <c r="F31" i="68"/>
  <c r="F28" i="68"/>
  <c r="C28" i="68" s="1"/>
  <c r="F23" i="68"/>
  <c r="D23" i="68" s="1"/>
  <c r="F21" i="68"/>
  <c r="F20" i="68"/>
  <c r="M19" i="68"/>
  <c r="M18" i="68"/>
  <c r="F18" i="68"/>
  <c r="M17" i="68"/>
  <c r="F17" i="68"/>
  <c r="F15" i="68"/>
  <c r="G1" i="68"/>
  <c r="G21" i="6"/>
  <c r="F20" i="6"/>
  <c r="F19" i="6"/>
  <c r="D3" i="4"/>
  <c r="F6" i="68"/>
  <c r="G52" i="72" l="1"/>
  <c r="H52" i="72" s="1"/>
  <c r="G53" i="72"/>
  <c r="H53" i="72" s="1"/>
  <c r="E48" i="72"/>
  <c r="R49" i="72"/>
  <c r="I52" i="72"/>
  <c r="J52" i="72" s="1"/>
  <c r="I53" i="72"/>
  <c r="J53" i="72" s="1"/>
  <c r="J25" i="70"/>
  <c r="J47" i="70"/>
  <c r="J59" i="70"/>
  <c r="J19" i="70"/>
  <c r="J179" i="70" s="1"/>
  <c r="R27" i="70"/>
  <c r="J35" i="70"/>
  <c r="O28" i="70" s="1"/>
  <c r="R8" i="70"/>
  <c r="R218" i="70" s="1"/>
  <c r="I15" i="70"/>
  <c r="R20" i="70"/>
  <c r="R37" i="70"/>
  <c r="R49" i="70"/>
  <c r="J76" i="70"/>
  <c r="R89" i="70"/>
  <c r="L89" i="70"/>
  <c r="J100" i="70"/>
  <c r="O126" i="70"/>
  <c r="J146" i="70"/>
  <c r="R147" i="70"/>
  <c r="L147" i="70"/>
  <c r="R153" i="70"/>
  <c r="L153" i="70"/>
  <c r="R6" i="70"/>
  <c r="I19" i="70"/>
  <c r="O8" i="70" s="1"/>
  <c r="N19" i="70"/>
  <c r="N179" i="70" s="1"/>
  <c r="L37" i="70"/>
  <c r="L49" i="70"/>
  <c r="R95" i="70"/>
  <c r="L95" i="70"/>
  <c r="R141" i="70"/>
  <c r="L141" i="70"/>
  <c r="N181" i="70"/>
  <c r="I76" i="70"/>
  <c r="L78" i="70"/>
  <c r="I88" i="70"/>
  <c r="L102" i="70"/>
  <c r="I112" i="70"/>
  <c r="R114" i="70"/>
  <c r="I124" i="70"/>
  <c r="O115" i="70" s="1"/>
  <c r="L126" i="70"/>
  <c r="R126" i="70"/>
  <c r="L127" i="70"/>
  <c r="L160" i="70"/>
  <c r="I171" i="70"/>
  <c r="O162" i="70" s="1"/>
  <c r="U210" i="70"/>
  <c r="U215" i="70" s="1"/>
  <c r="D24" i="68"/>
  <c r="D22" i="68"/>
  <c r="J51" i="68"/>
  <c r="P62" i="68"/>
  <c r="AH5" i="59"/>
  <c r="AG5" i="59"/>
  <c r="AE5" i="59"/>
  <c r="AF5" i="59" s="1"/>
  <c r="AD5" i="59"/>
  <c r="Q5" i="59"/>
  <c r="P5" i="59"/>
  <c r="O5" i="59"/>
  <c r="N5" i="59"/>
  <c r="F8" i="68"/>
  <c r="F9" i="68"/>
  <c r="F38" i="68"/>
  <c r="F16" i="68"/>
  <c r="M9" i="68"/>
  <c r="M27" i="68"/>
  <c r="M8" i="68"/>
  <c r="M28" i="68"/>
  <c r="F42" i="68"/>
  <c r="J36" i="68"/>
  <c r="F26" i="68"/>
  <c r="J15" i="68"/>
  <c r="F13" i="68"/>
  <c r="M24" i="68"/>
  <c r="M22" i="68"/>
  <c r="M23" i="68"/>
  <c r="F40" i="68"/>
  <c r="F36" i="68"/>
  <c r="M26" i="68"/>
  <c r="F37" i="68"/>
  <c r="M6" i="68"/>
  <c r="C49" i="72" l="1"/>
  <c r="B3" i="72" s="1"/>
  <c r="B2" i="72" s="1"/>
  <c r="C48" i="72"/>
  <c r="E52" i="72"/>
  <c r="F52" i="72" s="1"/>
  <c r="E53" i="72"/>
  <c r="F53" i="72" s="1"/>
  <c r="R216" i="70"/>
  <c r="I179" i="70"/>
  <c r="P179" i="70" s="1"/>
  <c r="O178" i="70" s="1"/>
  <c r="P177" i="70" s="1"/>
  <c r="L5" i="70"/>
  <c r="R5" i="70"/>
  <c r="R215" i="70" s="1"/>
  <c r="J181" i="70"/>
  <c r="O179" i="70"/>
  <c r="I181" i="70"/>
  <c r="I184" i="70"/>
  <c r="R211" i="70"/>
  <c r="C27" i="68"/>
  <c r="F64" i="68"/>
  <c r="F67" i="68"/>
  <c r="Q72" i="68"/>
  <c r="F65" i="68"/>
  <c r="F50" i="68"/>
  <c r="F63" i="68"/>
  <c r="F25" i="12"/>
  <c r="AH6" i="59" l="1"/>
  <c r="AG6" i="59"/>
  <c r="AE6" i="59"/>
  <c r="AF6" i="59" s="1"/>
  <c r="AD6" i="59"/>
  <c r="Q6" i="59"/>
  <c r="P6" i="59"/>
  <c r="O6" i="59"/>
  <c r="N6" i="59"/>
  <c r="M15" i="49" l="1"/>
  <c r="L15" i="49"/>
  <c r="K15" i="49"/>
  <c r="J15" i="49"/>
  <c r="I15" i="49"/>
  <c r="H15" i="49"/>
  <c r="G15" i="49"/>
  <c r="F15" i="49"/>
  <c r="E15" i="49"/>
  <c r="D15" i="49"/>
  <c r="C15" i="49"/>
  <c r="B15" i="49"/>
  <c r="AH7" i="59" l="1"/>
  <c r="AG7" i="59"/>
  <c r="AF7" i="59"/>
  <c r="AE7" i="59"/>
  <c r="AD7" i="59"/>
  <c r="Q7" i="59"/>
  <c r="P7" i="59"/>
  <c r="O7" i="59"/>
  <c r="N7" i="59"/>
  <c r="L3" i="59" l="1"/>
  <c r="AH3" i="59" s="1"/>
  <c r="K3" i="59"/>
  <c r="J3" i="59"/>
  <c r="AE3" i="59" s="1"/>
  <c r="AF3" i="59" s="1"/>
  <c r="I3" i="59"/>
  <c r="AH8" i="59"/>
  <c r="AG8" i="59"/>
  <c r="AE8" i="59"/>
  <c r="AF8" i="59" s="1"/>
  <c r="AD8" i="59"/>
  <c r="Q8" i="59"/>
  <c r="Q9" i="59"/>
  <c r="P8" i="59"/>
  <c r="P9" i="59"/>
  <c r="AA8" i="59" s="1"/>
  <c r="O8" i="59"/>
  <c r="O9" i="59"/>
  <c r="N8" i="59"/>
  <c r="N9" i="59"/>
  <c r="X8" i="59" s="1"/>
  <c r="AH9" i="59"/>
  <c r="AG9" i="59"/>
  <c r="AE9" i="59"/>
  <c r="AF9" i="59" s="1"/>
  <c r="AD9" i="59"/>
  <c r="Q10" i="59"/>
  <c r="P10" i="59"/>
  <c r="O10" i="59"/>
  <c r="N10" i="59"/>
  <c r="M19" i="46"/>
  <c r="J50" i="15"/>
  <c r="J51" i="15" s="1"/>
  <c r="D12" i="59"/>
  <c r="AH10" i="59"/>
  <c r="AG10" i="59"/>
  <c r="AE10" i="59"/>
  <c r="AF10" i="59" s="1"/>
  <c r="AD10" i="59"/>
  <c r="AE11" i="59"/>
  <c r="AF11" i="59"/>
  <c r="AG11" i="59"/>
  <c r="AH11" i="59"/>
  <c r="AD11" i="59"/>
  <c r="Q11" i="59"/>
  <c r="AB10" i="59" s="1"/>
  <c r="P11" i="59"/>
  <c r="AA10" i="59" s="1"/>
  <c r="O11" i="59"/>
  <c r="Y10" i="59" s="1"/>
  <c r="Z10" i="59" s="1"/>
  <c r="N11" i="59"/>
  <c r="X10" i="59"/>
  <c r="N12" i="59"/>
  <c r="Q12" i="59"/>
  <c r="P12" i="59"/>
  <c r="O12" i="59"/>
  <c r="K59" i="15"/>
  <c r="P62" i="15" s="1"/>
  <c r="Q74" i="44"/>
  <c r="Q61" i="44"/>
  <c r="Q60" i="44"/>
  <c r="Q53" i="44"/>
  <c r="J51" i="44"/>
  <c r="J52" i="44"/>
  <c r="M48" i="44"/>
  <c r="A16" i="55"/>
  <c r="A15" i="55"/>
  <c r="B66" i="63" s="1"/>
  <c r="A14" i="55"/>
  <c r="A11" i="55"/>
  <c r="A10" i="55"/>
  <c r="B61" i="63" s="1"/>
  <c r="A9" i="55"/>
  <c r="B60" i="63" s="1"/>
  <c r="A8" i="55"/>
  <c r="A6" i="54"/>
  <c r="A8" i="54"/>
  <c r="A7" i="54"/>
  <c r="A28" i="51"/>
  <c r="A27" i="51"/>
  <c r="B20" i="63" s="1"/>
  <c r="Q13" i="59"/>
  <c r="AB11" i="59"/>
  <c r="O13" i="59"/>
  <c r="Y11" i="59"/>
  <c r="Z11" i="59" s="1"/>
  <c r="N14" i="59"/>
  <c r="O14" i="59"/>
  <c r="P14" i="59"/>
  <c r="Q14" i="59"/>
  <c r="N13" i="59"/>
  <c r="X11" i="59"/>
  <c r="P13" i="59"/>
  <c r="B15" i="59"/>
  <c r="C15" i="59"/>
  <c r="D15" i="59"/>
  <c r="E15" i="59"/>
  <c r="F15" i="59"/>
  <c r="K75" i="9"/>
  <c r="K6" i="4"/>
  <c r="O76" i="9" s="1"/>
  <c r="L76"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s="1"/>
  <c r="B9" i="59" s="1"/>
  <c r="E14" i="59"/>
  <c r="E13" i="59"/>
  <c r="E11" i="59"/>
  <c r="E10" i="59" s="1"/>
  <c r="E9" i="59" s="1"/>
  <c r="E8" i="59" s="1"/>
  <c r="E7" i="59" s="1"/>
  <c r="C14" i="59"/>
  <c r="F14" i="59"/>
  <c r="F13" i="59"/>
  <c r="F11" i="59"/>
  <c r="V11" i="59" s="1"/>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s="1"/>
  <c r="C3" i="65"/>
  <c r="C1" i="65"/>
  <c r="N1" i="65" s="1"/>
  <c r="T11" i="59"/>
  <c r="D11"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s="1"/>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s="1"/>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s="1"/>
  <c r="C22" i="20"/>
  <c r="B65" i="46" s="1"/>
  <c r="S18" i="36"/>
  <c r="S18" i="35"/>
  <c r="S21" i="37"/>
  <c r="S21" i="34"/>
  <c r="S27" i="40"/>
  <c r="C27" i="40"/>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s="1"/>
  <c r="C54" i="40" s="1"/>
  <c r="H63" i="39"/>
  <c r="I63" i="39"/>
  <c r="C63" i="39"/>
  <c r="H59" i="39"/>
  <c r="I59" i="39"/>
  <c r="C59" i="39" s="1"/>
  <c r="H67" i="39"/>
  <c r="I67" i="39"/>
  <c r="C67" i="39"/>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s="1"/>
  <c r="H10" i="39"/>
  <c r="AB10" i="39" s="1"/>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s="1"/>
  <c r="D113" i="33"/>
  <c r="F37" i="33"/>
  <c r="AA37" i="33" s="1"/>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s="1"/>
  <c r="D87" i="33"/>
  <c r="E87" i="33"/>
  <c r="D85" i="33"/>
  <c r="E85" i="33" s="1"/>
  <c r="F85" i="33" s="1"/>
  <c r="G85" i="33" s="1"/>
  <c r="D81" i="33"/>
  <c r="E81" i="33" s="1"/>
  <c r="F81" i="33" s="1"/>
  <c r="G81" i="33" s="1"/>
  <c r="D79" i="33"/>
  <c r="E79" i="33" s="1"/>
  <c r="F79" i="33" s="1"/>
  <c r="G79" i="33" s="1"/>
  <c r="D77" i="33"/>
  <c r="E77" i="33" s="1"/>
  <c r="F77" i="33" s="1"/>
  <c r="G77" i="33" s="1"/>
  <c r="D69" i="33"/>
  <c r="E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F8" i="33"/>
  <c r="S8" i="33" s="1"/>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c r="C18" i="20"/>
  <c r="B70" i="46"/>
  <c r="C17" i="20"/>
  <c r="B58" i="46"/>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5" i="21" s="1"/>
  <c r="D81" i="21"/>
  <c r="E81" i="21" s="1"/>
  <c r="F81" i="21" s="1"/>
  <c r="G81" i="21" s="1"/>
  <c r="D77" i="21"/>
  <c r="E77" i="21" s="1"/>
  <c r="B130" i="21"/>
  <c r="B128" i="21"/>
  <c r="B126" i="21"/>
  <c r="B98" i="21"/>
  <c r="B96" i="21"/>
  <c r="B94" i="21"/>
  <c r="B92" i="21"/>
  <c r="B90" i="21"/>
  <c r="B74" i="21"/>
  <c r="B72" i="21"/>
  <c r="B70" i="21"/>
  <c r="F12"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BB12" i="3"/>
  <c r="F9" i="12"/>
  <c r="D9" i="12"/>
  <c r="G9" i="12"/>
  <c r="K5" i="3"/>
  <c r="J5" i="3"/>
  <c r="BE10" i="3"/>
  <c r="BD13" i="3"/>
  <c r="BD5" i="3" s="1"/>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c r="J8" i="21"/>
  <c r="AC8" i="21" s="1"/>
  <c r="J9" i="21"/>
  <c r="AC9" i="21" s="1"/>
  <c r="H8" i="21"/>
  <c r="AB8" i="21" s="1"/>
  <c r="H9" i="21"/>
  <c r="AB9" i="21" s="1"/>
  <c r="H39" i="21"/>
  <c r="AB39" i="21" s="1"/>
  <c r="J34" i="21"/>
  <c r="W34" i="21" s="1"/>
  <c r="H36" i="21"/>
  <c r="U36" i="21" s="1"/>
  <c r="F35" i="21"/>
  <c r="AA35" i="21" s="1"/>
  <c r="J33" i="21"/>
  <c r="W33" i="21" s="1"/>
  <c r="H33" i="21"/>
  <c r="U33" i="21" s="1"/>
  <c r="F33"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33" i="33"/>
  <c r="S40" i="33"/>
  <c r="S33" i="33"/>
  <c r="W33" i="33"/>
  <c r="S8" i="21"/>
  <c r="H39" i="37"/>
  <c r="AB39" i="37"/>
  <c r="AB27" i="35"/>
  <c r="S10" i="40"/>
  <c r="W10" i="40"/>
  <c r="S11" i="40"/>
  <c r="U11" i="40"/>
  <c r="S36" i="40"/>
  <c r="U36" i="40"/>
  <c r="S40" i="39"/>
  <c r="S36" i="39"/>
  <c r="F11" i="21"/>
  <c r="S11" i="21" s="1"/>
  <c r="AC40" i="2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36" i="33"/>
  <c r="S36" i="33" s="1"/>
  <c r="F19" i="33"/>
  <c r="S19" i="33" s="1"/>
  <c r="J19" i="33"/>
  <c r="AC19" i="33" s="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s="1"/>
  <c r="S37" i="33"/>
  <c r="W43" i="34"/>
  <c r="AC42" i="34"/>
  <c r="W42" i="34"/>
  <c r="AA42" i="34"/>
  <c r="S42" i="34"/>
  <c r="AC38" i="34"/>
  <c r="W38" i="34"/>
  <c r="AA38" i="34"/>
  <c r="S38" i="34"/>
  <c r="J37" i="33"/>
  <c r="W37" i="33" s="1"/>
  <c r="J42" i="21"/>
  <c r="AC42" i="21" s="1"/>
  <c r="J44" i="34"/>
  <c r="AC44" i="34"/>
  <c r="F44" i="34"/>
  <c r="S44" i="34"/>
  <c r="J10" i="35"/>
  <c r="W10" i="35"/>
  <c r="AL5" i="3"/>
  <c r="BQ13" i="3"/>
  <c r="BL572" i="3"/>
  <c r="AZ572" i="3"/>
  <c r="J14" i="21"/>
  <c r="F14" i="21"/>
  <c r="AA14" i="21" s="1"/>
  <c r="H14" i="21"/>
  <c r="U14" i="21" s="1"/>
  <c r="H28" i="21"/>
  <c r="AB28" i="21" s="1"/>
  <c r="F28" i="21"/>
  <c r="S28" i="21" s="1"/>
  <c r="J28" i="21"/>
  <c r="AC28" i="21" s="1"/>
  <c r="H30" i="21"/>
  <c r="U30" i="21"/>
  <c r="F30" i="21"/>
  <c r="S30" i="2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c r="H29" i="21"/>
  <c r="U29" i="21"/>
  <c r="F29" i="21"/>
  <c r="S29" i="21"/>
  <c r="J31" i="21"/>
  <c r="AC31" i="21"/>
  <c r="H31" i="21"/>
  <c r="U31" i="21"/>
  <c r="F31" i="21"/>
  <c r="S31" i="21"/>
  <c r="J45" i="21"/>
  <c r="W45" i="21" s="1"/>
  <c r="F45" i="21"/>
  <c r="AA45" i="21" s="1"/>
  <c r="H45" i="21"/>
  <c r="U45" i="21" s="1"/>
  <c r="J27" i="33"/>
  <c r="AC27" i="33"/>
  <c r="F27" i="33"/>
  <c r="S27" i="33" s="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W30" i="21"/>
  <c r="AB30" i="21"/>
  <c r="AA28" i="21"/>
  <c r="AB14" i="21"/>
  <c r="W14" i="21"/>
  <c r="AC14" i="21"/>
  <c r="W31" i="34"/>
  <c r="S46" i="33"/>
  <c r="U36" i="37"/>
  <c r="AC13" i="36"/>
  <c r="AB45" i="33"/>
  <c r="AB31" i="33"/>
  <c r="AB27"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s="1"/>
  <c r="J43" i="33"/>
  <c r="AC43" i="33"/>
  <c r="G79" i="37"/>
  <c r="J23" i="37"/>
  <c r="W23" i="37"/>
  <c r="F17" i="37"/>
  <c r="AA17" i="37"/>
  <c r="AB43" i="33"/>
  <c r="D3" i="21"/>
  <c r="AC33" i="36"/>
  <c r="AC12" i="35"/>
  <c r="W23" i="35"/>
  <c r="AC23" i="37"/>
  <c r="S27" i="37"/>
  <c r="U39" i="37"/>
  <c r="AC8" i="37"/>
  <c r="S25" i="37"/>
  <c r="AC36" i="34"/>
  <c r="AB8" i="34"/>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S33" i="21"/>
  <c r="AC5" i="3"/>
  <c r="F40" i="21"/>
  <c r="S40" i="21"/>
  <c r="H40" i="21"/>
  <c r="AB40" i="21"/>
  <c r="E119" i="21"/>
  <c r="F119" i="21"/>
  <c r="G119" i="21"/>
  <c r="H119" i="21"/>
  <c r="I119" i="21"/>
  <c r="J119" i="21"/>
  <c r="K119" i="21"/>
  <c r="L119" i="21"/>
  <c r="M119" i="21"/>
  <c r="AA8" i="33"/>
  <c r="AC8" i="33"/>
  <c r="H66" i="33"/>
  <c r="F10" i="33"/>
  <c r="AA10" i="33" s="1"/>
  <c r="F11" i="33"/>
  <c r="S11" i="33" s="1"/>
  <c r="J15" i="33"/>
  <c r="W15" i="33" s="1"/>
  <c r="H19" i="33"/>
  <c r="AB19" i="33" s="1"/>
  <c r="F32" i="33"/>
  <c r="AA32" i="33"/>
  <c r="J32" i="33"/>
  <c r="AC32" i="33"/>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W43" i="39" s="1"/>
  <c r="F99" i="37"/>
  <c r="AC27" i="37"/>
  <c r="U25" i="35"/>
  <c r="S45" i="34"/>
  <c r="U31" i="34"/>
  <c r="AC40" i="37"/>
  <c r="W40" i="37"/>
  <c r="W27" i="33"/>
  <c r="AC45" i="21"/>
  <c r="S14" i="21"/>
  <c r="AA44" i="34"/>
  <c r="AB29" i="35"/>
  <c r="U29" i="35"/>
  <c r="W19" i="33"/>
  <c r="U43" i="34"/>
  <c r="AB43" i="34"/>
  <c r="AC34" i="37"/>
  <c r="S35" i="37"/>
  <c r="AA35" i="37"/>
  <c r="AB10" i="35"/>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c r="F33" i="39"/>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29"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S34" i="21"/>
  <c r="AB8" i="33"/>
  <c r="U8" i="33"/>
  <c r="E106" i="33"/>
  <c r="H34" i="33"/>
  <c r="U34" i="33"/>
  <c r="F34" i="33"/>
  <c r="S34" i="33"/>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E97" i="39"/>
  <c r="F23" i="39" s="1"/>
  <c r="AA23" i="39" s="1"/>
  <c r="F15" i="40"/>
  <c r="AA15" i="40"/>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s="1"/>
  <c r="H32" i="40"/>
  <c r="U32" i="40" s="1"/>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66" i="9"/>
  <c r="P72" i="9" s="1"/>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W32" i="33"/>
  <c r="H15" i="33"/>
  <c r="U15" i="33" s="1"/>
  <c r="AA40" i="21"/>
  <c r="U16" i="40"/>
  <c r="W34" i="40"/>
  <c r="AB34" i="40"/>
  <c r="AB42" i="40"/>
  <c r="U42" i="40"/>
  <c r="AC16" i="40"/>
  <c r="W32" i="40"/>
  <c r="H25" i="40"/>
  <c r="AB25" i="40"/>
  <c r="F94" i="40"/>
  <c r="G94" i="40"/>
  <c r="U47" i="39"/>
  <c r="W15" i="39"/>
  <c r="J37" i="34"/>
  <c r="AC37" i="34"/>
  <c r="J36" i="33"/>
  <c r="W36" i="33" s="1"/>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S32" i="33"/>
  <c r="H10" i="33"/>
  <c r="U10" i="33" s="1"/>
  <c r="I66" i="33"/>
  <c r="J10" i="33"/>
  <c r="AC10" i="33" s="1"/>
  <c r="U40" i="21"/>
  <c r="U11" i="37"/>
  <c r="AC16" i="35"/>
  <c r="AC13" i="40"/>
  <c r="J11" i="34"/>
  <c r="W11" i="34"/>
  <c r="S17" i="34"/>
  <c r="F25" i="40"/>
  <c r="AA25" i="40"/>
  <c r="H33" i="37"/>
  <c r="AB33" i="37"/>
  <c r="W15" i="34"/>
  <c r="AC15" i="34"/>
  <c r="U20" i="35"/>
  <c r="AB20" i="35"/>
  <c r="W23" i="40"/>
  <c r="AP11" i="1"/>
  <c r="B11" i="1"/>
  <c r="E11" i="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S35" i="33"/>
  <c r="W34" i="33"/>
  <c r="AC12" i="33"/>
  <c r="AB41" i="33"/>
  <c r="U36" i="33"/>
  <c r="S29" i="33"/>
  <c r="W31" i="33"/>
  <c r="W43" i="33"/>
  <c r="U46" i="33"/>
  <c r="W39" i="33"/>
  <c r="U35" i="33"/>
  <c r="AB34" i="33"/>
  <c r="W26" i="33"/>
  <c r="AB26" i="33"/>
  <c r="H25" i="33"/>
  <c r="AB25" i="33" s="1"/>
  <c r="J25" i="33"/>
  <c r="W25" i="33" s="1"/>
  <c r="F87" i="33"/>
  <c r="G87" i="33"/>
  <c r="H87" i="33"/>
  <c r="I87" i="33"/>
  <c r="J87" i="33"/>
  <c r="K87" i="33"/>
  <c r="L87" i="33"/>
  <c r="M87" i="33"/>
  <c r="F25" i="33"/>
  <c r="S25" i="33" s="1"/>
  <c r="J23" i="33"/>
  <c r="AC23" i="33" s="1"/>
  <c r="F23" i="33"/>
  <c r="S23" i="33" s="1"/>
  <c r="H23" i="33"/>
  <c r="U23" i="33" s="1"/>
  <c r="F17" i="33"/>
  <c r="S17" i="33" s="1"/>
  <c r="H17" i="33"/>
  <c r="U17" i="33" s="1"/>
  <c r="J17" i="33"/>
  <c r="AC17" i="33" s="1"/>
  <c r="S14" i="33"/>
  <c r="AC21" i="33"/>
  <c r="W21" i="33"/>
  <c r="W14" i="33"/>
  <c r="U25" i="33"/>
  <c r="AB21" i="33"/>
  <c r="U21" i="33"/>
  <c r="AA21" i="33"/>
  <c r="S21" i="33"/>
  <c r="AA44" i="33"/>
  <c r="AA36" i="33"/>
  <c r="S44" i="21"/>
  <c r="W28" i="21"/>
  <c r="AC46" i="21"/>
  <c r="AC26" i="21"/>
  <c r="H23" i="21"/>
  <c r="U23" i="21" s="1"/>
  <c r="AC11" i="2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AB15" i="39"/>
  <c r="U11" i="39"/>
  <c r="AB38" i="39"/>
  <c r="U31" i="39"/>
  <c r="AB31" i="39"/>
  <c r="S38" i="39"/>
  <c r="S22" i="31"/>
  <c r="M20" i="15"/>
  <c r="D96" i="9"/>
  <c r="F28" i="15"/>
  <c r="M18" i="15"/>
  <c r="A18" i="64"/>
  <c r="B74" i="63"/>
  <c r="C53" i="10"/>
  <c r="A25" i="64" s="1"/>
  <c r="A18" i="51"/>
  <c r="B14" i="63"/>
  <c r="BA16" i="3"/>
  <c r="BA17" i="3"/>
  <c r="AZ17" i="3"/>
  <c r="F3" i="35"/>
  <c r="K1" i="43"/>
  <c r="K1" i="12"/>
  <c r="G1" i="44"/>
  <c r="I4" i="6"/>
  <c r="G3" i="46" s="1"/>
  <c r="AZ15" i="3"/>
  <c r="BK5" i="3"/>
  <c r="BO5" i="3"/>
  <c r="BP5" i="3"/>
  <c r="BN5" i="3"/>
  <c r="BL18" i="3"/>
  <c r="AZ18" i="3"/>
  <c r="BC5" i="3"/>
  <c r="E8" i="6" s="1"/>
  <c r="BR5" i="3"/>
  <c r="G28" i="6" s="1"/>
  <c r="BS5" i="3"/>
  <c r="BQ5" i="3"/>
  <c r="BL16" i="3"/>
  <c r="BM5" i="3"/>
  <c r="F29" i="6" s="1"/>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c r="K5" i="54"/>
  <c r="B38" i="63"/>
  <c r="T41" i="4"/>
  <c r="A17" i="64"/>
  <c r="B46" i="50"/>
  <c r="B4" i="63"/>
  <c r="C46" i="36"/>
  <c r="C48" i="35"/>
  <c r="D48" i="35" s="1"/>
  <c r="C52" i="37"/>
  <c r="D52" i="37" s="1"/>
  <c r="O19" i="46"/>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AB42" i="33"/>
  <c r="AB14" i="33"/>
  <c r="S26" i="33"/>
  <c r="AB12" i="33"/>
  <c r="S39" i="21"/>
  <c r="AB25" i="21"/>
  <c r="AB45" i="21"/>
  <c r="W25" i="21"/>
  <c r="AA25" i="21"/>
  <c r="AA29" i="21"/>
  <c r="U27" i="21"/>
  <c r="W31" i="21"/>
  <c r="W29" i="21"/>
  <c r="G96" i="40"/>
  <c r="J27" i="40"/>
  <c r="W37" i="40"/>
  <c r="S17" i="40"/>
  <c r="W30" i="40"/>
  <c r="S34" i="40"/>
  <c r="U17" i="40"/>
  <c r="U38" i="40"/>
  <c r="S40" i="40"/>
  <c r="S42" i="40"/>
  <c r="J31" i="39"/>
  <c r="W31" i="39" s="1"/>
  <c r="S45" i="39"/>
  <c r="AB33" i="39"/>
  <c r="AC46" i="39"/>
  <c r="W42" i="39"/>
  <c r="W36" i="39"/>
  <c r="AC37" i="39"/>
  <c r="U14" i="39"/>
  <c r="W16" i="39"/>
  <c r="S15" i="39"/>
  <c r="W45"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T6" i="3"/>
  <c r="G29" i="6"/>
  <c r="E29" i="6" s="1"/>
  <c r="K15" i="1" s="1"/>
  <c r="AZ16" i="3"/>
  <c r="A9" i="64"/>
  <c r="A9" i="51"/>
  <c r="B9" i="63" s="1"/>
  <c r="A25" i="51"/>
  <c r="B18" i="63" s="1"/>
  <c r="A3" i="55"/>
  <c r="B56" i="63"/>
  <c r="E4" i="4"/>
  <c r="B21" i="55" s="1"/>
  <c r="B72" i="63" s="1"/>
  <c r="C4" i="4"/>
  <c r="B20" i="55" s="1"/>
  <c r="B70" i="63" s="1"/>
  <c r="G66" i="36"/>
  <c r="J18" i="36"/>
  <c r="AE6" i="1"/>
  <c r="W18" i="36"/>
  <c r="AC18" i="36"/>
  <c r="AG6" i="1"/>
  <c r="L20" i="6"/>
  <c r="S9" i="1"/>
  <c r="R9" i="1"/>
  <c r="C45" i="9"/>
  <c r="H14" i="66"/>
  <c r="B7" i="66" s="1"/>
  <c r="O40" i="9"/>
  <c r="K31" i="9"/>
  <c r="K32" i="9" s="1"/>
  <c r="R7" i="54"/>
  <c r="B52" i="63" s="1"/>
  <c r="N76" i="9"/>
  <c r="C46" i="9"/>
  <c r="K33" i="9"/>
  <c r="O41" i="9"/>
  <c r="I14" i="66"/>
  <c r="B8" i="66" s="1"/>
  <c r="K34" i="9"/>
  <c r="R8" i="54"/>
  <c r="B54" i="63"/>
  <c r="F40" i="15"/>
  <c r="F38" i="15"/>
  <c r="N3" i="65"/>
  <c r="B12" i="67"/>
  <c r="N5" i="65"/>
  <c r="L49" i="44"/>
  <c r="E11" i="67"/>
  <c r="M30" i="44"/>
  <c r="M8" i="44"/>
  <c r="M29" i="68"/>
  <c r="M31" i="44"/>
  <c r="F46" i="44"/>
  <c r="F37" i="44"/>
  <c r="F39" i="44"/>
  <c r="F43" i="44"/>
  <c r="B13" i="67"/>
  <c r="F12" i="67"/>
  <c r="M25" i="44"/>
  <c r="F8" i="67"/>
  <c r="M26" i="44"/>
  <c r="L47" i="68"/>
  <c r="M24" i="44"/>
  <c r="M28" i="44"/>
  <c r="F42" i="15"/>
  <c r="F37" i="15"/>
  <c r="M22" i="15"/>
  <c r="F40" i="44"/>
  <c r="F10" i="67"/>
  <c r="M26" i="15"/>
  <c r="F15" i="44"/>
  <c r="J36" i="15"/>
  <c r="M6" i="15"/>
  <c r="F7" i="68"/>
  <c r="J17" i="44"/>
  <c r="B14" i="67"/>
  <c r="F6" i="15"/>
  <c r="M28" i="15"/>
  <c r="F9" i="67"/>
  <c r="F18" i="44"/>
  <c r="F9" i="15"/>
  <c r="F43" i="68"/>
  <c r="F7" i="15"/>
  <c r="L48" i="15"/>
  <c r="B11" i="67"/>
  <c r="F28" i="44"/>
  <c r="M24" i="15"/>
  <c r="F38" i="44"/>
  <c r="M10" i="44"/>
  <c r="F16" i="15"/>
  <c r="F11" i="67"/>
  <c r="E12" i="67"/>
  <c r="F45" i="44"/>
  <c r="M27" i="15"/>
  <c r="F43" i="15"/>
  <c r="F8" i="44"/>
  <c r="E14" i="67"/>
  <c r="B8" i="67"/>
  <c r="F8" i="15"/>
  <c r="N6" i="65"/>
  <c r="E9" i="67"/>
  <c r="L47" i="15"/>
  <c r="J15" i="15"/>
  <c r="M23" i="15"/>
  <c r="N4" i="65"/>
  <c r="F9" i="44"/>
  <c r="B9" i="67"/>
  <c r="B10" i="67"/>
  <c r="M29" i="44"/>
  <c r="F11" i="44"/>
  <c r="F13" i="67"/>
  <c r="M29" i="15"/>
  <c r="F14" i="67"/>
  <c r="C19" i="44"/>
  <c r="F26" i="15"/>
  <c r="F36" i="15"/>
  <c r="E10" i="67"/>
  <c r="L48" i="44"/>
  <c r="F10" i="44"/>
  <c r="M11" i="44"/>
  <c r="E13" i="67"/>
  <c r="E8" i="67"/>
  <c r="F13" i="15"/>
  <c r="L48" i="68"/>
  <c r="N7" i="65"/>
  <c r="M9" i="15"/>
  <c r="M8" i="15"/>
  <c r="M23" i="44"/>
  <c r="AB11" i="21" l="1"/>
  <c r="AA11" i="33"/>
  <c r="AA11" i="21"/>
  <c r="AA19" i="33"/>
  <c r="L59" i="68"/>
  <c r="AB44" i="21"/>
  <c r="S45" i="21"/>
  <c r="S46" i="21"/>
  <c r="U28" i="33"/>
  <c r="S28" i="33"/>
  <c r="AC28" i="33"/>
  <c r="W23" i="33"/>
  <c r="AA23" i="33"/>
  <c r="W9" i="33"/>
  <c r="F69" i="33"/>
  <c r="J11" i="33"/>
  <c r="W11" i="33" s="1"/>
  <c r="AC36" i="33"/>
  <c r="AB17" i="33"/>
  <c r="AA17" i="33"/>
  <c r="AC15" i="33"/>
  <c r="S9" i="33"/>
  <c r="U9" i="33"/>
  <c r="AA25" i="33"/>
  <c r="AC25" i="33"/>
  <c r="AA27" i="33"/>
  <c r="AC35" i="33"/>
  <c r="S38" i="33"/>
  <c r="U38" i="33"/>
  <c r="W38" i="33"/>
  <c r="U37" i="33"/>
  <c r="AC37" i="33"/>
  <c r="AB23" i="33"/>
  <c r="U19" i="33"/>
  <c r="W17" i="33"/>
  <c r="AB15" i="33"/>
  <c r="S15" i="33"/>
  <c r="S10" i="33"/>
  <c r="AB10" i="33"/>
  <c r="W10" i="33"/>
  <c r="F34" i="15"/>
  <c r="F61" i="15" s="1"/>
  <c r="F34" i="68"/>
  <c r="F61" i="68" s="1"/>
  <c r="M20" i="68"/>
  <c r="F109" i="39"/>
  <c r="F34" i="39"/>
  <c r="AA34" i="39" s="1"/>
  <c r="F49" i="68"/>
  <c r="C48" i="68" s="1"/>
  <c r="M7" i="68"/>
  <c r="J6" i="68" s="1"/>
  <c r="C6" i="68"/>
  <c r="BA13" i="3"/>
  <c r="BA5" i="3" s="1"/>
  <c r="E9" i="12"/>
  <c r="L19" i="6"/>
  <c r="L56" i="68"/>
  <c r="I54" i="68"/>
  <c r="L58" i="68"/>
  <c r="J57" i="68"/>
  <c r="J55" i="68" s="1"/>
  <c r="J58" i="68" s="1"/>
  <c r="Q51" i="68" s="1"/>
  <c r="J53" i="68"/>
  <c r="AP8" i="1"/>
  <c r="L16" i="4"/>
  <c r="C18" i="9"/>
  <c r="D18" i="9" s="1"/>
  <c r="M44" i="9" s="1"/>
  <c r="B74" i="46"/>
  <c r="C31" i="39"/>
  <c r="B54" i="46"/>
  <c r="F70" i="68"/>
  <c r="G13" i="3"/>
  <c r="F93" i="39"/>
  <c r="G93" i="39" s="1"/>
  <c r="F19" i="39"/>
  <c r="J19" i="39"/>
  <c r="W19" i="39" s="1"/>
  <c r="H19" i="39"/>
  <c r="F101" i="39"/>
  <c r="G101" i="39" s="1"/>
  <c r="H27" i="39"/>
  <c r="AB27" i="39" s="1"/>
  <c r="F27" i="39"/>
  <c r="AA27" i="39" s="1"/>
  <c r="J27" i="39"/>
  <c r="AC27" i="39" s="1"/>
  <c r="AB43" i="39"/>
  <c r="AA44" i="39"/>
  <c r="AC43" i="39"/>
  <c r="S41" i="39"/>
  <c r="W41" i="39"/>
  <c r="U41" i="39"/>
  <c r="AC44" i="39"/>
  <c r="AB44" i="39"/>
  <c r="AC31" i="39"/>
  <c r="S31" i="39"/>
  <c r="AC19" i="39"/>
  <c r="W23" i="39"/>
  <c r="U23" i="39"/>
  <c r="S23" i="39"/>
  <c r="AB25" i="39"/>
  <c r="W25" i="39"/>
  <c r="S25" i="39"/>
  <c r="U27" i="39"/>
  <c r="S27" i="39"/>
  <c r="H83" i="39"/>
  <c r="I83" i="39" s="1"/>
  <c r="J83" i="39" s="1"/>
  <c r="K83" i="39" s="1"/>
  <c r="L83" i="39" s="1"/>
  <c r="M83" i="39" s="1"/>
  <c r="U40" i="39"/>
  <c r="W14" i="39"/>
  <c r="S14" i="39"/>
  <c r="F91" i="39"/>
  <c r="G91" i="39" s="1"/>
  <c r="H17" i="39"/>
  <c r="U17" i="39" s="1"/>
  <c r="F17" i="39"/>
  <c r="AA17" i="39" s="1"/>
  <c r="J17" i="39"/>
  <c r="W17" i="39" s="1"/>
  <c r="AA29" i="39"/>
  <c r="S29" i="39"/>
  <c r="H29" i="39"/>
  <c r="U29" i="39" s="1"/>
  <c r="F103" i="39"/>
  <c r="G103" i="39" s="1"/>
  <c r="AB29" i="39"/>
  <c r="W29" i="39"/>
  <c r="S17" i="39"/>
  <c r="AB17" i="39"/>
  <c r="A30" i="51"/>
  <c r="B22" i="63" s="1"/>
  <c r="A30" i="64"/>
  <c r="AC36" i="21"/>
  <c r="AA36" i="21"/>
  <c r="W43" i="21"/>
  <c r="U43" i="21"/>
  <c r="AA43" i="21"/>
  <c r="W42" i="21"/>
  <c r="S42" i="21"/>
  <c r="F66" i="21"/>
  <c r="G66" i="21" s="1"/>
  <c r="H66" i="21" s="1"/>
  <c r="I66" i="21" s="1"/>
  <c r="F10" i="21"/>
  <c r="AA10" i="21" s="1"/>
  <c r="H10" i="21"/>
  <c r="J10" i="21"/>
  <c r="AB33" i="21"/>
  <c r="F101" i="21"/>
  <c r="G101" i="21" s="1"/>
  <c r="H101" i="21" s="1"/>
  <c r="I101" i="21" s="1"/>
  <c r="J101" i="21" s="1"/>
  <c r="K101" i="21" s="1"/>
  <c r="L101" i="21" s="1"/>
  <c r="M101" i="21" s="1"/>
  <c r="J32" i="21"/>
  <c r="AC32" i="21" s="1"/>
  <c r="F32" i="21"/>
  <c r="H32" i="21"/>
  <c r="U32" i="21" s="1"/>
  <c r="F108" i="21"/>
  <c r="G108" i="21" s="1"/>
  <c r="H108" i="21" s="1"/>
  <c r="I108" i="21" s="1"/>
  <c r="J108" i="21" s="1"/>
  <c r="K108" i="21" s="1"/>
  <c r="L108" i="21" s="1"/>
  <c r="M108" i="21" s="1"/>
  <c r="H35" i="21"/>
  <c r="AB35" i="21" s="1"/>
  <c r="H113" i="21"/>
  <c r="J37" i="21"/>
  <c r="F37" i="21"/>
  <c r="H37" i="21"/>
  <c r="F85" i="21"/>
  <c r="G85" i="21" s="1"/>
  <c r="J23" i="21"/>
  <c r="W23" i="21" s="1"/>
  <c r="F23" i="21"/>
  <c r="AA23" i="21" s="1"/>
  <c r="F17" i="21"/>
  <c r="S17" i="21" s="1"/>
  <c r="J17" i="21"/>
  <c r="AC17" i="21" s="1"/>
  <c r="F79" i="21"/>
  <c r="G79" i="21" s="1"/>
  <c r="H17" i="21"/>
  <c r="AB17" i="21" s="1"/>
  <c r="F15" i="21"/>
  <c r="S15" i="21" s="1"/>
  <c r="H15" i="21"/>
  <c r="AB15" i="21" s="1"/>
  <c r="F77" i="21"/>
  <c r="G77" i="21" s="1"/>
  <c r="J15" i="21"/>
  <c r="AC15" i="21" s="1"/>
  <c r="U35" i="21"/>
  <c r="AC35" i="21"/>
  <c r="S35" i="21"/>
  <c r="U39" i="21"/>
  <c r="W39" i="21"/>
  <c r="U42" i="21"/>
  <c r="U38" i="21"/>
  <c r="AA38" i="21"/>
  <c r="AC34" i="21"/>
  <c r="AB34" i="21"/>
  <c r="AB23" i="21"/>
  <c r="U15" i="21"/>
  <c r="AA17" i="21"/>
  <c r="S19" i="21"/>
  <c r="AC19" i="21"/>
  <c r="U19" i="21"/>
  <c r="S21" i="21"/>
  <c r="S27" i="21"/>
  <c r="AC27" i="21"/>
  <c r="AB36" i="21"/>
  <c r="AA15" i="21"/>
  <c r="W15" i="21"/>
  <c r="AA9" i="21"/>
  <c r="W9" i="21"/>
  <c r="W8" i="21"/>
  <c r="P75" i="15"/>
  <c r="F71" i="9"/>
  <c r="D23" i="15"/>
  <c r="M8" i="1"/>
  <c r="H16" i="1"/>
  <c r="E58" i="39"/>
  <c r="F27" i="6"/>
  <c r="E53" i="40"/>
  <c r="E27" i="6"/>
  <c r="F30" i="6"/>
  <c r="D12" i="11"/>
  <c r="C12" i="11" s="1"/>
  <c r="L27" i="6"/>
  <c r="BL13" i="3"/>
  <c r="BL5" i="3" s="1"/>
  <c r="K17" i="4"/>
  <c r="A22" i="51" s="1"/>
  <c r="B16" i="63" s="1"/>
  <c r="K76" i="9"/>
  <c r="K77" i="9" s="1"/>
  <c r="K79" i="9" s="1"/>
  <c r="K81" i="9" s="1"/>
  <c r="D58" i="21"/>
  <c r="E58" i="21" s="1"/>
  <c r="F58" i="21" s="1"/>
  <c r="G58" i="21" s="1"/>
  <c r="H58" i="21" s="1"/>
  <c r="I58" i="21" s="1"/>
  <c r="J58" i="21" s="1"/>
  <c r="K58" i="21" s="1"/>
  <c r="L58" i="21" s="1"/>
  <c r="M58" i="21" s="1"/>
  <c r="N58" i="21" s="1"/>
  <c r="O58" i="21" s="1"/>
  <c r="H7" i="21"/>
  <c r="J7" i="21"/>
  <c r="AC7" i="21" s="1"/>
  <c r="D70" i="39"/>
  <c r="C72" i="39"/>
  <c r="D58" i="33"/>
  <c r="E58" i="33" s="1"/>
  <c r="F58" i="33" s="1"/>
  <c r="G58" i="33" s="1"/>
  <c r="H58" i="33" s="1"/>
  <c r="I58" i="33" s="1"/>
  <c r="J58" i="33" s="1"/>
  <c r="K58" i="33" s="1"/>
  <c r="L58" i="33" s="1"/>
  <c r="M58" i="33" s="1"/>
  <c r="N58" i="33" s="1"/>
  <c r="O58" i="33" s="1"/>
  <c r="J7" i="33"/>
  <c r="AC7" i="33" s="1"/>
  <c r="C67" i="40"/>
  <c r="D65" i="40"/>
  <c r="H58" i="46"/>
  <c r="J17" i="46"/>
  <c r="C17" i="46"/>
  <c r="F34" i="46"/>
  <c r="F38" i="46"/>
  <c r="F37" i="46"/>
  <c r="H113" i="46"/>
  <c r="H49" i="46"/>
  <c r="H53" i="46"/>
  <c r="W7" i="33"/>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G30" i="6"/>
  <c r="G31" i="6" s="1"/>
  <c r="C30" i="44"/>
  <c r="C25" i="12"/>
  <c r="C15" i="43"/>
  <c r="C27" i="43"/>
  <c r="C31" i="43"/>
  <c r="C28" i="15"/>
  <c r="C15" i="12"/>
  <c r="H1" i="65"/>
  <c r="W7" i="21"/>
  <c r="Q16" i="1"/>
  <c r="F31" i="6"/>
  <c r="H51" i="46"/>
  <c r="X7" i="46"/>
  <c r="E17" i="46"/>
  <c r="N17" i="46"/>
  <c r="O17" i="46"/>
  <c r="M17" i="46"/>
  <c r="L17" i="46"/>
  <c r="H22" i="46"/>
  <c r="Y11" i="46"/>
  <c r="Y13" i="46" s="1"/>
  <c r="H101" i="46"/>
  <c r="H102" i="46" s="1"/>
  <c r="G22" i="46"/>
  <c r="F101" i="46"/>
  <c r="F106" i="46" s="1"/>
  <c r="D101" i="46"/>
  <c r="D106" i="46" s="1"/>
  <c r="F33" i="12"/>
  <c r="E28" i="6"/>
  <c r="O7" i="1"/>
  <c r="P7" i="1" s="1"/>
  <c r="O11" i="1"/>
  <c r="P11" i="1" s="1"/>
  <c r="O13" i="1"/>
  <c r="P13" i="1" s="1"/>
  <c r="O9" i="1"/>
  <c r="P9" i="1" s="1"/>
  <c r="E14" i="6"/>
  <c r="E15" i="6"/>
  <c r="E13" i="6"/>
  <c r="E12" i="6"/>
  <c r="E10" i="6"/>
  <c r="E11" i="6"/>
  <c r="O12" i="1"/>
  <c r="P12" i="1" s="1"/>
  <c r="AP7" i="1"/>
  <c r="G13" i="1"/>
  <c r="E52" i="37"/>
  <c r="D46" i="36"/>
  <c r="AP16" i="1"/>
  <c r="F22" i="11" s="1"/>
  <c r="E48" i="35"/>
  <c r="D59" i="34"/>
  <c r="G6" i="1"/>
  <c r="G16" i="1" s="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H62" i="46"/>
  <c r="AF12" i="46"/>
  <c r="K100"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8" i="59"/>
  <c r="C7" i="59" s="1"/>
  <c r="T7" i="59" s="1"/>
  <c r="B6" i="52"/>
  <c r="E7" i="52"/>
  <c r="E6" i="52"/>
  <c r="E4" i="52"/>
  <c r="B7" i="52"/>
  <c r="E5" i="52"/>
  <c r="P21" i="46"/>
  <c r="B8" i="59"/>
  <c r="B7" i="59" s="1"/>
  <c r="S7" i="59" s="1"/>
  <c r="D8"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3" i="44"/>
  <c r="F58" i="15"/>
  <c r="M17" i="15"/>
  <c r="F31" i="15"/>
  <c r="M19" i="44"/>
  <c r="I7" i="65"/>
  <c r="J5" i="65"/>
  <c r="C16" i="15"/>
  <c r="J4" i="65"/>
  <c r="C16" i="68"/>
  <c r="I6" i="65"/>
  <c r="I4" i="65"/>
  <c r="I3" i="65"/>
  <c r="J3" i="65"/>
  <c r="J6" i="65"/>
  <c r="I5" i="65"/>
  <c r="J7" i="65"/>
  <c r="C18" i="44"/>
  <c r="Q75" i="68" l="1"/>
  <c r="Q62" i="68"/>
  <c r="AC11" i="33"/>
  <c r="V48" i="33" s="1"/>
  <c r="I48" i="33" s="1"/>
  <c r="I52" i="33" s="1"/>
  <c r="J52" i="33" s="1"/>
  <c r="G69" i="33"/>
  <c r="H69" i="33" s="1"/>
  <c r="I69" i="33" s="1"/>
  <c r="J69" i="33" s="1"/>
  <c r="K69" i="33" s="1"/>
  <c r="L69" i="33" s="1"/>
  <c r="M69" i="33" s="1"/>
  <c r="H11" i="33"/>
  <c r="G17" i="46"/>
  <c r="C16" i="46" s="1"/>
  <c r="S34" i="39"/>
  <c r="G109" i="39"/>
  <c r="H109" i="39" s="1"/>
  <c r="I109" i="39" s="1"/>
  <c r="J109" i="39" s="1"/>
  <c r="K109" i="39" s="1"/>
  <c r="L109" i="39" s="1"/>
  <c r="M109" i="39" s="1"/>
  <c r="H34" i="39"/>
  <c r="J34" i="39"/>
  <c r="M109" i="46"/>
  <c r="M103" i="46"/>
  <c r="F103" i="46"/>
  <c r="F102" i="46"/>
  <c r="F109" i="46"/>
  <c r="Q53" i="68"/>
  <c r="F1" i="68"/>
  <c r="Q61" i="68"/>
  <c r="Q74" i="68"/>
  <c r="M43" i="9"/>
  <c r="W32" i="21"/>
  <c r="AB32" i="21"/>
  <c r="O8" i="1"/>
  <c r="P8" i="1" s="1"/>
  <c r="G5" i="3"/>
  <c r="B3" i="3" s="1"/>
  <c r="U19" i="39"/>
  <c r="AB19" i="39"/>
  <c r="S19" i="39"/>
  <c r="AA19" i="39"/>
  <c r="W27" i="39"/>
  <c r="AC17" i="39"/>
  <c r="W17" i="21"/>
  <c r="AC23" i="21"/>
  <c r="AC10" i="21"/>
  <c r="W10" i="21"/>
  <c r="S10" i="21"/>
  <c r="U10" i="21"/>
  <c r="AB10" i="21"/>
  <c r="AA32" i="21"/>
  <c r="S32" i="21"/>
  <c r="U37" i="21"/>
  <c r="AB37" i="21"/>
  <c r="W37" i="21"/>
  <c r="AC37" i="21"/>
  <c r="S37" i="21"/>
  <c r="AA37" i="21"/>
  <c r="S23" i="21"/>
  <c r="U17" i="21"/>
  <c r="V48" i="21"/>
  <c r="I48" i="21" s="1"/>
  <c r="I52" i="21" s="1"/>
  <c r="J52" i="21" s="1"/>
  <c r="F11" i="68"/>
  <c r="M11" i="68"/>
  <c r="J10" i="68" s="1"/>
  <c r="J5" i="68" s="1"/>
  <c r="AH13" i="46"/>
  <c r="I106" i="46"/>
  <c r="H103" i="46"/>
  <c r="AZ13" i="3"/>
  <c r="AZ5" i="3" s="1"/>
  <c r="E65" i="40"/>
  <c r="D67" i="40"/>
  <c r="F7" i="21"/>
  <c r="E70" i="39"/>
  <c r="D72" i="39"/>
  <c r="AB7" i="21"/>
  <c r="T48" i="21" s="1"/>
  <c r="G48" i="21" s="1"/>
  <c r="U7" i="21"/>
  <c r="F6" i="59"/>
  <c r="F5" i="59" s="1"/>
  <c r="V7" i="59"/>
  <c r="C34" i="12"/>
  <c r="D33" i="12" s="1"/>
  <c r="B6" i="59"/>
  <c r="B5" i="59" s="1"/>
  <c r="D7" i="59"/>
  <c r="C6" i="59"/>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AB7" i="33"/>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2" i="65"/>
  <c r="AE8" i="1"/>
  <c r="AE7" i="1"/>
  <c r="E3" i="65"/>
  <c r="U11" i="33" l="1"/>
  <c r="AB11" i="33"/>
  <c r="T48" i="33" s="1"/>
  <c r="AC34" i="39"/>
  <c r="W34" i="39"/>
  <c r="AB34" i="39"/>
  <c r="U34" i="39"/>
  <c r="E23" i="3"/>
  <c r="E265" i="3"/>
  <c r="AM6" i="3"/>
  <c r="E337" i="3"/>
  <c r="E158"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561" i="3"/>
  <c r="E443" i="3"/>
  <c r="E194" i="3"/>
  <c r="E78" i="3"/>
  <c r="E390" i="3"/>
  <c r="E296"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8" i="3"/>
  <c r="Y6" i="3"/>
  <c r="E526" i="3"/>
  <c r="AR6" i="3"/>
  <c r="E416" i="3"/>
  <c r="E466" i="3"/>
  <c r="E65" i="3"/>
  <c r="E51" i="3"/>
  <c r="E513" i="3"/>
  <c r="E198" i="3"/>
  <c r="E345" i="3"/>
  <c r="E281" i="3"/>
  <c r="E72" i="3"/>
  <c r="E290" i="3"/>
  <c r="E440" i="3"/>
  <c r="AF6" i="3"/>
  <c r="E331" i="3"/>
  <c r="E40" i="3"/>
  <c r="E362" i="3"/>
  <c r="E559" i="3"/>
  <c r="E150" i="3"/>
  <c r="E228" i="3"/>
  <c r="E314" i="3"/>
  <c r="E324"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E477" i="3"/>
  <c r="E96" i="3"/>
  <c r="E540" i="3"/>
  <c r="E160" i="3"/>
  <c r="E134" i="3"/>
  <c r="E242" i="3"/>
  <c r="AI6" i="3"/>
  <c r="E133" i="3"/>
  <c r="E239" i="3"/>
  <c r="E87" i="3"/>
  <c r="E234" i="3"/>
  <c r="E458" i="3"/>
  <c r="E128" i="3"/>
  <c r="E29" i="3"/>
  <c r="E176" i="3"/>
  <c r="E256" i="3"/>
  <c r="E554" i="3"/>
  <c r="E491"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AB6" i="3"/>
  <c r="E26" i="3"/>
  <c r="E488" i="3"/>
  <c r="S6" i="3"/>
  <c r="E244" i="3"/>
  <c r="E322" i="3"/>
  <c r="E71" i="3"/>
  <c r="E511" i="3"/>
  <c r="E137" i="3"/>
  <c r="E17" i="3"/>
  <c r="E240" i="3"/>
  <c r="E377" i="3"/>
  <c r="E301" i="3"/>
  <c r="E18" i="3"/>
  <c r="E382" i="3"/>
  <c r="E358" i="3"/>
  <c r="E484" i="3"/>
  <c r="E509" i="3"/>
  <c r="E326" i="3"/>
  <c r="E20" i="3"/>
  <c r="E356" i="3"/>
  <c r="E564" i="3"/>
  <c r="E481" i="3"/>
  <c r="E406" i="3"/>
  <c r="E563" i="3"/>
  <c r="E138" i="3"/>
  <c r="E254" i="3"/>
  <c r="E328" i="3"/>
  <c r="E112" i="3"/>
  <c r="E519" i="3"/>
  <c r="E341" i="3"/>
  <c r="E155" i="3"/>
  <c r="E268" i="3"/>
  <c r="E252" i="3"/>
  <c r="E316" i="3"/>
  <c r="E346" i="3"/>
  <c r="E175" i="3"/>
  <c r="E544" i="3"/>
  <c r="E318" i="3"/>
  <c r="E541" i="3"/>
  <c r="E565" i="3"/>
  <c r="E523" i="3"/>
  <c r="E380" i="3"/>
  <c r="E557" i="3"/>
  <c r="E50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3" i="3"/>
  <c r="E156" i="3"/>
  <c r="E49"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535" i="3"/>
  <c r="E381" i="3"/>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103" i="3"/>
  <c r="E548" i="3"/>
  <c r="E200" i="3"/>
  <c r="Z6" i="3"/>
  <c r="E62" i="3"/>
  <c r="E454" i="3"/>
  <c r="E389" i="3"/>
  <c r="E520" i="3"/>
  <c r="E230" i="3"/>
  <c r="AK6" i="3"/>
  <c r="E143" i="3"/>
  <c r="E13" i="3"/>
  <c r="J26" i="68"/>
  <c r="J18" i="68"/>
  <c r="J24" i="68"/>
  <c r="C10" i="68"/>
  <c r="C5" i="68" s="1"/>
  <c r="C52" i="68"/>
  <c r="C47" i="68" s="1"/>
  <c r="O28" i="46"/>
  <c r="M21" i="6"/>
  <c r="I21" i="6" s="1"/>
  <c r="S21" i="6" s="1"/>
  <c r="S8" i="1"/>
  <c r="M20" i="6"/>
  <c r="I20" i="6" s="1"/>
  <c r="S20" i="6" s="1"/>
  <c r="S7" i="1"/>
  <c r="E3" i="6"/>
  <c r="AY6" i="3"/>
  <c r="G52" i="21"/>
  <c r="H52" i="21" s="1"/>
  <c r="G53" i="21"/>
  <c r="H53" i="21" s="1"/>
  <c r="F70" i="39"/>
  <c r="E72" i="39"/>
  <c r="AA7" i="21"/>
  <c r="R48" i="21" s="1"/>
  <c r="S7" i="21"/>
  <c r="F65" i="40"/>
  <c r="E67" i="40"/>
  <c r="D6" i="59"/>
  <c r="C5" i="59"/>
  <c r="D5" i="59" s="1"/>
  <c r="M28" i="46"/>
  <c r="G20" i="46" s="1"/>
  <c r="E41" i="46" s="1"/>
  <c r="C41" i="46" s="1"/>
  <c r="N28" i="46"/>
  <c r="B40" i="1"/>
  <c r="F17" i="11"/>
  <c r="C17" i="11" s="1"/>
  <c r="C19" i="11" s="1"/>
  <c r="C20" i="11" s="1"/>
  <c r="C21" i="11" s="1"/>
  <c r="C22" i="11" s="1"/>
  <c r="C23" i="11" s="1"/>
  <c r="B2" i="11" s="1"/>
  <c r="S5" i="46"/>
  <c r="S2" i="46"/>
  <c r="S3" i="46"/>
  <c r="S7" i="46"/>
  <c r="S6" i="46"/>
  <c r="S4" i="46"/>
  <c r="K16" i="1"/>
  <c r="M14" i="1"/>
  <c r="M19" i="6"/>
  <c r="K27" i="6"/>
  <c r="G52" i="37"/>
  <c r="H7" i="34"/>
  <c r="J7" i="34"/>
  <c r="AA12" i="40"/>
  <c r="S12" i="40"/>
  <c r="S12" i="39"/>
  <c r="AA12" i="39"/>
  <c r="W12" i="40"/>
  <c r="AC12" i="40"/>
  <c r="E48" i="33"/>
  <c r="G48" i="35"/>
  <c r="AC12" i="39"/>
  <c r="W12" i="39"/>
  <c r="AB12" i="40"/>
  <c r="U12" i="40"/>
  <c r="U12" i="39"/>
  <c r="AB12" i="39"/>
  <c r="F46" i="36"/>
  <c r="G46" i="36" s="1"/>
  <c r="H46" i="36" s="1"/>
  <c r="I46" i="36" s="1"/>
  <c r="J46" i="36" s="1"/>
  <c r="K46" i="36" s="1"/>
  <c r="L46" i="36" s="1"/>
  <c r="M46" i="36" s="1"/>
  <c r="N46" i="36" s="1"/>
  <c r="O46" i="36" s="1"/>
  <c r="F7" i="34"/>
  <c r="C115" i="46"/>
  <c r="D113" i="46" s="1"/>
  <c r="J22" i="46" s="1"/>
  <c r="J28" i="44"/>
  <c r="J31" i="44" s="1"/>
  <c r="J26" i="44"/>
  <c r="J20" i="44"/>
  <c r="C34" i="44"/>
  <c r="C40" i="44"/>
  <c r="C52" i="15"/>
  <c r="C47" i="15" s="1"/>
  <c r="C10" i="15"/>
  <c r="C5" i="15" s="1"/>
  <c r="J24" i="15"/>
  <c r="J18" i="15"/>
  <c r="L52" i="44"/>
  <c r="C17" i="15"/>
  <c r="F41" i="68"/>
  <c r="F41" i="15"/>
  <c r="C17" i="68"/>
  <c r="G48" i="33" l="1"/>
  <c r="R49" i="33"/>
  <c r="C49" i="33" s="1"/>
  <c r="B3" i="33" s="1"/>
  <c r="E6" i="3"/>
  <c r="F68" i="68"/>
  <c r="J29" i="68"/>
  <c r="F68" i="15"/>
  <c r="S16" i="1"/>
  <c r="F24" i="15"/>
  <c r="C24" i="15" s="1"/>
  <c r="F24" i="68"/>
  <c r="C59" i="68"/>
  <c r="C65" i="68"/>
  <c r="C38" i="68"/>
  <c r="C32" i="68"/>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BE6" i="3"/>
  <c r="AY121" i="3"/>
  <c r="AY523" i="3"/>
  <c r="AY482" i="3"/>
  <c r="AY441" i="3"/>
  <c r="AY491" i="3"/>
  <c r="AY508" i="3"/>
  <c r="C21" i="4"/>
  <c r="O5" i="54" s="1"/>
  <c r="B45" i="63" s="1"/>
  <c r="D10" i="11"/>
  <c r="D16" i="12"/>
  <c r="E6" i="6"/>
  <c r="D16" i="43"/>
  <c r="C16" i="43" s="1"/>
  <c r="L38" i="9"/>
  <c r="B14" i="66" s="1"/>
  <c r="B1" i="66" s="1"/>
  <c r="D46" i="9"/>
  <c r="D45" i="9"/>
  <c r="F67" i="40"/>
  <c r="G65" i="40"/>
  <c r="E48" i="21"/>
  <c r="R49" i="21"/>
  <c r="F72" i="39"/>
  <c r="G70" i="39"/>
  <c r="F21" i="43"/>
  <c r="C23" i="43" s="1"/>
  <c r="D21" i="43" s="1"/>
  <c r="F7" i="36"/>
  <c r="S7" i="36" s="1"/>
  <c r="C20" i="46"/>
  <c r="M20" i="46"/>
  <c r="C19" i="46" s="1"/>
  <c r="F26" i="12"/>
  <c r="C27" i="12" s="1"/>
  <c r="D26" i="12" s="1"/>
  <c r="C32" i="12" s="1"/>
  <c r="D30" i="12" s="1"/>
  <c r="F26" i="44"/>
  <c r="C26" i="44" s="1"/>
  <c r="I19" i="6"/>
  <c r="M27" i="6"/>
  <c r="T13" i="1"/>
  <c r="M16" i="1"/>
  <c r="T9" i="1"/>
  <c r="T11" i="1"/>
  <c r="T12" i="1"/>
  <c r="O14" i="1"/>
  <c r="O16" i="1" s="1"/>
  <c r="T7" i="1"/>
  <c r="T10" i="1"/>
  <c r="T6" i="1"/>
  <c r="T8" i="1"/>
  <c r="AA7" i="36"/>
  <c r="R36" i="36" s="1"/>
  <c r="H48" i="35"/>
  <c r="E52" i="33"/>
  <c r="F52" i="33" s="1"/>
  <c r="E53" i="33"/>
  <c r="F53" i="33" s="1"/>
  <c r="I53" i="33"/>
  <c r="J53" i="33" s="1"/>
  <c r="W7" i="34"/>
  <c r="AC7" i="34"/>
  <c r="V49" i="34" s="1"/>
  <c r="I49" i="34" s="1"/>
  <c r="S7" i="34"/>
  <c r="AA7" i="34"/>
  <c r="R49" i="34" s="1"/>
  <c r="H7" i="36"/>
  <c r="C48" i="33"/>
  <c r="AB7" i="34"/>
  <c r="T49" i="34" s="1"/>
  <c r="G49" i="34" s="1"/>
  <c r="U7" i="34"/>
  <c r="H52" i="37"/>
  <c r="J7" i="36"/>
  <c r="Q69" i="44"/>
  <c r="L58" i="44"/>
  <c r="L61" i="44" s="1"/>
  <c r="L47" i="44" s="1"/>
  <c r="C32" i="15"/>
  <c r="C38" i="15"/>
  <c r="B5" i="11"/>
  <c r="B3" i="11"/>
  <c r="B4" i="11"/>
  <c r="C59" i="15"/>
  <c r="C65" i="15"/>
  <c r="Q49" i="44"/>
  <c r="Q55" i="44" s="1"/>
  <c r="Q67" i="44"/>
  <c r="Q58" i="44"/>
  <c r="C14" i="15"/>
  <c r="C14" i="68"/>
  <c r="C16" i="44"/>
  <c r="B2" i="33" l="1"/>
  <c r="D10" i="12" s="1"/>
  <c r="D8" i="12"/>
  <c r="G52" i="33"/>
  <c r="H52" i="33" s="1"/>
  <c r="G53" i="33"/>
  <c r="H53" i="33" s="1"/>
  <c r="T16" i="1"/>
  <c r="C18" i="68"/>
  <c r="C15" i="68"/>
  <c r="C24" i="68"/>
  <c r="C7" i="66"/>
  <c r="C8" i="66"/>
  <c r="D22" i="12"/>
  <c r="C22" i="12" s="1"/>
  <c r="C20" i="12" s="1"/>
  <c r="D13" i="11"/>
  <c r="C13" i="11" s="1"/>
  <c r="D19" i="12"/>
  <c r="C19" i="12" s="1"/>
  <c r="C16" i="12"/>
  <c r="C22" i="4"/>
  <c r="D21" i="6"/>
  <c r="D10" i="6"/>
  <c r="H21" i="6"/>
  <c r="D6" i="6"/>
  <c r="D14" i="6"/>
  <c r="D20" i="6"/>
  <c r="H23" i="6"/>
  <c r="F45" i="9"/>
  <c r="E68" i="39"/>
  <c r="D24" i="6"/>
  <c r="D22" i="6"/>
  <c r="D12" i="6"/>
  <c r="H25" i="6"/>
  <c r="D5" i="6"/>
  <c r="H22" i="6"/>
  <c r="H26" i="6"/>
  <c r="F46" i="9"/>
  <c r="E63" i="40"/>
  <c r="D19" i="6"/>
  <c r="D25" i="6"/>
  <c r="R25" i="6" s="1"/>
  <c r="D13" i="6"/>
  <c r="H24" i="6"/>
  <c r="D23" i="6"/>
  <c r="D28" i="6"/>
  <c r="D8" i="6"/>
  <c r="E45" i="9"/>
  <c r="K38" i="9"/>
  <c r="C14" i="66" s="1"/>
  <c r="B2" i="66" s="1"/>
  <c r="D26" i="6"/>
  <c r="D11" i="6"/>
  <c r="H20" i="6"/>
  <c r="D9" i="6"/>
  <c r="D29" i="6"/>
  <c r="D15" i="6"/>
  <c r="E46" i="9"/>
  <c r="P14" i="1"/>
  <c r="P16" i="1" s="1"/>
  <c r="C13" i="12" s="1"/>
  <c r="C17" i="12" s="1"/>
  <c r="H70" i="39"/>
  <c r="G72" i="39"/>
  <c r="C48" i="21"/>
  <c r="C49" i="21"/>
  <c r="B3" i="21" s="1"/>
  <c r="H65" i="40"/>
  <c r="G67" i="40"/>
  <c r="E53" i="21"/>
  <c r="F53" i="21" s="1"/>
  <c r="E52" i="21"/>
  <c r="F52" i="21" s="1"/>
  <c r="I53" i="21"/>
  <c r="J53" i="21" s="1"/>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4" i="12" l="1"/>
  <c r="C19" i="68"/>
  <c r="C20" i="68" s="1"/>
  <c r="C26" i="68" s="1"/>
  <c r="R26" i="6"/>
  <c r="B2" i="21"/>
  <c r="C10" i="12" s="1"/>
  <c r="C8" i="12"/>
  <c r="R23" i="6"/>
  <c r="E29" i="46"/>
  <c r="D7" i="66"/>
  <c r="D8" i="66"/>
  <c r="D30" i="6"/>
  <c r="R22" i="6"/>
  <c r="R21" i="6"/>
  <c r="R8" i="1" s="1"/>
  <c r="D16" i="6"/>
  <c r="D27" i="6"/>
  <c r="D31" i="6" s="1"/>
  <c r="I6" i="6" s="1"/>
  <c r="R24" i="6"/>
  <c r="R20" i="6"/>
  <c r="R7" i="1" s="1"/>
  <c r="A6" i="64"/>
  <c r="A20" i="51"/>
  <c r="B15" i="63" s="1"/>
  <c r="A6" i="51"/>
  <c r="B7" i="63" s="1"/>
  <c r="A20" i="64"/>
  <c r="N5" i="54"/>
  <c r="B43" i="63" s="1"/>
  <c r="H67" i="40"/>
  <c r="I65" i="40"/>
  <c r="I70" i="39"/>
  <c r="H72" i="39"/>
  <c r="G39" i="46"/>
  <c r="I39" i="46" s="1"/>
  <c r="E39" i="46"/>
  <c r="E38" i="46"/>
  <c r="G38" i="46"/>
  <c r="I38" i="46" s="1"/>
  <c r="E33" i="46"/>
  <c r="G33" i="46"/>
  <c r="I33" i="46" s="1"/>
  <c r="C27" i="46" s="1"/>
  <c r="G37" i="46"/>
  <c r="I37" i="46" s="1"/>
  <c r="E37" i="46"/>
  <c r="G36" i="46"/>
  <c r="I36" i="46" s="1"/>
  <c r="E36" i="46"/>
  <c r="I5" i="6"/>
  <c r="C19" i="15"/>
  <c r="C20" i="15" s="1"/>
  <c r="C26" i="15" s="1"/>
  <c r="C21" i="44"/>
  <c r="C22" i="44" s="1"/>
  <c r="C25" i="44" s="1"/>
  <c r="C18" i="12"/>
  <c r="C23" i="12"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35" i="15"/>
  <c r="M21" i="15"/>
  <c r="F7" i="67"/>
  <c r="F35" i="68"/>
  <c r="M21" i="68"/>
  <c r="C26" i="46" l="1"/>
  <c r="C23" i="68"/>
  <c r="C29" i="68" s="1"/>
  <c r="F62" i="15"/>
  <c r="C61" i="15" s="1"/>
  <c r="C34" i="15"/>
  <c r="J20" i="15"/>
  <c r="F62" i="68"/>
  <c r="C61" i="68" s="1"/>
  <c r="C34" i="68"/>
  <c r="J20" i="68"/>
  <c r="H13" i="39"/>
  <c r="J13" i="39"/>
  <c r="F13" i="39"/>
  <c r="C33" i="68"/>
  <c r="C60" i="68"/>
  <c r="R27" i="6"/>
  <c r="R6" i="1"/>
  <c r="R16" i="1" s="1"/>
  <c r="J65" i="40"/>
  <c r="I67" i="40"/>
  <c r="J70" i="39"/>
  <c r="I72" i="39"/>
  <c r="E4" i="67"/>
  <c r="B2" i="46"/>
  <c r="D4" i="46" s="1"/>
  <c r="C18" i="43"/>
  <c r="C19" i="43" s="1"/>
  <c r="C25" i="43" s="1"/>
  <c r="C24" i="43" s="1"/>
  <c r="C28" i="44"/>
  <c r="C31" i="44" s="1"/>
  <c r="C23" i="15"/>
  <c r="C29" i="15" s="1"/>
  <c r="C36" i="15" s="1"/>
  <c r="K48" i="35"/>
  <c r="L48" i="35" s="1"/>
  <c r="M48" i="35" s="1"/>
  <c r="N48" i="35" s="1"/>
  <c r="O48" i="35" s="1"/>
  <c r="J7" i="35"/>
  <c r="K52" i="37"/>
  <c r="E7" i="67"/>
  <c r="B7" i="67"/>
  <c r="E3" i="67" l="1"/>
  <c r="C31" i="68"/>
  <c r="J19" i="68"/>
  <c r="J17" i="68" s="1"/>
  <c r="J59" i="68"/>
  <c r="J60" i="68" s="1"/>
  <c r="Q49" i="68" s="1"/>
  <c r="C36" i="68"/>
  <c r="J14" i="68"/>
  <c r="J13" i="68" s="1"/>
  <c r="J23" i="68" s="1"/>
  <c r="Q50" i="68"/>
  <c r="C13" i="68"/>
  <c r="J35" i="68" s="1"/>
  <c r="C56" i="68"/>
  <c r="C63" i="68" s="1"/>
  <c r="C58" i="68"/>
  <c r="B3" i="46"/>
  <c r="W13" i="39"/>
  <c r="AC13" i="39"/>
  <c r="S13" i="39"/>
  <c r="AA13" i="39"/>
  <c r="U13" i="39"/>
  <c r="AB13" i="39"/>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J22" i="68" l="1"/>
  <c r="J16" i="68" s="1"/>
  <c r="J25" i="68" s="1"/>
  <c r="C37" i="68"/>
  <c r="C30" i="68" s="1"/>
  <c r="C39" i="68" s="1"/>
  <c r="C40" i="68" s="1"/>
  <c r="Q71" i="68"/>
  <c r="C55" i="68"/>
  <c r="C64" i="68" s="1"/>
  <c r="C57" i="68" s="1"/>
  <c r="C66" i="68" s="1"/>
  <c r="C67" i="68" s="1"/>
  <c r="C70" i="68" s="1"/>
  <c r="J22" i="15"/>
  <c r="J16" i="15" s="1"/>
  <c r="J25" i="15" s="1"/>
  <c r="J26" i="15" s="1"/>
  <c r="J29" i="15" s="1"/>
  <c r="L57" i="68"/>
  <c r="L60" i="68" s="1"/>
  <c r="L46" i="68" s="1"/>
  <c r="L70" i="39"/>
  <c r="K72" i="39"/>
  <c r="K67" i="40"/>
  <c r="L65" i="40"/>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L51" i="68"/>
  <c r="B2" i="68" l="1"/>
  <c r="E10" i="12" s="1"/>
  <c r="J39" i="68"/>
  <c r="J40" i="68" s="1"/>
  <c r="Q68" i="68"/>
  <c r="Q70" i="68"/>
  <c r="Q69" i="68" s="1"/>
  <c r="C46" i="68"/>
  <c r="C43" i="68"/>
  <c r="J42" i="68"/>
  <c r="J43" i="68" s="1"/>
  <c r="Q57" i="68"/>
  <c r="Q48" i="68"/>
  <c r="Q54" i="68" s="1"/>
  <c r="Q66" i="68"/>
  <c r="B3" i="68"/>
  <c r="E8" i="12" s="1"/>
  <c r="Q67" i="68"/>
  <c r="Q58" i="68"/>
  <c r="M65" i="40"/>
  <c r="L67" i="40"/>
  <c r="L72" i="39"/>
  <c r="M70" i="39"/>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15"/>
  <c r="Q68" i="15" l="1"/>
  <c r="Q63" i="68"/>
  <c r="Q76" i="68"/>
  <c r="N70" i="39"/>
  <c r="N72" i="39" s="1"/>
  <c r="M72" i="39"/>
  <c r="F9" i="39" s="1"/>
  <c r="J9" i="39"/>
  <c r="H9" i="39"/>
  <c r="N65" i="40"/>
  <c r="N67" i="40" s="1"/>
  <c r="M67" i="40"/>
  <c r="F9" i="40"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B3" i="15" l="1"/>
  <c r="C6" i="12"/>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C29" i="12" l="1"/>
  <c r="C24" i="12"/>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35" i="12" l="1"/>
  <c r="C33" i="12" s="1"/>
  <c r="C28" i="12"/>
  <c r="C26" i="12" s="1"/>
  <c r="C31" i="12" s="1"/>
  <c r="C30" i="12" s="1"/>
  <c r="I49" i="40"/>
  <c r="J49" i="40" s="1"/>
  <c r="E48" i="40"/>
  <c r="F48" i="40" s="1"/>
  <c r="E49" i="40"/>
  <c r="F49" i="40" s="1"/>
  <c r="E53" i="39"/>
  <c r="F53" i="39" s="1"/>
  <c r="E54" i="39"/>
  <c r="F54" i="39" s="1"/>
  <c r="C44" i="40"/>
  <c r="C45" i="40"/>
  <c r="C50" i="39"/>
  <c r="C49" i="39"/>
  <c r="G49" i="40"/>
  <c r="H49" i="40" s="1"/>
  <c r="G48" i="40"/>
  <c r="H48" i="40" s="1"/>
  <c r="C36" i="12" l="1"/>
  <c r="B2" i="12" s="1"/>
  <c r="B61" i="39"/>
  <c r="F61" i="39" s="1"/>
  <c r="B59" i="39"/>
  <c r="F59" i="39" s="1"/>
  <c r="B67" i="39"/>
  <c r="F67" i="39" s="1"/>
  <c r="B65" i="39"/>
  <c r="F65" i="39" s="1"/>
  <c r="B60" i="39"/>
  <c r="F60" i="39" s="1"/>
  <c r="B63" i="39"/>
  <c r="F63" i="39" s="1"/>
  <c r="B62" i="39"/>
  <c r="F62" i="39" s="1"/>
  <c r="B64" i="39"/>
  <c r="F64"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19" i="9"/>
  <c r="F68" i="39" l="1"/>
  <c r="B2" i="39" s="1"/>
  <c r="B3" i="39" s="1"/>
  <c r="L44" i="9"/>
  <c r="B4" i="12"/>
  <c r="B5" i="12"/>
  <c r="B3" i="12"/>
  <c r="B5" i="40"/>
  <c r="B3" i="40"/>
  <c r="B4" i="40"/>
  <c r="B5" i="39"/>
  <c r="C19" i="9"/>
  <c r="D21" i="9"/>
  <c r="D20" i="9"/>
  <c r="C20" i="9"/>
  <c r="B4" i="39" l="1"/>
  <c r="G19" i="9"/>
  <c r="N43" i="9" s="1"/>
  <c r="L43" i="9"/>
  <c r="D22" i="9"/>
  <c r="G20" i="9"/>
  <c r="C21" i="9"/>
  <c r="G21" i="9" l="1"/>
  <c r="G22" i="9"/>
  <c r="C32" i="9"/>
  <c r="C42" i="9" l="1"/>
  <c r="N68" i="9" s="1"/>
  <c r="C35" i="9"/>
  <c r="F42" i="9" s="1"/>
  <c r="C33" i="9"/>
  <c r="N38" i="9" s="1"/>
  <c r="K28" i="9" s="1"/>
  <c r="C34" i="9"/>
  <c r="E42" i="9" s="1"/>
  <c r="P5" i="54" s="1"/>
  <c r="B46" i="63" s="1"/>
  <c r="O38" i="9"/>
  <c r="K25" i="9" s="1"/>
  <c r="O43" i="9"/>
  <c r="K26" i="9"/>
  <c r="R5" i="54" l="1"/>
  <c r="B48" i="63" s="1"/>
  <c r="C44" i="9"/>
  <c r="D14" i="66"/>
  <c r="B5" i="66" s="1"/>
  <c r="D63" i="9"/>
  <c r="D42" i="9"/>
  <c r="Q5" i="54" s="1"/>
  <c r="B47" i="63" s="1"/>
  <c r="M38" i="9"/>
  <c r="K27" i="9" s="1"/>
  <c r="D70" i="9" l="1"/>
  <c r="D73" i="9"/>
  <c r="N73" i="9" s="1"/>
  <c r="F14" i="66"/>
  <c r="E14" i="66"/>
  <c r="C111" i="9"/>
  <c r="C104" i="9" s="1"/>
  <c r="G14" i="66"/>
  <c r="B6" i="66" s="1"/>
  <c r="O39" i="9"/>
  <c r="N69" i="9"/>
  <c r="D44" i="9"/>
  <c r="F44" i="9"/>
  <c r="E44" i="9"/>
  <c r="D71" i="9"/>
  <c r="D66" i="9" s="1"/>
  <c r="N72" i="9" s="1"/>
  <c r="C103" i="9"/>
  <c r="D77" i="9"/>
  <c r="N75" i="9" s="1"/>
  <c r="C96" i="9"/>
  <c r="C91" i="9" s="1"/>
  <c r="C82" i="9"/>
  <c r="C81" i="9" s="1"/>
  <c r="C85" i="9" s="1"/>
  <c r="C86" i="9" s="1"/>
  <c r="D72" i="9" s="1"/>
  <c r="C90" i="9"/>
  <c r="D5" i="66"/>
  <c r="C5" i="66"/>
  <c r="C113" i="9" l="1"/>
  <c r="C97" i="9"/>
  <c r="K29" i="9"/>
  <c r="K30" i="9" s="1"/>
  <c r="R6" i="54"/>
  <c r="B50" i="63" s="1"/>
  <c r="M86" i="9"/>
  <c r="N86" i="9" s="1"/>
  <c r="M84" i="9"/>
  <c r="N84" i="9" s="1"/>
  <c r="M88" i="9"/>
  <c r="N88" i="9" s="1"/>
  <c r="M87" i="9"/>
  <c r="N87" i="9" s="1"/>
  <c r="M85" i="9"/>
  <c r="N85" i="9" s="1"/>
  <c r="M83" i="9"/>
  <c r="N83" i="9" s="1"/>
  <c r="C6" i="66"/>
  <c r="D6" i="66"/>
  <c r="C114" i="9"/>
  <c r="E114" i="9" s="1"/>
  <c r="E115" i="9" s="1"/>
  <c r="C98" i="9"/>
  <c r="E98" i="9" s="1"/>
  <c r="E99" i="9" s="1"/>
  <c r="N89" i="9" l="1"/>
  <c r="O89" i="9" s="1"/>
  <c r="C99" i="9"/>
  <c r="C115" i="9"/>
  <c r="D76" i="9" s="1"/>
  <c r="D74" i="9" s="1"/>
  <c r="N74" i="9" s="1"/>
  <c r="O77" i="9" s="1"/>
  <c r="O79" i="9" s="1"/>
  <c r="O81" i="9" s="1"/>
  <c r="O80" i="9" l="1"/>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<sst xmlns="http://schemas.openxmlformats.org/spreadsheetml/2006/main" count="9143" uniqueCount="3790">
  <si>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</si>
  <si>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</si>
  <si>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</si>
  <si>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</si>
  <si>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</si>
  <si>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</si>
  <si>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</si>
  <si>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</si>
  <si>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</si>
  <si>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</si>
  <si>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</si>
  <si>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</si>
  <si>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</si>
  <si>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</si>
  <si>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</si>
  <si>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</si>
  <si>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</si>
  <si>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</si>
  <si>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</si>
  <si>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</si>
  <si>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</si>
  <si>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</si>
  <si>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</si>
  <si>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</si>
  <si>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</si>
  <si>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</si>
  <si>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</si>
  <si>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</si>
  <si>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</si>
  <si>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</si>
  <si>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</si>
  <si>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</si>
  <si>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</si>
  <si>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</si>
  <si>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</si>
  <si>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</si>
  <si>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</si>
  <si>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</si>
  <si>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</si>
  <si>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</si>
  <si>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</si>
  <si>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</si>
  <si>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</si>
  <si>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</si>
  <si>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</si>
  <si>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</si>
  <si>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</si>
  <si>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</si>
  <si>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</si>
  <si>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</si>
  <si>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</si>
  <si>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</si>
  <si>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</si>
  <si>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</si>
  <si>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</si>
  <si>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</si>
  <si>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</si>
  <si>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</si>
  <si>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</si>
  <si>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</si>
  <si>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</si>
  <si>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</si>
  <si>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</si>
  <si>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</si>
  <si>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</si>
  <si>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</si>
  <si>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</si>
  <si>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</si>
  <si>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</si>
  <si>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</si>
  <si>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</si>
  <si>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</si>
  <si>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</si>
  <si>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</si>
  <si>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</si>
  <si>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</si>
  <si>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</si>
  <si>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</si>
  <si>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</si>
  <si>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</si>
  <si>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</si>
  <si>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</si>
  <si>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</si>
  <si>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</si>
  <si>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</si>
  <si>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</si>
  <si>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</si>
  <si>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</si>
  <si>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</si>
  <si>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</si>
  <si>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</si>
  <si>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</si>
  <si>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</si>
  <si>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</si>
  <si>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</si>
  <si>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</si>
  <si>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</si>
  <si>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</si>
  <si>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</si>
  <si>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</si>
  <si>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</si>
  <si>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</si>
  <si>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</si>
  <si>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</si>
  <si>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</si>
  <si>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</si>
  <si>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</si>
  <si>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</si>
  <si>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</si>
  <si>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</si>
  <si>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</si>
  <si>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</si>
  <si>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</si>
  <si>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</si>
  <si>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</si>
  <si>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</si>
  <si>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</si>
  <si>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</si>
  <si>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</si>
  <si>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</si>
  <si>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</si>
  <si>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</si>
  <si>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</si>
  <si>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</si>
  <si>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</si>
  <si>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</si>
  <si>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</si>
  <si>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</si>
  <si>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</si>
  <si>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</si>
  <si>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</si>
  <si>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</si>
  <si>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</si>
  <si>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</si>
  <si>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</si>
  <si>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</si>
  <si>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</si>
  <si>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</si>
  <si>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</si>
  <si>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</si>
  <si>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</si>
  <si>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</si>
  <si>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</si>
  <si>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</si>
  <si>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</si>
  <si>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</si>
  <si>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</si>
  <si>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</si>
  <si>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</si>
  <si>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</si>
  <si>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</si>
  <si>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</si>
  <si>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</si>
  <si>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</si>
  <si>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</si>
  <si>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</si>
  <si>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</si>
  <si>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</si>
  <si>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</si>
  <si>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</si>
  <si>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</si>
  <si>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</si>
  <si>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</si>
  <si>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</si>
  <si>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</si>
  <si>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</si>
  <si>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</si>
  <si>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</si>
  <si>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</si>
  <si>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</si>
  <si>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</si>
  <si>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</si>
  <si>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</si>
  <si>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</si>
  <si>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</si>
  <si>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</si>
  <si>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</si>
  <si>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</si>
  <si>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</si>
  <si>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</si>
  <si>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</si>
  <si>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</si>
  <si>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</si>
  <si>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</si>
  <si>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</si>
  <si>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</si>
  <si>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</si>
  <si>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</si>
  <si>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</si>
  <si>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</si>
  <si>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</si>
  <si>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</si>
  <si>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</si>
  <si>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</si>
  <si>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</si>
  <si>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</si>
  <si>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</si>
  <si>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</si>
  <si>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</si>
  <si>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</si>
  <si>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</si>
  <si>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</si>
  <si>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</si>
  <si>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</si>
  <si>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</si>
  <si>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</si>
  <si>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</si>
  <si>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</si>
  <si>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</si>
  <si>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</si>
  <si>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</si>
  <si>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</si>
  <si>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</si>
  <si>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</si>
  <si>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</si>
  <si>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</si>
  <si>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</si>
  <si>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</si>
  <si>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</si>
  <si>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</si>
  <si>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</si>
  <si>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</si>
  <si>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</si>
  <si>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</si>
  <si>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</si>
  <si>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</si>
  <si>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</si>
  <si>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</si>
  <si>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</si>
  <si>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</si>
  <si>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</si>
  <si>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</si>
  <si>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</si>
  <si>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</si>
  <si>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</si>
  <si>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</si>
  <si>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</si>
  <si>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</si>
  <si>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</si>
  <si>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</si>
  <si>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</si>
  <si>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</si>
  <si>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</si>
  <si>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</si>
  <si>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</si>
  <si>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</si>
  <si>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</si>
  <si>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</si>
  <si>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</si>
  <si>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</si>
  <si>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</si>
  <si>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</si>
  <si>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</si>
  <si>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</si>
  <si>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</si>
  <si>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</si>
  <si>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</si>
  <si>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</si>
  <si>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</si>
  <si>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</si>
  <si>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</si>
  <si>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</si>
  <si>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</si>
  <si>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</si>
  <si>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</si>
  <si>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</si>
  <si>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</si>
  <si>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</si>
  <si>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</si>
  <si>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</si>
  <si>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</si>
  <si>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</si>
  <si>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</si>
  <si>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</si>
  <si>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</si>
  <si>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</si>
  <si>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</si>
  <si>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</si>
  <si>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</si>
  <si>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</si>
  <si>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</si>
  <si>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</si>
  <si>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</si>
  <si>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</si>
  <si>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</si>
  <si>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</si>
  <si>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</si>
  <si>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</si>
  <si>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</si>
  <si>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</si>
  <si>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</si>
  <si>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</si>
  <si>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</si>
  <si>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</si>
  <si>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</si>
  <si>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</si>
  <si>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</si>
  <si>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</si>
  <si>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</si>
  <si>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</si>
  <si>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</si>
  <si>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</si>
  <si>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</si>
  <si>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</si>
  <si>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</si>
  <si>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</si>
  <si>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</si>
  <si>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</si>
  <si>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</si>
  <si>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</si>
  <si>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</si>
  <si>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</si>
  <si>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</si>
  <si>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</si>
  <si>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</si>
  <si>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</si>
  <si>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</si>
  <si>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</si>
  <si>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</si>
  <si>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</si>
  <si>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</si>
  <si>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</si>
  <si>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</si>
  <si>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</si>
  <si>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</si>
  <si>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</si>
  <si>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</si>
  <si>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</si>
  <si>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</si>
  <si>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</si>
  <si>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</si>
  <si>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</si>
  <si>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</si>
  <si>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</si>
  <si>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</si>
  <si>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</si>
  <si>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</si>
  <si>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</si>
  <si>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</si>
  <si>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</si>
  <si>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</si>
  <si>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</si>
  <si>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</si>
  <si>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</si>
  <si>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</si>
  <si>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</si>
  <si>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</si>
  <si>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</si>
  <si>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</si>
  <si>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</si>
  <si>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</si>
  <si>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</si>
  <si>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</si>
  <si>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</si>
  <si>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</si>
  <si>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</si>
  <si>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</si>
  <si>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</si>
  <si>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</si>
  <si>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</si>
  <si>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</si>
  <si>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</si>
  <si>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</si>
  <si>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</si>
  <si>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</si>
  <si>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</si>
  <si>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</si>
  <si>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</si>
  <si>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</si>
  <si>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</si>
  <si>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</si>
  <si>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</si>
  <si>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</si>
  <si>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</si>
  <si>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</si>
  <si>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</si>
  <si>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</si>
  <si>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</si>
  <si>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</si>
  <si>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</si>
  <si>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</si>
  <si>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</si>
  <si>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</si>
  <si>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</si>
  <si>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</si>
  <si>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</si>
  <si>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</si>
  <si>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</si>
  <si>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</si>
  <si>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</si>
  <si>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</si>
  <si>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</si>
  <si>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</si>
  <si>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</si>
  <si>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</si>
  <si>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</si>
  <si>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</si>
  <si>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</si>
  <si>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</si>
  <si>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</si>
  <si>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</si>
  <si>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</si>
  <si>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</si>
  <si>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</si>
  <si>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</si>
  <si>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</si>
  <si>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</si>
  <si>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</si>
  <si>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</si>
  <si>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</si>
  <si>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</si>
  <si>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</si>
  <si>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</si>
  <si>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</si>
  <si>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</si>
  <si>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</si>
  <si>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</si>
  <si>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</si>
  <si>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</si>
  <si>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</si>
  <si>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</si>
  <si>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</si>
  <si>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</si>
  <si>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</si>
  <si>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</si>
  <si>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</si>
  <si>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</si>
  <si>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</si>
  <si>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</si>
  <si>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</si>
  <si>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</si>
  <si>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</si>
  <si>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</si>
  <si>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</si>
  <si>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</si>
  <si>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</si>
  <si>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</si>
  <si>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</si>
  <si>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</si>
  <si>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</si>
  <si>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</si>
  <si>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</si>
  <si>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</si>
  <si>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</si>
  <si>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</si>
  <si>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</si>
  <si>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</si>
  <si>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</si>
  <si>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</si>
  <si>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</si>
  <si>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</si>
  <si>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</si>
  <si>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</si>
  <si>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</si>
  <si>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</si>
  <si>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</si>
  <si>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</si>
  <si>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</si>
  <si>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</si>
  <si>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</si>
  <si>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</si>
  <si>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</si>
  <si>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</si>
  <si>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</si>
  <si>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</si>
  <si>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</si>
  <si>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</si>
  <si>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</si>
  <si>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</si>
  <si>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</si>
  <si>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</si>
  <si>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</si>
  <si>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</si>
  <si>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</si>
  <si>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</si>
  <si>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</si>
  <si>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</si>
  <si>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</si>
  <si>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</si>
  <si>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</si>
  <si>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</si>
  <si>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</si>
  <si>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</si>
  <si>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</si>
  <si>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</si>
  <si>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</si>
  <si>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</si>
  <si>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</si>
  <si>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</si>
  <si>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</si>
  <si>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</si>
  <si>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</si>
  <si>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</si>
  <si>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</si>
  <si>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</si>
  <si>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</si>
  <si>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</si>
  <si>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</si>
  <si>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</si>
  <si>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</si>
  <si>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</si>
  <si>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</si>
  <si>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</si>
  <si>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</si>
  <si>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</si>
  <si>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</si>
  <si>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</si>
  <si>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</si>
  <si>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</si>
  <si>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</si>
  <si>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</si>
  <si>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</si>
  <si>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</si>
  <si>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</si>
  <si>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</si>
  <si>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</si>
  <si>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</si>
  <si>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</si>
  <si>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</si>
  <si>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</si>
  <si>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</si>
  <si>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</si>
  <si>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</si>
  <si>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</si>
  <si>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</si>
  <si>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</si>
  <si>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</si>
  <si>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</si>
  <si>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</si>
  <si>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</si>
  <si>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</si>
  <si>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</si>
  <si>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</si>
  <si>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</si>
  <si>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</si>
  <si>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</si>
  <si>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</si>
  <si>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</si>
  <si>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</si>
  <si>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</si>
  <si>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</si>
  <si>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</si>
  <si>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</si>
  <si>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</si>
  <si>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</si>
  <si>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</si>
  <si>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</si>
  <si>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</si>
  <si>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</si>
  <si>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</si>
  <si>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</si>
  <si>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</si>
  <si>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</si>
  <si>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</si>
  <si>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</si>
  <si>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</si>
  <si>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</si>
  <si>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</si>
  <si>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</si>
  <si>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</si>
  <si>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</si>
  <si>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</si>
  <si>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</si>
  <si>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</si>
  <si>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</si>
  <si>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</si>
  <si>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</si>
  <si>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</si>
  <si>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</si>
  <si>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</si>
  <si>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</si>
  <si>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</si>
  <si>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</si>
  <si>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</si>
  <si>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</si>
  <si>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</si>
  <si>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</si>
  <si>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</si>
  <si>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</si>
  <si>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</si>
  <si>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</si>
  <si>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</si>
  <si>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</si>
  <si>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</si>
  <si>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</si>
  <si>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</si>
  <si>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</si>
  <si>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</si>
  <si>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</si>
  <si>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</si>
  <si>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</si>
  <si>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</si>
  <si>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</si>
  <si>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</si>
  <si>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</si>
  <si>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</si>
  <si>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</si>
  <si>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</si>
  <si>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</si>
  <si>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</si>
  <si>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</si>
  <si>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</si>
  <si>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</si>
  <si>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</si>
  <si>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</si>
  <si>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</si>
  <si>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</si>
  <si>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</si>
  <si>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</si>
  <si>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</si>
  <si>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</si>
  <si>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</si>
  <si>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</si>
  <si>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</si>
  <si>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</si>
  <si>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</si>
  <si>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</si>
  <si>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</si>
  <si>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</si>
  <si>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</si>
  <si>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</si>
  <si>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</si>
  <si>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</si>
  <si>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</si>
  <si>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</si>
  <si>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</si>
  <si>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</si>
  <si>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</si>
  <si>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</si>
  <si>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</si>
  <si>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</si>
  <si>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</si>
  <si>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</si>
  <si>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</si>
  <si>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</si>
  <si>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</si>
  <si>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</si>
  <si>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</si>
  <si>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</si>
  <si>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</si>
  <si>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</si>
  <si>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</si>
  <si>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</si>
  <si>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</si>
  <si>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</si>
  <si>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</si>
  <si>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</si>
  <si>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</si>
  <si>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</si>
  <si>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</si>
  <si>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</si>
  <si>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</si>
  <si>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</si>
  <si>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</si>
  <si>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</si>
  <si>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</si>
  <si>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</si>
  <si>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</si>
  <si>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</si>
  <si>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</si>
  <si>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</si>
  <si>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</si>
  <si>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</si>
  <si>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</si>
  <si>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</si>
  <si>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</si>
  <si>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</si>
  <si>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</si>
  <si>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</si>
  <si>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</si>
  <si>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</si>
  <si>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</si>
  <si>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</si>
  <si>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</si>
  <si>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</si>
  <si>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</si>
  <si>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</si>
  <si>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</si>
  <si>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</si>
  <si>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</si>
  <si>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</si>
  <si>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</si>
  <si>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</si>
  <si>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</si>
  <si>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</si>
  <si>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</si>
  <si>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</si>
  <si>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</si>
  <si>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</si>
  <si>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</si>
  <si>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</si>
  <si>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</si>
  <si>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</si>
  <si>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</si>
  <si>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</si>
  <si>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</si>
  <si>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</si>
  <si>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</si>
  <si>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</si>
  <si>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</si>
  <si>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</si>
  <si>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</si>
  <si>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</si>
  <si>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</si>
  <si>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</si>
  <si>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</si>
  <si>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</si>
  <si>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</si>
  <si>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</si>
  <si>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</si>
  <si>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</si>
  <si>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</si>
  <si>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</si>
  <si>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</si>
  <si>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</si>
  <si>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</si>
  <si>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</si>
  <si>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</si>
  <si>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</si>
  <si>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</si>
  <si>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</si>
  <si>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</si>
  <si>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</si>
  <si>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</si>
  <si>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</si>
  <si>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</si>
  <si>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</si>
  <si>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</si>
  <si>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</si>
  <si>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</si>
  <si>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</si>
  <si>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</si>
  <si>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</si>
  <si>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</si>
  <si>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</si>
  <si>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</si>
  <si>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</si>
  <si>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</si>
  <si>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</si>
  <si>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</si>
  <si>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</si>
  <si>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</si>
  <si>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</si>
  <si>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</si>
  <si>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</si>
  <si>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</si>
  <si>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</si>
  <si>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</si>
  <si>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</si>
  <si>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</si>
  <si>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</si>
  <si>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</si>
  <si>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</si>
  <si>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</si>
  <si>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</si>
  <si>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</si>
  <si>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</si>
  <si>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</si>
  <si>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</si>
  <si>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</si>
  <si>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</si>
  <si>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</si>
  <si>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</si>
  <si>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</si>
  <si>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</si>
  <si>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</si>
  <si>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</si>
  <si>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</si>
  <si>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</si>
  <si>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</si>
  <si>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</si>
  <si>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</si>
  <si>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</si>
  <si>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</si>
  <si>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</si>
  <si>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</si>
  <si>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</si>
  <si>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</si>
  <si>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</si>
  <si>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</si>
  <si>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</si>
  <si>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</si>
  <si>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</si>
  <si>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</si>
  <si>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</si>
  <si>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</si>
  <si>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</si>
  <si>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</si>
  <si>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</si>
  <si>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</si>
  <si>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</si>
  <si>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</si>
  <si>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</si>
  <si>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</si>
  <si>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</si>
  <si>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</si>
  <si>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</si>
  <si>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</si>
  <si>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</si>
  <si>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</si>
  <si>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</si>
  <si>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</si>
  <si>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</si>
  <si>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</si>
  <si>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</si>
  <si>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</si>
  <si>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</si>
  <si>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</si>
  <si>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</si>
  <si>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</si>
  <si>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</si>
  <si>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</si>
  <si>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</si>
  <si>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</si>
  <si>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</si>
  <si>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</si>
  <si>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</si>
  <si>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</si>
  <si>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</si>
  <si>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</si>
  <si>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</si>
  <si>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</si>
  <si>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</si>
  <si>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</si>
  <si>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</si>
  <si>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</si>
  <si>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</si>
  <si>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</si>
  <si>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</si>
  <si>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</si>
  <si>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</si>
  <si>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</si>
  <si>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</si>
  <si>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</si>
  <si>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</si>
  <si>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</si>
  <si>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</si>
  <si>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</si>
  <si>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</si>
  <si>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</si>
  <si>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</si>
  <si>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</si>
  <si>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</si>
  <si>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</si>
  <si>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</si>
  <si>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</si>
  <si>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</si>
  <si>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</si>
  <si>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</si>
  <si>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</si>
  <si>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</si>
  <si>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</si>
  <si>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</si>
  <si>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</si>
  <si>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</si>
  <si>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</si>
  <si>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</si>
  <si>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</si>
  <si>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</si>
  <si>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</si>
  <si>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</si>
  <si>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</si>
  <si>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</si>
  <si>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</si>
  <si>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</si>
  <si>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</si>
  <si>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</si>
  <si>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</si>
  <si>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</si>
  <si>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</si>
  <si>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</si>
  <si>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</si>
  <si>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</si>
  <si>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</si>
  <si>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</si>
  <si>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</si>
  <si>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</si>
  <si>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</si>
  <si>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</si>
  <si>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</si>
  <si>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</si>
  <si>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</si>
  <si>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</si>
  <si>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</si>
  <si>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</si>
  <si>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</si>
  <si>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</si>
  <si>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</si>
  <si>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</si>
  <si>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</si>
  <si>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</si>
  <si>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</si>
  <si>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</si>
  <si>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</si>
  <si>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</si>
  <si>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</si>
  <si>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</si>
  <si>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</si>
  <si>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</si>
  <si>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</si>
  <si>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</si>
  <si>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</si>
  <si>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</si>
  <si>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</si>
  <si>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</si>
  <si>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</si>
  <si>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</si>
  <si>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</si>
  <si>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</si>
  <si>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</si>
  <si>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</si>
  <si>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</si>
  <si>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</si>
  <si>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</si>
  <si>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</si>
  <si>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</si>
  <si>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</si>
  <si>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</si>
  <si>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</si>
  <si>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</si>
  <si>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</si>
  <si>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</si>
  <si>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</si>
  <si>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</si>
  <si>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</si>
  <si>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</si>
  <si>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</si>
  <si>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</si>
  <si>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</si>
  <si>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</si>
  <si>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</si>
  <si>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</si>
  <si>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</si>
  <si>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</si>
  <si>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</si>
  <si>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</si>
  <si>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</si>
  <si>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</si>
  <si>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</si>
  <si>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</si>
  <si>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</si>
  <si>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</si>
  <si>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</si>
  <si>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</si>
  <si>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</si>
  <si>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</si>
  <si>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</si>
  <si>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</si>
  <si>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</si>
  <si>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</si>
  <si>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</si>
  <si>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</si>
  <si>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</si>
  <si>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</si>
  <si>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</si>
  <si>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</si>
  <si>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</si>
  <si>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</si>
  <si>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</si>
  <si>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</si>
  <si>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</si>
  <si>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</si>
  <si>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</si>
  <si>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</si>
  <si>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</si>
  <si>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</si>
  <si>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</si>
  <si>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</si>
  <si>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</si>
  <si>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</si>
  <si>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</si>
  <si>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</si>
  <si>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</si>
  <si>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</si>
  <si>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</si>
  <si>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</si>
  <si>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</si>
  <si>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</si>
  <si>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</si>
  <si>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</si>
  <si>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</si>
  <si>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</si>
  <si>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</si>
  <si>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</si>
  <si>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</si>
  <si>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</si>
  <si>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</si>
  <si>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</si>
  <si>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</si>
  <si>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</si>
  <si>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</si>
  <si>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</si>
  <si>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</si>
  <si>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</si>
  <si>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</si>
  <si>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</si>
  <si>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</si>
  <si>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</si>
  <si>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</si>
  <si>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</si>
  <si>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</si>
  <si>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</si>
  <si>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</si>
  <si>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</si>
  <si>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</si>
  <si>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</si>
  <si>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</si>
  <si>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</si>
  <si>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</si>
  <si>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</si>
  <si>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</si>
  <si>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</si>
  <si>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</si>
  <si>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</si>
  <si>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</si>
  <si>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</si>
  <si>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</si>
  <si>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</si>
  <si>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</si>
  <si>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</si>
  <si>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</si>
  <si>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</si>
  <si>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</si>
  <si>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</si>
  <si>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</si>
  <si>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</si>
  <si>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</si>
  <si>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</si>
  <si>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</si>
  <si>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</si>
  <si>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</si>
  <si>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</si>
  <si>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</si>
  <si>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</si>
  <si>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</si>
  <si>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</si>
  <si>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</si>
  <si>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</si>
  <si>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</si>
  <si>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</si>
  <si>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</si>
  <si>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</si>
  <si>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</si>
  <si>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</si>
  <si>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</si>
  <si>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</si>
  <si>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</si>
  <si>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</si>
  <si>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</si>
  <si>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</si>
  <si>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</si>
  <si>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</si>
  <si>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</si>
  <si>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</si>
  <si>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</si>
  <si>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</si>
  <si>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</si>
  <si>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</si>
  <si>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</si>
  <si>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</si>
  <si>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</si>
  <si>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</si>
  <si>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</si>
  <si>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</si>
  <si>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</si>
  <si>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</si>
  <si>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</si>
  <si>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</si>
  <si>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</si>
  <si>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</si>
  <si>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</si>
  <si>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</si>
  <si>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</si>
  <si>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</si>
  <si>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</si>
  <si>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</si>
  <si>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</si>
  <si>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</si>
  <si>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</si>
  <si>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</si>
  <si>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</si>
  <si>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</si>
  <si>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</si>
  <si>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</si>
  <si>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</si>
  <si>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</si>
  <si>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</si>
  <si>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</si>
  <si>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</si>
  <si>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</si>
  <si>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</si>
  <si>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</si>
  <si>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</si>
  <si>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</si>
  <si>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</si>
  <si>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</si>
  <si>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</si>
  <si>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</si>
  <si>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</si>
  <si>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</si>
  <si>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</si>
  <si>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</si>
  <si>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</si>
  <si>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</si>
  <si>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</si>
  <si>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</si>
  <si>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</si>
  <si>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</si>
  <si>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</si>
  <si>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</si>
  <si>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</si>
  <si>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</si>
  <si>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</si>
  <si>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</si>
  <si>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</si>
  <si>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</si>
  <si>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</si>
  <si>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</si>
  <si>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</si>
  <si>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</si>
  <si>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</si>
  <si>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</si>
  <si>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</si>
  <si>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</si>
  <si>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</si>
  <si>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</si>
  <si>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</si>
  <si>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</si>
  <si>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</si>
  <si>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</si>
  <si>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</si>
  <si>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</si>
  <si>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</si>
  <si>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</si>
  <si>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</si>
  <si>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</si>
  <si>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</si>
  <si>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</si>
  <si>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</si>
  <si>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</si>
  <si>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</si>
  <si>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</si>
  <si>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</si>
  <si>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</si>
  <si>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</si>
  <si>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</si>
  <si>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</si>
  <si>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</si>
  <si>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</si>
  <si>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</si>
  <si>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</si>
  <si>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</si>
  <si>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</si>
  <si>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</si>
  <si>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</si>
  <si>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</si>
  <si>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</si>
  <si>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</si>
  <si>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</si>
  <si>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</si>
  <si>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</si>
  <si>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</si>
  <si>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</si>
  <si>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</si>
  <si>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</si>
  <si>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</si>
  <si>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</si>
  <si>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</si>
  <si>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</si>
  <si>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</si>
  <si>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</si>
  <si>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</si>
  <si>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</si>
  <si>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</si>
  <si>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</si>
  <si>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</si>
  <si>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</si>
  <si>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</si>
  <si>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</si>
  <si>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</si>
  <si>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</si>
  <si>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</si>
  <si>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</si>
  <si>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</si>
  <si>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</si>
  <si>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</si>
  <si>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</si>
  <si>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</si>
  <si>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</si>
  <si>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</si>
  <si>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</si>
  <si>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</si>
  <si>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</si>
  <si>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</si>
  <si>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</si>
  <si>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</si>
  <si>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</si>
  <si>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</si>
  <si>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</si>
  <si>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</si>
  <si>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</si>
  <si>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</si>
  <si>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</si>
  <si>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</si>
  <si>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</si>
  <si>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</si>
  <si>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</si>
  <si>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</si>
  <si>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</si>
  <si>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</si>
  <si>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</si>
  <si>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</si>
  <si>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</si>
  <si>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</si>
  <si>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</si>
  <si>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</si>
  <si>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</si>
  <si>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</si>
  <si>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</si>
  <si>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</si>
  <si>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</si>
  <si>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</si>
  <si>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</si>
  <si>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</si>
  <si>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</si>
  <si>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</si>
  <si>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</si>
  <si>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</si>
  <si>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</si>
  <si>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</si>
  <si>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</si>
  <si>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</si>
  <si>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</si>
  <si>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</si>
  <si>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</si>
  <si>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</si>
  <si>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</si>
  <si>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</si>
  <si>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</si>
  <si>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</si>
  <si>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</si>
  <si>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</si>
  <si>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</si>
  <si>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</si>
  <si>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</si>
  <si>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</si>
  <si>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</si>
  <si>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</si>
  <si>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</si>
  <si>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</si>
  <si>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</si>
  <si>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</si>
  <si>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</si>
  <si>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</si>
  <si>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</si>
  <si>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</si>
  <si>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</si>
  <si>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</si>
  <si>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</si>
  <si>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</si>
  <si>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</si>
  <si>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</si>
  <si>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</si>
  <si>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</si>
  <si>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</si>
  <si>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</si>
  <si>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</si>
  <si>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</si>
  <si>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</si>
  <si>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</si>
  <si>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</si>
  <si>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</si>
  <si>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</si>
  <si>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</si>
  <si>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</si>
  <si>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</si>
  <si>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</si>
  <si>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</si>
  <si>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</si>
  <si>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</si>
  <si>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</si>
  <si>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</si>
  <si>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</si>
  <si>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</si>
  <si>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</si>
  <si>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</si>
  <si>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</si>
  <si>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</si>
  <si>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</si>
  <si>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</si>
  <si>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</si>
  <si>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</si>
  <si>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</si>
  <si>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</si>
  <si>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</si>
  <si>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</si>
  <si>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</si>
  <si>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</si>
  <si>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</si>
  <si>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</si>
  <si>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</si>
  <si>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</si>
  <si>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</si>
  <si>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</si>
  <si>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</si>
  <si>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</si>
  <si>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</si>
  <si>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</si>
  <si>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</si>
  <si>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</si>
  <si>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</si>
  <si>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</si>
  <si>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</si>
  <si>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</si>
  <si>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</si>
  <si>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</si>
  <si>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</si>
  <si>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</si>
  <si>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</si>
  <si>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</si>
  <si>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</si>
  <si>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</si>
  <si>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</si>
  <si>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</si>
  <si>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</si>
  <si>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</si>
  <si>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</si>
  <si>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</si>
  <si>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</si>
  <si>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</si>
  <si>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</si>
  <si>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</si>
  <si>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</si>
  <si>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</si>
  <si>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</si>
  <si>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</si>
  <si>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</si>
  <si>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</si>
  <si>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</si>
  <si>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</si>
  <si>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</si>
  <si>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</si>
  <si>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</si>
  <si>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</si>
  <si>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</si>
  <si>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</si>
  <si>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</si>
  <si>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</si>
  <si>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</si>
  <si>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</si>
  <si>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</si>
  <si>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</si>
  <si>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</si>
  <si>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</si>
  <si>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</si>
  <si>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</si>
  <si>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</si>
  <si>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</si>
  <si>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</si>
  <si>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</si>
  <si>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</si>
  <si>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</si>
  <si>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</si>
  <si>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</si>
  <si>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</si>
  <si>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</si>
  <si>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</si>
  <si>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</si>
  <si>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</si>
  <si>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</si>
  <si>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</si>
  <si>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</si>
  <si>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</si>
  <si>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</si>
  <si>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</si>
  <si>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</si>
  <si>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</si>
  <si>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</si>
  <si>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</si>
  <si>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</si>
  <si>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</si>
  <si>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</si>
  <si>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</si>
  <si>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</si>
  <si>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</si>
  <si>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</si>
  <si>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</si>
  <si>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</si>
  <si>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</si>
  <si>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</si>
  <si>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</si>
  <si>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</si>
  <si>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</si>
  <si>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</si>
  <si>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</si>
  <si>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</si>
  <si>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</si>
  <si>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</si>
  <si>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</si>
  <si>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</si>
  <si>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</si>
  <si>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</si>
  <si>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</si>
  <si>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</si>
  <si>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</si>
  <si>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</si>
  <si>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</si>
  <si>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</si>
  <si>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</si>
  <si>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</si>
  <si>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</si>
  <si>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</si>
  <si>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</si>
  <si>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</si>
  <si>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</si>
  <si>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</si>
  <si>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</si>
  <si>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</si>
  <si>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</si>
  <si>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</si>
  <si>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</si>
  <si>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</si>
  <si>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</si>
  <si>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</si>
  <si>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</si>
  <si>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</si>
  <si>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</si>
  <si>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</si>
  <si>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</si>
  <si>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</si>
  <si>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</si>
  <si>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</si>
  <si>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</si>
  <si>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</si>
  <si>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</si>
  <si>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</si>
  <si>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</si>
  <si>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</si>
  <si>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</si>
  <si>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</si>
  <si>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</si>
  <si>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</si>
  <si>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</si>
  <si>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</si>
  <si>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</si>
  <si>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</si>
  <si>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</si>
  <si>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</si>
  <si>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</si>
  <si>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</si>
  <si>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</si>
  <si>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</si>
  <si>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</si>
  <si>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</si>
  <si>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</si>
  <si>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</si>
  <si>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</si>
  <si>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</si>
  <si>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</si>
  <si>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</si>
  <si>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</si>
  <si>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</si>
  <si>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</si>
  <si>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</si>
  <si>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</si>
  <si>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</si>
  <si>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</si>
  <si>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</si>
  <si>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</si>
  <si>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</si>
  <si>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</si>
  <si>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</si>
  <si>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</si>
  <si>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</si>
  <si>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</si>
  <si>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</si>
  <si>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</si>
  <si>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</si>
  <si>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</si>
  <si>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</si>
  <si>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</si>
  <si>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</si>
  <si>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</si>
  <si>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</si>
  <si>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</si>
  <si>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</si>
  <si>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</si>
  <si>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</si>
  <si>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</si>
  <si>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</si>
  <si>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</si>
  <si>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</si>
  <si>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</si>
  <si>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</si>
  <si>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</si>
  <si>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</si>
  <si>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</si>
  <si>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</si>
  <si>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</si>
  <si>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</si>
  <si>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</si>
  <si>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</si>
  <si>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</si>
  <si>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</si>
  <si>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</si>
  <si>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</si>
  <si>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</si>
  <si>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</si>
  <si>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</si>
  <si>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</si>
  <si>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</si>
  <si>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</si>
  <si>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</si>
  <si>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</si>
  <si>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</si>
  <si>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</si>
  <si>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</si>
  <si>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</si>
  <si>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</si>
  <si>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</si>
  <si>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</si>
  <si>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</si>
  <si>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</si>
  <si>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</si>
  <si>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</si>
  <si>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</si>
  <si>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</si>
  <si>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</si>
  <si>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</si>
  <si>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</si>
  <si>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</si>
  <si>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</si>
  <si>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</si>
  <si>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</si>
  <si>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</si>
  <si>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</si>
  <si>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</si>
  <si>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</si>
  <si>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</si>
  <si>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</si>
  <si>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</si>
  <si>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</si>
  <si>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</si>
  <si>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</si>
  <si>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</si>
  <si>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</si>
  <si>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</si>
  <si>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</si>
  <si>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</si>
  <si>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</si>
  <si>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</si>
  <si>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</si>
  <si>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</si>
  <si>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</si>
  <si>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</si>
  <si>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</si>
  <si>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</si>
  <si>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</si>
  <si>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</si>
  <si>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</si>
  <si>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</si>
  <si>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</si>
  <si>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</si>
  <si>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</si>
  <si>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</si>
  <si>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</si>
  <si>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</si>
  <si>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</si>
  <si>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</si>
  <si>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</si>
  <si>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</si>
  <si>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</si>
  <si>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</si>
  <si>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</si>
  <si>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</si>
  <si>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</si>
  <si>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</si>
  <si>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</si>
  <si>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</si>
  <si>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</si>
  <si>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</si>
  <si>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</si>
  <si>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</si>
  <si>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</si>
  <si>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</si>
  <si>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</si>
  <si>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</si>
  <si>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</si>
  <si>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</si>
  <si>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</si>
  <si>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</si>
  <si>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</si>
  <si>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</si>
  <si>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</si>
  <si>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</si>
  <si>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</si>
  <si>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</si>
  <si>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</si>
  <si>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</si>
  <si>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</si>
  <si>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</si>
  <si>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</si>
  <si>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</si>
  <si>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</si>
  <si>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</si>
  <si>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</si>
  <si>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</si>
  <si>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</si>
  <si>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</si>
  <si>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</si>
  <si>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</si>
  <si>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</si>
  <si>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</si>
  <si>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</si>
  <si>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</si>
  <si>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</si>
  <si>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</si>
  <si>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</si>
  <si>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</si>
  <si>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</si>
  <si>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</si>
  <si>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</si>
  <si>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</si>
  <si>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</si>
  <si>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</si>
  <si>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</si>
  <si>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</si>
  <si>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</si>
  <si>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</si>
  <si>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</si>
  <si>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</si>
  <si>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</si>
  <si>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</si>
  <si>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</si>
  <si>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</si>
  <si>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</si>
  <si>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</si>
  <si>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</si>
  <si>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</si>
  <si>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</si>
  <si>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</si>
  <si>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</si>
  <si>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</si>
  <si>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</si>
  <si>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</si>
  <si>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</si>
  <si>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</si>
  <si>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</si>
  <si>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</si>
  <si>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</si>
  <si>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</si>
  <si>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</si>
  <si>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</si>
  <si>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</si>
  <si>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</si>
  <si>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</si>
  <si>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</si>
  <si>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</si>
  <si>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</si>
  <si>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</si>
  <si>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</si>
  <si>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</si>
  <si>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</si>
  <si>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</si>
  <si>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</si>
  <si>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</si>
  <si>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</si>
  <si>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</si>
  <si>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</si>
  <si>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</si>
  <si>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</si>
  <si>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</si>
  <si>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</si>
  <si>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</si>
  <si>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</si>
  <si>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</si>
  <si>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</si>
  <si>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</si>
  <si>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</si>
  <si>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</si>
  <si>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</si>
  <si>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</si>
  <si>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</si>
  <si>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</si>
  <si>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</si>
  <si>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</si>
  <si>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</si>
  <si>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</si>
  <si>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</si>
  <si>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</si>
  <si>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</si>
  <si>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</si>
  <si>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</si>
  <si>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</si>
  <si>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</si>
  <si>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</si>
  <si>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</si>
  <si>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</si>
  <si>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</si>
  <si>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</si>
  <si>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</si>
  <si>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</si>
  <si>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</si>
  <si>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</si>
  <si>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</si>
  <si>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</si>
  <si>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</si>
  <si>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</si>
  <si>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</si>
  <si>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</si>
  <si>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</si>
  <si>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</si>
  <si>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</si>
  <si>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</si>
  <si>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</si>
  <si>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</si>
  <si>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</si>
  <si>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</si>
  <si>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</si>
  <si>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</si>
  <si>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</si>
  <si>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</si>
  <si>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</si>
  <si>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</si>
  <si>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</si>
  <si>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</si>
  <si>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</si>
  <si>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</si>
  <si>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</si>
  <si>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</si>
  <si>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</si>
  <si>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</si>
  <si>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</si>
  <si>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</si>
  <si>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</si>
  <si>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</si>
  <si>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</si>
  <si>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</si>
  <si>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</si>
  <si>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</si>
  <si>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</si>
  <si>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</si>
  <si>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</si>
  <si>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</si>
  <si>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</si>
  <si>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</si>
  <si>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</si>
  <si>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</si>
  <si>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</si>
  <si>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</si>
  <si>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</si>
  <si>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</si>
  <si>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</si>
  <si>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</si>
  <si>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</si>
  <si>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</si>
  <si>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</si>
  <si>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</si>
  <si>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</si>
  <si>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</si>
  <si>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</si>
  <si>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</si>
  <si>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</si>
  <si>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</si>
  <si>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</si>
  <si>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</si>
  <si>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</si>
  <si>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</si>
  <si>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</si>
  <si>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</si>
  <si>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</si>
  <si>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</si>
  <si>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</si>
  <si>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</si>
  <si>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</si>
  <si>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</si>
  <si>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</si>
  <si>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</si>
  <si>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</si>
  <si>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</si>
  <si>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</si>
  <si>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</si>
  <si>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</si>
  <si>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</si>
  <si>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</si>
  <si>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</si>
  <si>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</si>
  <si>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</si>
  <si>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</si>
  <si>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</si>
  <si>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</si>
  <si>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</si>
  <si>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</si>
  <si>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</si>
  <si>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</si>
  <si>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</si>
  <si>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</si>
  <si>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</si>
  <si>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</si>
  <si>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</si>
  <si>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</si>
  <si>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</si>
  <si>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</si>
  <si>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</si>
  <si>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</si>
  <si>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</si>
  <si>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</si>
  <si>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</si>
  <si>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</si>
  <si>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</si>
  <si>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</si>
  <si>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</si>
  <si>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</si>
  <si>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</si>
  <si>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</si>
  <si>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</si>
  <si>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</si>
  <si>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</si>
  <si>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</si>
  <si>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</si>
  <si>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</si>
  <si>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</si>
  <si>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</si>
  <si>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</si>
  <si>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</si>
  <si>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</si>
  <si>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</si>
  <si>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</si>
  <si>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</si>
  <si>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</si>
  <si>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</si>
  <si>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</si>
  <si>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</si>
  <si>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</si>
  <si>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</si>
  <si>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</si>
  <si>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</si>
  <si>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</si>
  <si>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</si>
  <si>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</si>
  <si>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</si>
  <si>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</si>
  <si>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</si>
  <si>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</si>
  <si>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</si>
  <si>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</si>
  <si>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</si>
  <si>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</si>
  <si>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</si>
  <si>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</si>
  <si>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</si>
  <si>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</si>
  <si>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</si>
  <si>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</si>
  <si>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</si>
  <si>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</si>
  <si>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</si>
  <si>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</si>
  <si>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</si>
  <si>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</si>
  <si>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</si>
  <si>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</si>
  <si>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</si>
  <si>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</si>
  <si>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</si>
  <si>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</si>
  <si>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</si>
  <si>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</si>
  <si>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</si>
  <si>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</si>
  <si>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</si>
  <si>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</si>
  <si>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</si>
  <si>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</si>
  <si>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</si>
  <si>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</si>
  <si>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</si>
  <si>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</si>
  <si>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</si>
  <si>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</si>
  <si>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</si>
  <si>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</si>
  <si>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</si>
  <si>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</si>
  <si>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</si>
  <si>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</si>
  <si>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</si>
  <si>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</si>
  <si>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</si>
  <si>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</si>
  <si>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</si>
  <si>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</si>
  <si>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</si>
  <si>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</si>
  <si>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</si>
  <si>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</si>
  <si>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</si>
  <si>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</si>
  <si>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</si>
  <si>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</si>
  <si>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</si>
  <si>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</si>
  <si>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</si>
  <si>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</si>
  <si>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</si>
  <si>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</si>
  <si>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</si>
  <si>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</si>
  <si>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</si>
  <si>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</si>
  <si>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</si>
  <si>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</si>
  <si>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</si>
  <si>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</si>
  <si>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</si>
  <si>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</si>
  <si>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</si>
  <si>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</si>
  <si>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</si>
  <si>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</si>
  <si>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</si>
  <si>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</si>
  <si>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</si>
  <si>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</si>
  <si>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</si>
  <si>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</si>
  <si>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</si>
  <si>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</si>
  <si>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</si>
  <si>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</si>
  <si>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</si>
  <si>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</si>
  <si>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</si>
  <si>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</si>
  <si>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</si>
  <si>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</si>
  <si>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</si>
  <si>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</si>
  <si>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</si>
  <si>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</si>
  <si>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</si>
  <si>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</si>
  <si>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</si>
  <si>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</si>
  <si>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</si>
  <si>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</si>
  <si>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</si>
  <si>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</si>
  <si>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</si>
  <si>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</si>
  <si>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</si>
  <si>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</si>
  <si>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</si>
  <si>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</si>
  <si>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</si>
  <si>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</si>
  <si>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</si>
  <si>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</si>
  <si>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</si>
  <si>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</si>
  <si>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</si>
  <si>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</si>
  <si>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</si>
  <si>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</si>
  <si>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</si>
  <si>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</si>
  <si>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</si>
  <si>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</si>
  <si>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</si>
  <si>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</si>
  <si>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</si>
  <si>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</si>
  <si>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</si>
  <si>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</si>
  <si>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</si>
  <si>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</si>
  <si>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</si>
  <si>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</si>
  <si>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</si>
  <si>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</si>
  <si>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</si>
  <si>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</si>
  <si>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</si>
  <si>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</si>
  <si>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</si>
  <si>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</si>
  <si>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</si>
  <si>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</si>
  <si>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</si>
  <si>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</si>
  <si>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</si>
  <si>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</si>
  <si>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</si>
  <si>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</si>
  <si>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</si>
  <si>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</si>
  <si>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</si>
  <si>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</si>
  <si>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</si>
  <si>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</si>
  <si>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</si>
  <si>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</si>
  <si>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</si>
  <si>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</si>
  <si>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</si>
  <si>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</si>
  <si>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</si>
  <si>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</si>
  <si>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</si>
  <si>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</si>
  <si>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</si>
  <si>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</si>
  <si>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</si>
  <si>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</si>
  <si>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</si>
  <si>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</si>
  <si>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</si>
  <si>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</si>
  <si>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</si>
  <si>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</si>
  <si>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</si>
  <si>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</si>
  <si>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</si>
  <si>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</si>
  <si>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</si>
  <si>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</si>
  <si>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</si>
  <si>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</si>
  <si>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</si>
  <si>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</si>
  <si>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</si>
  <si>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</si>
  <si>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</si>
  <si>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</si>
  <si>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</si>
  <si>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</si>
  <si>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</si>
  <si>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</si>
  <si>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</si>
  <si>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</si>
  <si>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</si>
  <si>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</si>
  <si>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</si>
  <si>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</si>
  <si>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</si>
  <si>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</si>
  <si>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</si>
  <si>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</si>
  <si>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</si>
  <si>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</si>
  <si>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</si>
  <si>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</si>
  <si>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</si>
  <si>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</si>
  <si>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</si>
  <si>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</si>
  <si>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</si>
  <si>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</si>
  <si>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</si>
  <si>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</si>
  <si>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</si>
  <si>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</si>
  <si>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</si>
  <si>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</si>
  <si>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</si>
  <si>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</si>
  <si>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</si>
  <si>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</si>
  <si>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</si>
  <si>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</si>
  <si>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</si>
  <si>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</si>
  <si>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</si>
  <si>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</si>
  <si>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</si>
  <si>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</si>
  <si>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</si>
  <si>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</si>
  <si>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</si>
  <si>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</si>
  <si>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</si>
  <si>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</si>
  <si>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</si>
  <si>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</si>
  <si>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</si>
  <si>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</si>
  <si>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</si>
  <si>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</si>
  <si>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</si>
  <si>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</si>
  <si>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</si>
  <si>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</si>
  <si>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</si>
  <si>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</si>
  <si>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</si>
  <si>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</si>
  <si>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</si>
  <si>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</si>
  <si>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</si>
  <si>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</si>
  <si>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</si>
  <si>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</si>
  <si>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</si>
  <si>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</si>
  <si>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</si>
  <si>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</si>
  <si>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</si>
  <si>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</si>
  <si>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</si>
  <si>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</si>
  <si>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</si>
  <si>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</si>
  <si>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</si>
  <si>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</si>
  <si>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</si>
  <si>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</si>
  <si>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</si>
  <si>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</si>
  <si>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</si>
  <si>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</si>
  <si>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</si>
  <si>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</si>
  <si>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</si>
  <si>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</si>
  <si>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</si>
  <si>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</si>
  <si>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</si>
  <si>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</si>
  <si>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</si>
  <si>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</si>
  <si>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</si>
  <si>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</si>
  <si>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</si>
  <si>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</si>
  <si>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</si>
  <si>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</si>
  <si>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</si>
  <si>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</si>
  <si>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</si>
  <si>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</si>
  <si>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</si>
  <si>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</si>
  <si>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</si>
  <si>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</si>
  <si>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</si>
  <si>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</si>
  <si>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</si>
  <si>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</si>
  <si>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</si>
  <si>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</si>
  <si>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</si>
  <si>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</si>
  <si>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</si>
  <si>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</si>
  <si>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</si>
  <si>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</si>
  <si>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</si>
  <si>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</si>
  <si>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</si>
  <si>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</si>
  <si>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</si>
  <si>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</si>
  <si>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</si>
  <si>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</si>
  <si>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</si>
  <si>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</si>
  <si>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</si>
  <si>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</si>
  <si>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</si>
  <si>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</si>
  <si>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</si>
  <si>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</si>
  <si>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</si>
  <si>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</si>
  <si>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</si>
  <si>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</si>
  <si>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</si>
  <si>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</si>
  <si>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</si>
  <si>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</si>
  <si>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</si>
  <si>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</si>
  <si>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</si>
  <si>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</si>
  <si>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</si>
  <si>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</si>
  <si>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</si>
  <si>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</si>
  <si>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</si>
  <si>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</si>
  <si>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</si>
  <si>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</si>
  <si>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</si>
  <si>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</si>
  <si>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</si>
  <si>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</si>
  <si>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</si>
  <si>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</si>
  <si>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</si>
  <si>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</si>
  <si>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</si>
  <si>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</si>
  <si>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</si>
  <si>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</si>
  <si>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</si>
  <si>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</si>
  <si>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</si>
  <si>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</si>
  <si>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</si>
  <si>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</si>
  <si>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</si>
  <si>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</si>
  <si>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</si>
  <si>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</si>
  <si>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</si>
  <si>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</si>
  <si>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</si>
  <si>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</si>
  <si>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</si>
  <si>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</si>
  <si>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</si>
  <si>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</si>
  <si>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</si>
  <si>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</si>
  <si>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</si>
  <si>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</si>
  <si>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</si>
  <si>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</si>
  <si>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</si>
  <si>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</si>
  <si>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</si>
  <si>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</si>
  <si>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</si>
  <si>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</si>
  <si>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</si>
  <si>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</si>
  <si>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</si>
  <si>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</si>
  <si>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</si>
  <si>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</si>
  <si>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</si>
  <si>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</si>
  <si>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</si>
  <si>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</si>
  <si>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</si>
  <si>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</si>
  <si>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</si>
  <si>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</si>
  <si>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</si>
  <si>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</si>
  <si>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</si>
  <si>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</si>
  <si>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</si>
  <si>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</si>
  <si>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</si>
  <si>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</si>
  <si>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</si>
  <si>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</si>
  <si>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</si>
  <si>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</si>
  <si>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</si>
  <si>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</si>
  <si>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</si>
  <si>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</si>
  <si>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</si>
  <si>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</si>
  <si>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</si>
  <si>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</si>
  <si>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</si>
  <si>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</si>
  <si>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</si>
  <si>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</si>
  <si>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</si>
  <si>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</si>
  <si>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</si>
  <si>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</si>
  <si>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</si>
  <si>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</si>
  <si>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</si>
  <si>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</si>
  <si>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</si>
  <si>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</si>
  <si>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</si>
  <si>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</si>
  <si>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</si>
  <si>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</si>
  <si>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</si>
  <si>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</si>
  <si>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</si>
  <si>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</si>
  <si>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</si>
  <si>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</si>
  <si>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</si>
  <si>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</si>
  <si>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</si>
  <si>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</si>
  <si>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</si>
  <si>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</si>
  <si>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</si>
  <si>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</si>
  <si>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</si>
  <si>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</si>
  <si>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</si>
  <si>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</si>
  <si>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</si>
  <si>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</si>
  <si>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</si>
  <si>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</si>
  <si>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</si>
  <si>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</si>
  <si>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</si>
  <si>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</si>
  <si>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</si>
  <si>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</si>
  <si>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</si>
  <si>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</si>
  <si>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</si>
  <si>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</si>
  <si>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</si>
  <si>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</si>
  <si>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</si>
  <si>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</si>
  <si>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</si>
  <si>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</si>
  <si>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</si>
  <si>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</si>
  <si>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</si>
  <si>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</si>
  <si>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</si>
  <si>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</si>
  <si>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</si>
  <si>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</si>
  <si>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</si>
  <si>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</si>
  <si>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</si>
  <si>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</si>
  <si>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</si>
  <si>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</si>
  <si>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</si>
  <si>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</si>
  <si>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</si>
  <si>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</si>
  <si>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</si>
  <si>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</si>
  <si>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</si>
  <si>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</si>
  <si>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</si>
  <si>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</si>
  <si>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</si>
  <si>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</si>
  <si>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</si>
  <si>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</si>
  <si>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</si>
  <si>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</si>
  <si>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</si>
  <si>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</si>
  <si>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</si>
  <si>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</si>
  <si>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</si>
  <si>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</si>
  <si>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</si>
  <si>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</si>
  <si>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</si>
  <si>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</si>
  <si>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</si>
  <si>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</si>
  <si>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</si>
  <si>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</si>
  <si>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</si>
  <si>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</si>
  <si>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</si>
  <si>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</si>
  <si>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</si>
  <si>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</si>
  <si>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</si>
  <si>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</si>
  <si>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</si>
  <si>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</si>
  <si>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</si>
  <si>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</si>
  <si>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</si>
  <si>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</si>
  <si>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</si>
  <si>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</si>
  <si>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</si>
  <si>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</si>
  <si>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</si>
  <si>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</si>
  <si>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</si>
  <si>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</si>
  <si>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</si>
  <si>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</si>
  <si>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</si>
  <si>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</si>
  <si>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</si>
  <si>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</si>
  <si>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</si>
  <si>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</si>
  <si>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</si>
  <si>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</si>
  <si>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</si>
  <si>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</si>
  <si>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</si>
  <si>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</si>
  <si>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</si>
  <si>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</si>
  <si>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</si>
  <si>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</si>
  <si>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</si>
  <si>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</si>
  <si>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</si>
  <si>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</si>
  <si>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</si>
  <si>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</si>
  <si>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</si>
  <si>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</si>
  <si>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</si>
  <si>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</si>
  <si>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</si>
  <si>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</si>
  <si>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</si>
  <si>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</si>
  <si>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</si>
  <si>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</si>
  <si>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</si>
  <si>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</si>
  <si>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</si>
  <si>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</si>
  <si>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</si>
  <si>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</si>
  <si>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</si>
  <si>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</si>
  <si>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</si>
  <si>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</si>
  <si>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</si>
  <si>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</si>
  <si>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</si>
  <si>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</si>
  <si>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</si>
  <si>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</si>
  <si>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</si>
  <si>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</si>
  <si>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</si>
  <si>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</si>
  <si>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</si>
  <si>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</si>
  <si>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</si>
  <si>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</si>
  <si>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</si>
  <si>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</si>
  <si>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</si>
  <si>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</si>
  <si>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</si>
  <si>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</si>
  <si>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</si>
  <si>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</si>
  <si>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</si>
  <si>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</si>
  <si>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</si>
  <si>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</si>
  <si>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</si>
  <si>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</si>
  <si>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</si>
  <si>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</si>
  <si>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</si>
  <si>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</si>
  <si>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</si>
  <si>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</si>
  <si>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</si>
  <si>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</si>
  <si>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</si>
  <si>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</si>
  <si>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</si>
  <si>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</si>
  <si>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</si>
  <si>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</si>
  <si>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</si>
  <si>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</si>
  <si>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</si>
  <si>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</si>
  <si>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</si>
  <si>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</si>
  <si>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</si>
  <si>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</si>
  <si>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</si>
  <si>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</si>
  <si>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</si>
  <si>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</si>
  <si>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</si>
  <si>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</si>
  <si>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</si>
  <si>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</si>
  <si>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</si>
  <si>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</si>
  <si>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</si>
  <si>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</si>
  <si>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</si>
  <si>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</si>
  <si>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</si>
  <si>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</si>
  <si>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</si>
  <si>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</si>
  <si>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</si>
  <si>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</si>
  <si>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</si>
  <si>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</si>
  <si>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</si>
  <si>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</si>
  <si>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</si>
  <si>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</si>
  <si>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</si>
  <si>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</si>
  <si>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</si>
  <si>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</si>
  <si>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</si>
  <si>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</si>
  <si>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</si>
  <si>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</si>
  <si>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</si>
  <si>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</si>
  <si>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</si>
  <si>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</si>
  <si>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</si>
  <si>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</si>
  <si>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</si>
  <si>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</si>
  <si>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</si>
  <si>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</si>
  <si>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</si>
  <si>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</si>
  <si>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</si>
  <si>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</si>
  <si>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</si>
  <si>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</si>
  <si>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</si>
  <si>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</si>
  <si>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</si>
  <si>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</si>
  <si>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</si>
  <si>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</si>
  <si>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</si>
  <si>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</si>
  <si>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</si>
  <si>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</si>
  <si>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</si>
  <si>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</si>
  <si>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</si>
  <si>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</si>
  <si>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</si>
  <si>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</si>
  <si>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</si>
  <si>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</si>
  <si>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</si>
  <si>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</si>
  <si>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</si>
  <si>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</si>
  <si>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</si>
  <si>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</si>
  <si>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</si>
  <si>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</si>
  <si>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</si>
  <si>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</si>
  <si>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</si>
  <si>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</si>
  <si>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</si>
  <si>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</si>
  <si>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</si>
  <si>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</si>
  <si>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</si>
  <si>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</si>
  <si>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</si>
  <si>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</si>
  <si>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</si>
  <si>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</si>
  <si>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</si>
  <si>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</si>
  <si>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</si>
  <si>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</si>
  <si>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</si>
  <si>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</si>
  <si>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</si>
  <si>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</si>
  <si>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</si>
  <si>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</si>
  <si>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</si>
  <si>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</si>
  <si>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</si>
  <si>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</si>
  <si>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</si>
  <si>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</si>
  <si>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</si>
  <si>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</si>
  <si>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</si>
  <si>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</si>
  <si>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</si>
  <si>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</si>
  <si>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</si>
  <si>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</si>
  <si>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</si>
  <si>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</si>
  <si>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</si>
  <si>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</si>
  <si>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</si>
  <si>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</si>
  <si>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</si>
  <si>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</si>
  <si>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</si>
  <si>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</si>
  <si>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</si>
  <si>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</si>
  <si>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</si>
  <si>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</si>
  <si>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</si>
  <si>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</si>
  <si>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</si>
  <si>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</si>
  <si>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</si>
  <si>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</si>
  <si>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</si>
  <si>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</si>
  <si>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</si>
  <si>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</si>
  <si>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</si>
  <si>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</si>
  <si>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</si>
  <si>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</si>
  <si>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</si>
  <si>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</si>
  <si>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</si>
  <si>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</si>
  <si>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</si>
  <si>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</si>
  <si>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</si>
  <si>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</si>
  <si>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</si>
  <si>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</si>
  <si>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</si>
  <si>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</si>
  <si>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</si>
  <si>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</si>
  <si>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</si>
  <si>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</si>
  <si>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</si>
  <si>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</si>
  <si>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</si>
  <si>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</si>
  <si>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</si>
  <si>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</si>
  <si>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</si>
  <si>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</si>
  <si>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</si>
  <si>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</si>
  <si>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</si>
  <si>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</si>
  <si>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</si>
  <si>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</si>
  <si>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</si>
  <si>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</si>
  <si>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</si>
  <si>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</si>
  <si>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</si>
  <si>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</si>
  <si>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</si>
  <si>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</si>
  <si>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</si>
  <si>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</si>
  <si>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</si>
  <si>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</si>
  <si>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</si>
  <si>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</si>
  <si>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</si>
  <si>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</si>
  <si>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</si>
  <si>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</si>
  <si>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</si>
  <si>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</si>
  <si>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</si>
  <si>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</si>
  <si>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</si>
  <si>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</si>
  <si>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</si>
  <si>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</si>
  <si>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</si>
  <si>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</si>
  <si>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</si>
  <si>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</si>
  <si>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</si>
  <si>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</si>
  <si>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</si>
  <si>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</si>
  <si>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</si>
  <si>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</si>
  <si>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</si>
  <si>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</si>
  <si>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</si>
  <si>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</si>
  <si>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</si>
  <si>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</si>
  <si>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</si>
  <si>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</si>
  <si>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</si>
  <si>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</si>
  <si>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</si>
  <si>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</si>
  <si>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</si>
  <si>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</si>
  <si>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</si>
  <si>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</si>
  <si>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</si>
  <si>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</si>
  <si>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</si>
  <si>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</si>
  <si>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</si>
  <si>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</si>
  <si>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</si>
  <si>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</si>
  <si>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</si>
  <si>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</si>
  <si>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</si>
  <si>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</si>
  <si>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</si>
  <si>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</si>
  <si>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</si>
  <si>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</si>
  <si>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</si>
  <si>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</si>
  <si>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</si>
  <si>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</si>
  <si>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</si>
  <si>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</si>
  <si>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</si>
  <si>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</si>
  <si>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</si>
  <si>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</si>
  <si>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</si>
  <si>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</si>
  <si>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</si>
  <si>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</si>
  <si>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</si>
  <si>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</si>
  <si>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</si>
  <si>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</si>
  <si>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</si>
  <si>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</si>
  <si>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</si>
  <si>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</si>
  <si>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</si>
  <si>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</si>
  <si>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</si>
  <si>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</si>
  <si>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</si>
  <si>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</si>
  <si>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</si>
  <si>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</si>
  <si>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</si>
  <si>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</si>
  <si>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</si>
  <si>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</si>
  <si>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</si>
  <si>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</si>
  <si>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</si>
  <si>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</si>
  <si>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</si>
  <si>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</si>
  <si>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</si>
  <si>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</si>
  <si>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</si>
  <si>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</si>
  <si>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</si>
  <si>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</si>
  <si>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</si>
  <si>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</si>
  <si>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</si>
  <si>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</si>
  <si>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</si>
  <si>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</si>
  <si>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</si>
  <si>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</si>
  <si>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</si>
  <si>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</si>
  <si>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</si>
  <si>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</si>
  <si>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</si>
  <si>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</si>
  <si>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</si>
  <si>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</si>
  <si>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</si>
  <si>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</si>
  <si>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</si>
  <si>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</si>
  <si>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</si>
  <si>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</si>
  <si>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</si>
  <si>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</si>
  <si>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</si>
  <si>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</si>
  <si>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</si>
  <si>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</si>
  <si>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</si>
  <si>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</si>
  <si>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</si>
  <si>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</si>
  <si>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</si>
  <si>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</si>
  <si>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</si>
  <si>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</si>
  <si>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</si>
  <si>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</si>
  <si>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</si>
  <si>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</si>
  <si>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</si>
  <si>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</si>
  <si>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</si>
  <si>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</si>
  <si>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</si>
  <si>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</si>
  <si>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</si>
  <si>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</si>
  <si>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</si>
  <si>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</si>
  <si>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</si>
  <si>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</si>
  <si>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</si>
  <si>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</si>
  <si>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</si>
  <si>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</si>
  <si>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</si>
  <si>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</si>
  <si>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</si>
  <si>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</si>
  <si>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</si>
  <si>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</si>
  <si>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</si>
  <si>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</si>
  <si>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</si>
  <si>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</si>
  <si>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</si>
  <si>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</si>
  <si>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</si>
  <si>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</si>
  <si>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</si>
  <si>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</si>
  <si>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</si>
  <si>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</si>
  <si>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</si>
  <si>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</si>
  <si>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</si>
  <si>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</si>
  <si>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</si>
  <si>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</si>
  <si>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</si>
  <si>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</si>
  <si>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</si>
  <si>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</si>
  <si>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</si>
  <si>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</si>
  <si>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</si>
  <si>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</si>
  <si>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</si>
  <si>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</si>
  <si>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</si>
  <si>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</si>
  <si>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</si>
  <si>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</si>
  <si>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</si>
  <si>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</si>
  <si>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</si>
  <si>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</si>
  <si>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</si>
  <si>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</si>
  <si>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</si>
  <si>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</si>
  <si>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</si>
  <si>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</si>
  <si>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</si>
  <si>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</si>
  <si>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</si>
  <si>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</si>
  <si>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</si>
  <si>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</si>
  <si>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</si>
  <si>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</si>
  <si>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</si>
  <si>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</si>
  <si>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</si>
  <si>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</si>
  <si>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</si>
  <si>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</si>
  <si>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</si>
  <si>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</si>
  <si>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</si>
  <si>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</si>
  <si>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</si>
  <si>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</si>
  <si>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</si>
  <si>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</si>
  <si>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</si>
  <si>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</si>
  <si>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</si>
  <si>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</si>
  <si>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</si>
  <si>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</si>
  <si>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</si>
  <si>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</si>
  <si>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</si>
  <si>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</si>
  <si>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</si>
  <si>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</si>
  <si>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</si>
  <si>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</si>
  <si>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</si>
  <si>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</si>
  <si>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</si>
  <si>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</si>
  <si>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</si>
  <si>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</si>
  <si>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</si>
  <si>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</si>
  <si>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</si>
  <si>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</si>
  <si>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</si>
  <si>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</si>
  <si>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</si>
  <si>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</si>
  <si>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</si>
  <si>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</si>
  <si>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</si>
  <si>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</si>
  <si>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</si>
  <si>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</si>
  <si>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</si>
  <si>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</si>
  <si>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</si>
  <si>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</si>
  <si>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</si>
  <si>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</si>
  <si>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</si>
  <si>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</si>
  <si>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</si>
  <si>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</si>
  <si>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</si>
  <si>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</si>
  <si>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</si>
  <si>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</si>
  <si>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</si>
  <si>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</si>
  <si>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</si>
  <si>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</si>
  <si>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</si>
  <si>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</si>
  <si>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</si>
  <si>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</si>
  <si>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</si>
  <si>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</si>
  <si>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</si>
  <si>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</si>
  <si>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</si>
  <si>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</si>
  <si>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</si>
  <si>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</si>
  <si>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</si>
  <si>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</si>
  <si>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</si>
  <si>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</si>
  <si>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</si>
  <si>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</si>
  <si>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</si>
  <si>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</si>
  <si>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</si>
  <si>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</si>
  <si>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</si>
  <si>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</si>
  <si>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</si>
  <si>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</si>
  <si>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</si>
  <si>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</si>
  <si>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</si>
  <si>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</si>
  <si>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</si>
  <si>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</si>
  <si>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</si>
  <si>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</si>
  <si>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</si>
  <si>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</si>
  <si>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</si>
  <si>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</si>
  <si>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</si>
  <si>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</si>
  <si>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</si>
  <si>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</si>
  <si>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</si>
  <si>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国民信托</t>
    <phoneticPr fontId="6" type="noConversion"/>
  </si>
  <si>
    <t>抵押</t>
  </si>
  <si>
    <t>抵押价格</t>
  </si>
  <si>
    <t>其他：</t>
  </si>
  <si>
    <t>企业</t>
  </si>
  <si>
    <t>商业</t>
  </si>
  <si>
    <t>车库</t>
  </si>
  <si>
    <t>否</t>
  </si>
  <si>
    <t>地上</t>
  </si>
  <si>
    <t>地下</t>
  </si>
  <si>
    <t>住宅</t>
    <phoneticPr fontId="7" type="noConversion"/>
  </si>
  <si>
    <t>商业</t>
    <phoneticPr fontId="7" type="noConversion"/>
  </si>
  <si>
    <t>车库</t>
    <phoneticPr fontId="7" type="noConversion"/>
  </si>
  <si>
    <t>不动产收益法</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</si>
  <si>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</si>
  <si>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</si>
  <si>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按租金收入计税</t>
  </si>
  <si>
    <t>钢混</t>
  </si>
  <si>
    <t>押一</t>
  </si>
  <si>
    <t>土地（套用方法）</t>
  </si>
  <si>
    <t>正常</t>
  </si>
  <si>
    <t>住宅</t>
    <phoneticPr fontId="21" type="noConversion"/>
  </si>
  <si>
    <t>较好</t>
  </si>
  <si>
    <t>一般</t>
  </si>
  <si>
    <t>精装</t>
  </si>
  <si>
    <t>精装</t>
    <phoneticPr fontId="21" type="noConversion"/>
  </si>
  <si>
    <t>专业</t>
  </si>
  <si>
    <t>专业</t>
    <phoneticPr fontId="21" type="noConversion"/>
  </si>
  <si>
    <t>钢混</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</si>
  <si>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</si>
  <si>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</si>
  <si>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</si>
  <si>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</si>
  <si>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</si>
  <si>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别墅</t>
    <phoneticPr fontId="21" type="noConversion"/>
  </si>
  <si>
    <t>洋房</t>
  </si>
  <si>
    <t>洋房</t>
    <phoneticPr fontId="21" type="noConversion"/>
  </si>
  <si>
    <t>高层</t>
    <phoneticPr fontId="21" type="noConversion"/>
  </si>
  <si>
    <t>六通</t>
  </si>
  <si>
    <t>华夏城</t>
    <phoneticPr fontId="3" type="noConversion"/>
  </si>
  <si>
    <t>毛坯</t>
  </si>
  <si>
    <t>毛坯</t>
    <phoneticPr fontId="21" type="noConversion"/>
  </si>
  <si>
    <t>七通</t>
    <phoneticPr fontId="21" type="noConversion"/>
  </si>
  <si>
    <t>六通</t>
    <phoneticPr fontId="21" type="noConversion"/>
  </si>
  <si>
    <t>五通</t>
  </si>
  <si>
    <t>五通</t>
    <phoneticPr fontId="21" type="noConversion"/>
  </si>
  <si>
    <t>好</t>
    <phoneticPr fontId="21" type="noConversion"/>
  </si>
  <si>
    <t>较好</t>
    <phoneticPr fontId="21" type="noConversion"/>
  </si>
  <si>
    <t>一般</t>
    <phoneticPr fontId="21" type="noConversion"/>
  </si>
  <si>
    <t>大</t>
  </si>
  <si>
    <t>中</t>
  </si>
  <si>
    <t>中</t>
    <phoneticPr fontId="21" type="noConversion"/>
  </si>
  <si>
    <t>小</t>
  </si>
  <si>
    <t>小</t>
    <phoneticPr fontId="21" type="noConversion"/>
  </si>
  <si>
    <t>大</t>
    <phoneticPr fontId="21" type="noConversion"/>
  </si>
  <si>
    <t>40-50（含）</t>
  </si>
  <si>
    <t>售价</t>
  </si>
  <si>
    <t>剩余法-待开发</t>
  </si>
  <si>
    <t>比较法-住宅、综合</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</si>
  <si>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</si>
  <si>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</si>
  <si>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</si>
  <si>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</si>
  <si>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</si>
  <si>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</si>
  <si>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</si>
  <si>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</si>
  <si>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</si>
  <si>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</si>
  <si>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</si>
  <si>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</si>
  <si>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</si>
  <si>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工业园区南区G9-02/01(规划编号E-53-02)地块</t>
  </si>
  <si>
    <t>重庆市</t>
  </si>
  <si>
    <t>住宅用地</t>
  </si>
  <si>
    <t>＞1并且≤1.5</t>
  </si>
  <si>
    <t>挂牌</t>
  </si>
  <si>
    <t>2019-06-25</t>
  </si>
  <si>
    <t>重庆市金潼工业建设投资有限公司</t>
  </si>
  <si>
    <t>2星</t>
  </si>
  <si>
    <t>工业园区南区G9-06/01(规划编号E-52-02)地块</t>
  </si>
  <si>
    <t>大于1并且小于或等于1.5</t>
  </si>
  <si>
    <t>0星</t>
  </si>
  <si>
    <t>工业园区北区B-97-01/01、B-97-02/01(规划编号B-97-03/01、B-97-02/01)地块</t>
  </si>
  <si>
    <t>综合用地(含住宅)</t>
  </si>
  <si>
    <t>农广校片区D-27(规划编号组团江南片区分区F-27号)地块</t>
  </si>
  <si>
    <t>＞1并且≤3</t>
  </si>
  <si>
    <t>拍卖</t>
  </si>
  <si>
    <t>重庆市潼南区晨天实业有限公司</t>
  </si>
  <si>
    <t>工业园区南区G11-02/01(规划编号E-47)地块</t>
  </si>
  <si>
    <t>组团江北新城分区D7号地块</t>
  </si>
  <si>
    <t>＞1并且≤2</t>
  </si>
  <si>
    <t>2019-02-20</t>
  </si>
  <si>
    <t>恒大地产集团重庆有限公司</t>
  </si>
  <si>
    <t>3星</t>
  </si>
  <si>
    <t>组团江北新城分区D6-6号地块</t>
  </si>
  <si>
    <t>＞1并且≤2.5</t>
  </si>
  <si>
    <t>组团江北新城分区D3-6号地块</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</si>
  <si>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</si>
  <si>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</si>
  <si>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</si>
  <si>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</si>
  <si>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</si>
  <si>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</si>
  <si>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</si>
  <si>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上和组团分区B-35-1地块</t>
  </si>
  <si>
    <t>≥1并且≤4.4</t>
  </si>
  <si>
    <t>重庆市潼南区佳盛实业有限公司</t>
  </si>
  <si>
    <t>梓潼街道卫星村1社、双江镇五里村6社</t>
  </si>
  <si>
    <t>江北新城组团两桥片区分区B-92-01/01地块</t>
  </si>
  <si>
    <t>江北新城组团金福分区A36-01/02地块</t>
  </si>
  <si>
    <t>江北新城组团两桥片区分区B-93-02/01地块</t>
  </si>
  <si>
    <t>梓潼组团工业园区南区分区C2-01/02、C2-02/02地块</t>
  </si>
  <si>
    <t>＞1并且≤2.6</t>
  </si>
  <si>
    <t>2018-08-10</t>
  </si>
  <si>
    <t>重庆蕴鸥地产有限公司</t>
  </si>
  <si>
    <t>旧城片区分区B-14-03地块</t>
  </si>
  <si>
    <t>≥1并且≤1.85</t>
  </si>
  <si>
    <t>2018-02-06</t>
  </si>
  <si>
    <t>重庆市潼南区八角房地产开发有限公司</t>
  </si>
  <si>
    <t>江南片区分区E7-11-01地块</t>
  </si>
  <si>
    <t>≥1并且≤2</t>
  </si>
  <si>
    <t>2017-12-26</t>
  </si>
  <si>
    <t>重庆市潼南区凯星商业管理有限公司</t>
  </si>
  <si>
    <t>江南片区分区E7-14-01地块</t>
  </si>
  <si>
    <t>梓潼组团旧城分区方碑坡棚户区改造地块</t>
  </si>
  <si>
    <t>大于1并且≤4.36</t>
  </si>
  <si>
    <t>2017-06-02</t>
  </si>
  <si>
    <t>重庆市潼南双龙房地产开发有限公司</t>
  </si>
  <si>
    <t>梓潼组团旧城分区B-14-02地块</t>
  </si>
  <si>
    <t>≥1,≤5.5</t>
  </si>
  <si>
    <t>2016-09-26</t>
  </si>
  <si>
    <t>谭必冬</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</si>
  <si>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</si>
  <si>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</si>
  <si>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</si>
  <si>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</si>
  <si>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</si>
  <si>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</si>
  <si>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较好</t>
    <phoneticPr fontId="26" type="noConversion"/>
  </si>
  <si>
    <t>六通</t>
    <phoneticPr fontId="26" type="noConversion"/>
  </si>
  <si>
    <t>规则</t>
    <phoneticPr fontId="26" type="noConversion"/>
  </si>
  <si>
    <t>较规则</t>
  </si>
  <si>
    <t>较规则</t>
    <phoneticPr fontId="26" type="noConversion"/>
  </si>
  <si>
    <t>一般</t>
    <phoneticPr fontId="26" type="noConversion"/>
  </si>
  <si>
    <t>五通</t>
    <phoneticPr fontId="26" type="noConversion"/>
  </si>
  <si>
    <t>较适宜</t>
  </si>
  <si>
    <t>较适宜</t>
    <phoneticPr fontId="26" type="noConversion"/>
  </si>
  <si>
    <t>楼面地价</t>
  </si>
  <si>
    <t>八期建筑面积及计容建筑面积明细表</t>
    <phoneticPr fontId="3" type="noConversion"/>
  </si>
  <si>
    <t>栋号</t>
  </si>
  <si>
    <t>部位</t>
  </si>
  <si>
    <t>部位
编号</t>
  </si>
  <si>
    <t>主要
功能</t>
  </si>
  <si>
    <t>层高(米)</t>
  </si>
  <si>
    <t>层数(层)</t>
  </si>
  <si>
    <r>
      <t>标准层建筑面积（m</t>
    </r>
    <r>
      <rPr>
        <b/>
        <vertAlign val="superscript"/>
        <sz val="12"/>
        <rFont val="宋体"/>
        <family val="3"/>
        <charset val="134"/>
      </rPr>
      <t>2</t>
    </r>
    <r>
      <rPr>
        <b/>
        <sz val="12"/>
        <rFont val="宋体"/>
        <family val="3"/>
        <charset val="134"/>
      </rPr>
      <t>）</t>
    </r>
  </si>
  <si>
    <r>
      <t>标准层计容建筑面积（</t>
    </r>
    <r>
      <rPr>
        <sz val="12"/>
        <rFont val="宋体"/>
        <family val="3"/>
        <charset val="134"/>
      </rPr>
      <t>m</t>
    </r>
    <r>
      <rPr>
        <vertAlign val="superscript"/>
        <sz val="12"/>
        <rFont val="宋体"/>
        <family val="3"/>
        <charset val="134"/>
      </rPr>
      <t>2</t>
    </r>
    <r>
      <rPr>
        <b/>
        <sz val="12"/>
        <rFont val="宋体"/>
        <family val="3"/>
        <charset val="134"/>
      </rPr>
      <t>）</t>
    </r>
  </si>
  <si>
    <r>
      <t>总建筑面积（m</t>
    </r>
    <r>
      <rPr>
        <b/>
        <vertAlign val="superscript"/>
        <sz val="12"/>
        <rFont val="宋体"/>
        <family val="3"/>
        <charset val="134"/>
      </rPr>
      <t>2</t>
    </r>
    <r>
      <rPr>
        <b/>
        <sz val="12"/>
        <rFont val="宋体"/>
        <family val="3"/>
        <charset val="134"/>
      </rPr>
      <t>）</t>
    </r>
  </si>
  <si>
    <r>
      <t>总计容建筑面积（</t>
    </r>
    <r>
      <rPr>
        <sz val="12"/>
        <rFont val="宋体"/>
        <family val="3"/>
        <charset val="134"/>
      </rPr>
      <t>m</t>
    </r>
    <r>
      <rPr>
        <vertAlign val="superscript"/>
        <sz val="12"/>
        <rFont val="宋体"/>
        <family val="3"/>
        <charset val="134"/>
      </rPr>
      <t>2</t>
    </r>
    <r>
      <rPr>
        <b/>
        <sz val="12"/>
        <rFont val="宋体"/>
        <family val="3"/>
        <charset val="134"/>
      </rPr>
      <t>）</t>
    </r>
  </si>
  <si>
    <t>备注</t>
    <phoneticPr fontId="3" type="noConversion"/>
  </si>
  <si>
    <t>户数</t>
    <phoneticPr fontId="3" type="noConversion"/>
  </si>
  <si>
    <t>B-1#楼</t>
    <phoneticPr fontId="3" type="noConversion"/>
  </si>
  <si>
    <t>塔楼</t>
    <phoneticPr fontId="3" type="noConversion"/>
  </si>
  <si>
    <t>1层</t>
  </si>
  <si>
    <t>4.2/4.8</t>
    <phoneticPr fontId="3" type="noConversion"/>
  </si>
  <si>
    <t>物管用房</t>
    <phoneticPr fontId="3" type="noConversion"/>
  </si>
  <si>
    <t>商业</t>
    <phoneticPr fontId="3" type="noConversion"/>
  </si>
  <si>
    <t>商业烟道</t>
    <phoneticPr fontId="3" type="noConversion"/>
  </si>
  <si>
    <t>架空+物管</t>
    <phoneticPr fontId="3" type="noConversion"/>
  </si>
  <si>
    <t>设备</t>
  </si>
  <si>
    <t>架空层</t>
    <phoneticPr fontId="3" type="noConversion"/>
  </si>
  <si>
    <t>物业用房</t>
    <phoneticPr fontId="3" type="noConversion"/>
  </si>
  <si>
    <t>入户大堂</t>
    <phoneticPr fontId="3" type="noConversion"/>
  </si>
  <si>
    <t>2层</t>
    <phoneticPr fontId="3" type="noConversion"/>
  </si>
  <si>
    <t>住宅</t>
    <phoneticPr fontId="3" type="noConversion"/>
  </si>
  <si>
    <t>物管用房</t>
  </si>
  <si>
    <t>3层</t>
  </si>
  <si>
    <t>4-7层</t>
    <phoneticPr fontId="3" type="noConversion"/>
  </si>
  <si>
    <t>8层</t>
    <phoneticPr fontId="3" type="noConversion"/>
  </si>
  <si>
    <t>B-2#楼</t>
    <phoneticPr fontId="3" type="noConversion"/>
  </si>
  <si>
    <t>塔楼</t>
    <phoneticPr fontId="3" type="noConversion"/>
  </si>
  <si>
    <t>1层</t>
    <phoneticPr fontId="3" type="noConversion"/>
  </si>
  <si>
    <t>住宅</t>
    <phoneticPr fontId="3" type="noConversion"/>
  </si>
  <si>
    <t>3层</t>
    <phoneticPr fontId="3" type="noConversion"/>
  </si>
  <si>
    <t>物业用房</t>
  </si>
  <si>
    <t>小计</t>
    <phoneticPr fontId="3" type="noConversion"/>
  </si>
  <si>
    <t>B-3#楼</t>
    <phoneticPr fontId="3" type="noConversion"/>
  </si>
  <si>
    <t>塔楼</t>
    <phoneticPr fontId="3" type="noConversion"/>
  </si>
  <si>
    <t>架空层</t>
    <phoneticPr fontId="3" type="noConversion"/>
  </si>
  <si>
    <t>设备</t>
    <phoneticPr fontId="3" type="noConversion"/>
  </si>
  <si>
    <t>3-5层</t>
    <phoneticPr fontId="3" type="noConversion"/>
  </si>
  <si>
    <t>6层</t>
    <phoneticPr fontId="3" type="noConversion"/>
  </si>
  <si>
    <t>商业烟道</t>
    <phoneticPr fontId="3" type="noConversion"/>
  </si>
  <si>
    <t>B-4#楼</t>
    <phoneticPr fontId="3" type="noConversion"/>
  </si>
  <si>
    <t>1层</t>
    <phoneticPr fontId="3" type="noConversion"/>
  </si>
  <si>
    <t>商业烟道</t>
    <phoneticPr fontId="3" type="noConversion"/>
  </si>
  <si>
    <t>4-7层</t>
    <phoneticPr fontId="3" type="noConversion"/>
  </si>
  <si>
    <t>商业烟道</t>
    <phoneticPr fontId="3" type="noConversion"/>
  </si>
  <si>
    <t>8层</t>
    <phoneticPr fontId="3" type="noConversion"/>
  </si>
  <si>
    <t>商业烟道</t>
    <phoneticPr fontId="3" type="noConversion"/>
  </si>
  <si>
    <t>B-5#楼</t>
    <phoneticPr fontId="3" type="noConversion"/>
  </si>
  <si>
    <t>塔楼</t>
    <phoneticPr fontId="3" type="noConversion"/>
  </si>
  <si>
    <t>1层</t>
    <phoneticPr fontId="3" type="noConversion"/>
  </si>
  <si>
    <t>商业</t>
    <phoneticPr fontId="3" type="noConversion"/>
  </si>
  <si>
    <t>住宅</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</si>
  <si>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</si>
  <si>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</si>
  <si>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</si>
  <si>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</si>
  <si>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</si>
  <si>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</si>
  <si>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4-7层</t>
    <phoneticPr fontId="3" type="noConversion"/>
  </si>
  <si>
    <t>商业烟道</t>
    <phoneticPr fontId="3" type="noConversion"/>
  </si>
  <si>
    <t>8层</t>
    <phoneticPr fontId="3" type="noConversion"/>
  </si>
  <si>
    <t>商业烟道</t>
    <phoneticPr fontId="3" type="noConversion"/>
  </si>
  <si>
    <t>B-6#楼</t>
    <phoneticPr fontId="3" type="noConversion"/>
  </si>
  <si>
    <t>塔楼</t>
    <phoneticPr fontId="3" type="noConversion"/>
  </si>
  <si>
    <t>1层</t>
    <phoneticPr fontId="3" type="noConversion"/>
  </si>
  <si>
    <t>住宅</t>
    <phoneticPr fontId="3" type="noConversion"/>
  </si>
  <si>
    <t>商业</t>
    <phoneticPr fontId="3" type="noConversion"/>
  </si>
  <si>
    <t>3层</t>
    <phoneticPr fontId="3" type="noConversion"/>
  </si>
  <si>
    <t>4-7层</t>
    <phoneticPr fontId="3" type="noConversion"/>
  </si>
  <si>
    <t>小计</t>
    <phoneticPr fontId="3" type="noConversion"/>
  </si>
  <si>
    <t>B-7#楼</t>
    <phoneticPr fontId="3" type="noConversion"/>
  </si>
  <si>
    <t>塔楼</t>
    <phoneticPr fontId="3" type="noConversion"/>
  </si>
  <si>
    <t>1层</t>
    <phoneticPr fontId="3" type="noConversion"/>
  </si>
  <si>
    <t>住宅</t>
    <phoneticPr fontId="3" type="noConversion"/>
  </si>
  <si>
    <t>2层</t>
    <phoneticPr fontId="3" type="noConversion"/>
  </si>
  <si>
    <t>商业烟道</t>
    <phoneticPr fontId="3" type="noConversion"/>
  </si>
  <si>
    <t>商业烟道</t>
    <phoneticPr fontId="3" type="noConversion"/>
  </si>
  <si>
    <t>B-8#楼</t>
    <phoneticPr fontId="3" type="noConversion"/>
  </si>
  <si>
    <t>塔楼</t>
    <phoneticPr fontId="3" type="noConversion"/>
  </si>
  <si>
    <t>1层</t>
    <phoneticPr fontId="3" type="noConversion"/>
  </si>
  <si>
    <t>2层</t>
    <phoneticPr fontId="3" type="noConversion"/>
  </si>
  <si>
    <t>B-9#楼</t>
    <phoneticPr fontId="3" type="noConversion"/>
  </si>
  <si>
    <t>住宅</t>
    <phoneticPr fontId="3" type="noConversion"/>
  </si>
  <si>
    <t>2层</t>
    <phoneticPr fontId="3" type="noConversion"/>
  </si>
  <si>
    <t>住宅</t>
    <phoneticPr fontId="3" type="noConversion"/>
  </si>
  <si>
    <t>商业</t>
    <phoneticPr fontId="3" type="noConversion"/>
  </si>
  <si>
    <t>3层</t>
    <phoneticPr fontId="3" type="noConversion"/>
  </si>
  <si>
    <t>4-7层</t>
    <phoneticPr fontId="3" type="noConversion"/>
  </si>
  <si>
    <t>8层</t>
    <phoneticPr fontId="3" type="noConversion"/>
  </si>
  <si>
    <t>小计</t>
    <phoneticPr fontId="3" type="noConversion"/>
  </si>
  <si>
    <t>B-10#楼</t>
    <phoneticPr fontId="3" type="noConversion"/>
  </si>
  <si>
    <t>塔楼</t>
    <phoneticPr fontId="3" type="noConversion"/>
  </si>
  <si>
    <t>1层</t>
    <phoneticPr fontId="3" type="noConversion"/>
  </si>
  <si>
    <t>住宅</t>
    <phoneticPr fontId="3" type="noConversion"/>
  </si>
  <si>
    <t>商业</t>
    <phoneticPr fontId="3" type="noConversion"/>
  </si>
  <si>
    <t>3层</t>
    <phoneticPr fontId="3" type="noConversion"/>
  </si>
  <si>
    <t>4-7层</t>
    <phoneticPr fontId="3" type="noConversion"/>
  </si>
  <si>
    <t>8层</t>
    <phoneticPr fontId="3" type="noConversion"/>
  </si>
  <si>
    <t>小计</t>
    <phoneticPr fontId="3" type="noConversion"/>
  </si>
  <si>
    <t>B-11#楼</t>
    <phoneticPr fontId="3" type="noConversion"/>
  </si>
  <si>
    <t>塔楼</t>
    <phoneticPr fontId="3" type="noConversion"/>
  </si>
  <si>
    <t>1层</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</si>
  <si>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</si>
  <si>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</si>
  <si>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</si>
  <si>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</si>
  <si>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</si>
  <si>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</si>
  <si>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商业烟道</t>
    <phoneticPr fontId="3" type="noConversion"/>
  </si>
  <si>
    <t>4-7层</t>
    <phoneticPr fontId="3" type="noConversion"/>
  </si>
  <si>
    <t>商业烟道</t>
    <phoneticPr fontId="3" type="noConversion"/>
  </si>
  <si>
    <t>8层</t>
    <phoneticPr fontId="3" type="noConversion"/>
  </si>
  <si>
    <t>商业烟道</t>
    <phoneticPr fontId="3" type="noConversion"/>
  </si>
  <si>
    <t>B-12#楼</t>
    <phoneticPr fontId="3" type="noConversion"/>
  </si>
  <si>
    <t>塔楼</t>
    <phoneticPr fontId="3" type="noConversion"/>
  </si>
  <si>
    <t>1层</t>
    <phoneticPr fontId="3" type="noConversion"/>
  </si>
  <si>
    <t>入户大堂</t>
    <phoneticPr fontId="3" type="noConversion"/>
  </si>
  <si>
    <t>架空层</t>
    <phoneticPr fontId="3" type="noConversion"/>
  </si>
  <si>
    <t>架空</t>
    <phoneticPr fontId="3" type="noConversion"/>
  </si>
  <si>
    <t>2层</t>
    <phoneticPr fontId="3" type="noConversion"/>
  </si>
  <si>
    <t>3层</t>
    <phoneticPr fontId="3" type="noConversion"/>
  </si>
  <si>
    <t>4-6层</t>
    <phoneticPr fontId="3" type="noConversion"/>
  </si>
  <si>
    <t>商业烟道</t>
    <phoneticPr fontId="3" type="noConversion"/>
  </si>
  <si>
    <t>7层</t>
    <phoneticPr fontId="3" type="noConversion"/>
  </si>
  <si>
    <t>B-13#楼</t>
    <phoneticPr fontId="3" type="noConversion"/>
  </si>
  <si>
    <t>塔楼</t>
    <phoneticPr fontId="3" type="noConversion"/>
  </si>
  <si>
    <t>1层</t>
    <phoneticPr fontId="3" type="noConversion"/>
  </si>
  <si>
    <t>商业</t>
    <phoneticPr fontId="3" type="noConversion"/>
  </si>
  <si>
    <t>住宅</t>
    <phoneticPr fontId="3" type="noConversion"/>
  </si>
  <si>
    <t>架空层</t>
    <phoneticPr fontId="3" type="noConversion"/>
  </si>
  <si>
    <t>商业</t>
    <phoneticPr fontId="3" type="noConversion"/>
  </si>
  <si>
    <t>入户大堂</t>
    <phoneticPr fontId="3" type="noConversion"/>
  </si>
  <si>
    <t>商业烟道</t>
    <phoneticPr fontId="3" type="noConversion"/>
  </si>
  <si>
    <t>4-7层</t>
    <phoneticPr fontId="3" type="noConversion"/>
  </si>
  <si>
    <t>商业烟道</t>
    <phoneticPr fontId="3" type="noConversion"/>
  </si>
  <si>
    <t>商业烟道</t>
    <phoneticPr fontId="3" type="noConversion"/>
  </si>
  <si>
    <t>小计</t>
    <phoneticPr fontId="3" type="noConversion"/>
  </si>
  <si>
    <t>B-14#楼</t>
    <phoneticPr fontId="3" type="noConversion"/>
  </si>
  <si>
    <t>幼儿园</t>
    <phoneticPr fontId="3" type="noConversion"/>
  </si>
  <si>
    <t>幼儿园</t>
  </si>
  <si>
    <t>幼儿园</t>
    <phoneticPr fontId="3" type="noConversion"/>
  </si>
  <si>
    <t>2层</t>
    <phoneticPr fontId="3" type="noConversion"/>
  </si>
  <si>
    <t>B-15#楼</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</si>
  <si>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</si>
  <si>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</si>
  <si>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</si>
  <si>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</si>
  <si>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</si>
  <si>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B-16#楼</t>
    <phoneticPr fontId="3" type="noConversion"/>
  </si>
  <si>
    <t>住宅</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</si>
  <si>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</si>
  <si>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</si>
  <si>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</si>
  <si>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</si>
  <si>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</si>
  <si>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小计</t>
    <phoneticPr fontId="3" type="noConversion"/>
  </si>
  <si>
    <t>B-17#楼</t>
    <phoneticPr fontId="3" type="noConversion"/>
  </si>
  <si>
    <t>塔楼</t>
    <phoneticPr fontId="3" type="noConversion"/>
  </si>
  <si>
    <t>1层</t>
    <phoneticPr fontId="3" type="noConversion"/>
  </si>
  <si>
    <t>住宅</t>
    <phoneticPr fontId="3" type="noConversion"/>
  </si>
  <si>
    <t>住宅</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</si>
  <si>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</si>
  <si>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</si>
  <si>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</si>
  <si>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</si>
  <si>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</si>
  <si>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小计</t>
    <phoneticPr fontId="3" type="noConversion"/>
  </si>
  <si>
    <t>B-18#楼</t>
    <phoneticPr fontId="3" type="noConversion"/>
  </si>
  <si>
    <t>塔楼</t>
    <phoneticPr fontId="3" type="noConversion"/>
  </si>
  <si>
    <t>1层</t>
    <phoneticPr fontId="3" type="noConversion"/>
  </si>
  <si>
    <t>商业</t>
    <phoneticPr fontId="3" type="noConversion"/>
  </si>
  <si>
    <t>住宅</t>
    <phoneticPr fontId="3" type="noConversion"/>
  </si>
  <si>
    <t>入户大堂</t>
    <phoneticPr fontId="3" type="noConversion"/>
  </si>
  <si>
    <t>商业烟道</t>
    <phoneticPr fontId="3" type="noConversion"/>
  </si>
  <si>
    <t>架空</t>
    <phoneticPr fontId="3" type="noConversion"/>
  </si>
  <si>
    <t>架空层</t>
    <phoneticPr fontId="3" type="noConversion"/>
  </si>
  <si>
    <t>4-7层</t>
    <phoneticPr fontId="3" type="noConversion"/>
  </si>
  <si>
    <t>商业烟道</t>
    <phoneticPr fontId="3" type="noConversion"/>
  </si>
  <si>
    <t>大门</t>
    <phoneticPr fontId="3" type="noConversion"/>
  </si>
  <si>
    <t>B-1#景观大门</t>
    <phoneticPr fontId="3" type="noConversion"/>
  </si>
  <si>
    <t>1层</t>
    <phoneticPr fontId="3" type="noConversion"/>
  </si>
  <si>
    <t>门卫</t>
    <phoneticPr fontId="3" type="noConversion"/>
  </si>
  <si>
    <t>设备</t>
    <phoneticPr fontId="3" type="noConversion"/>
  </si>
  <si>
    <t>B-2#门卫</t>
    <phoneticPr fontId="3" type="noConversion"/>
  </si>
  <si>
    <t>门卫</t>
    <phoneticPr fontId="3" type="noConversion"/>
  </si>
  <si>
    <t>B-1#车库</t>
    <phoneticPr fontId="3" type="noConversion"/>
  </si>
  <si>
    <t>地下室</t>
  </si>
  <si>
    <t>负1层</t>
  </si>
  <si>
    <t>车库</t>
    <phoneticPr fontId="3" type="noConversion"/>
  </si>
  <si>
    <t>设备用房</t>
  </si>
  <si>
    <t>地下设备</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</si>
  <si>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</si>
  <si>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</si>
  <si>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建筑占地</t>
    <phoneticPr fontId="3" type="noConversion"/>
  </si>
  <si>
    <t>其它</t>
    <phoneticPr fontId="3" type="noConversion"/>
  </si>
  <si>
    <t>用地</t>
    <phoneticPr fontId="3" type="noConversion"/>
  </si>
  <si>
    <t>建筑面积</t>
    <phoneticPr fontId="3" type="noConversion"/>
  </si>
  <si>
    <t>土地面积</t>
    <phoneticPr fontId="3" type="noConversion"/>
  </si>
  <si>
    <r>
      <t>4</t>
    </r>
    <r>
      <rPr>
        <sz val="12"/>
        <rFont val="宋体"/>
        <family val="3"/>
        <charset val="134"/>
      </rPr>
      <t>4亩</t>
    </r>
    <phoneticPr fontId="3" type="noConversion"/>
  </si>
  <si>
    <t>住宅合计</t>
    <phoneticPr fontId="3" type="noConversion"/>
  </si>
  <si>
    <t>车库</t>
    <phoneticPr fontId="3" type="noConversion"/>
  </si>
  <si>
    <t>商业合计</t>
    <phoneticPr fontId="3" type="noConversion"/>
  </si>
  <si>
    <t>设备合计</t>
    <phoneticPr fontId="3" type="noConversion"/>
  </si>
  <si>
    <t>物业用房合计</t>
    <phoneticPr fontId="3" type="noConversion"/>
  </si>
  <si>
    <r>
      <t>7</t>
    </r>
    <r>
      <rPr>
        <sz val="12"/>
        <rFont val="宋体"/>
        <family val="3"/>
        <charset val="134"/>
      </rPr>
      <t>7亩</t>
    </r>
    <phoneticPr fontId="3" type="noConversion"/>
  </si>
  <si>
    <t>住宅合计</t>
    <phoneticPr fontId="3" type="noConversion"/>
  </si>
  <si>
    <t>车库</t>
    <phoneticPr fontId="3" type="noConversion"/>
  </si>
  <si>
    <t>商业合计</t>
    <phoneticPr fontId="3" type="noConversion"/>
  </si>
  <si>
    <t>设备合计</t>
    <phoneticPr fontId="3" type="noConversion"/>
  </si>
  <si>
    <t>物业用房合计</t>
  </si>
  <si>
    <t>幼儿园</t>
    <phoneticPr fontId="3" type="noConversion"/>
  </si>
  <si>
    <t>地下设备</t>
    <phoneticPr fontId="228" type="noConversion"/>
  </si>
  <si>
    <t>合计</t>
    <phoneticPr fontId="228" type="noConversion"/>
  </si>
  <si>
    <t>紫云府</t>
    <phoneticPr fontId="3" type="noConversion"/>
  </si>
  <si>
    <t>建筑面积</t>
    <phoneticPr fontId="228" type="noConversion"/>
  </si>
  <si>
    <t>土地面积</t>
  </si>
  <si>
    <t>为44亩范围建筑面积</t>
    <phoneticPr fontId="228" type="noConversion"/>
  </si>
  <si>
    <t>为77亩范围建筑面积</t>
    <phoneticPr fontId="228" type="noConversion"/>
  </si>
  <si>
    <t>有土地证</t>
    <phoneticPr fontId="228" type="noConversion"/>
  </si>
  <si>
    <t>无土地证</t>
    <phoneticPr fontId="228" type="noConversion"/>
  </si>
  <si>
    <t>3/4/5/7/8/11/12</t>
    <phoneticPr fontId="228" type="noConversion"/>
  </si>
  <si>
    <t>其余楼宇及幼儿园</t>
    <phoneticPr fontId="228" type="noConversion"/>
  </si>
  <si>
    <t>不计容设备用房</t>
    <phoneticPr fontId="228" type="noConversion"/>
  </si>
  <si>
    <t>周边道路密集程度一般、公共交通通达情况一般，有107路，203路、等公交线路通过，停车便捷程度一般，综合评价交通便捷度一般。</t>
    <phoneticPr fontId="3" type="noConversion"/>
  </si>
  <si>
    <t>所在区域2公里范围内有银行（中国邮政储蓄银行）、学校（巴川中学）、商业（无）、医院（无）等配套设施，公共配套设施一般；</t>
    <phoneticPr fontId="3" type="noConversion"/>
  </si>
  <si>
    <t>区域土地利用方向较一致；</t>
  </si>
  <si>
    <t>估价对象周边商业为项目内部商业街，周边商业氛围较好，人流量较大，商业繁华度较好</t>
    <phoneticPr fontId="3" type="noConversion"/>
  </si>
  <si>
    <r>
      <rPr>
        <sz val="11"/>
        <rFont val="宋体"/>
        <family val="3"/>
        <charset val="134"/>
      </rPr>
      <t>周边道路密集程度一般、公共交通通达情况一般，有</t>
    </r>
    <r>
      <rPr>
        <sz val="11"/>
        <rFont val="Arial"/>
        <family val="2"/>
      </rPr>
      <t>109</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26" type="noConversion"/>
  </si>
  <si>
    <t>所在区域基础设施水平达六通</t>
  </si>
  <si>
    <t>所在区域基础设施水平达六通</t>
    <phoneticPr fontId="3" type="noConversion"/>
  </si>
  <si>
    <t>周边自然环境（无）；人文环境（无），综合评价环境状况较差；</t>
    <phoneticPr fontId="26" type="noConversion"/>
  </si>
  <si>
    <t>估价对象周边商业为项目住宅商业，周边商业氛围一般，人流量一般，商业繁华度一般</t>
    <phoneticPr fontId="26" type="noConversion"/>
  </si>
  <si>
    <t>周边居住氛围一遍，有富乐小区、恒泰美庭、卓然水晶之城等住宅小区，居住社区成熟度较好</t>
  </si>
  <si>
    <t>周边居住氛围一遍，有富乐小区、恒泰美庭、卓然水晶之城等住宅小区，居住社区成熟度较好</t>
    <phoneticPr fontId="26" type="noConversion"/>
  </si>
  <si>
    <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26" type="noConversion"/>
  </si>
  <si>
    <t>周边自然环境（滨江公园）；人文环境（潼南区图书馆），综合评价环境状况较好；</t>
  </si>
  <si>
    <t>周边自然环境（滨江公园）；人文环境（潼南区图书馆），综合评价环境状况较好；</t>
    <phoneticPr fontId="26" type="noConversion"/>
  </si>
  <si>
    <t>所在区域2公里范围内有银行（中国农业银行）、学校（潼南区人民小学）、商业（重百潼南商场）、医院（潼南区中医院）等配套设施，公共配套设施较好；</t>
  </si>
  <si>
    <t>周边道路密集程度一般、公共交通通达情况一般，有206路，202路、203路等公交线路通过，停车便捷程度一般，综合评价交通便捷度一般</t>
  </si>
  <si>
    <t>较差</t>
  </si>
  <si>
    <t>周边居住氛围一遍，有潼南天地、卓然铂金公馆等住宅小区，居住社区成熟度较好</t>
    <phoneticPr fontId="3" type="noConversion"/>
  </si>
  <si>
    <t>区域土地利用方向较一致；</t>
    <phoneticPr fontId="2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</si>
  <si>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创意大道</t>
    </r>
    <phoneticPr fontId="21" type="noConversion"/>
  </si>
  <si>
    <t>次干道</t>
  </si>
  <si>
    <t>创意大道</t>
    <phoneticPr fontId="26" type="noConversion"/>
  </si>
  <si>
    <t>巴渝大道</t>
    <phoneticPr fontId="26" type="noConversion"/>
  </si>
  <si>
    <t>巴渝大道</t>
    <phoneticPr fontId="26" type="noConversion"/>
  </si>
  <si>
    <t>潼南大道</t>
    <phoneticPr fontId="26" type="noConversion"/>
  </si>
  <si>
    <t>主干道</t>
  </si>
  <si>
    <t>鹏润悦秀天宸</t>
    <phoneticPr fontId="3" type="noConversion"/>
  </si>
  <si>
    <t>周边居住氛围一遍，有华夏一品、蓝垭丽都公馆等住宅小区，居住社区成熟度较好</t>
    <phoneticPr fontId="21"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</si>
  <si>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21"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</si>
  <si>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21"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</si>
  <si>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21"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</si>
  <si>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21" type="noConversion"/>
  </si>
  <si>
    <t>周边自然环境（滨江公园）；人文环境（潼南区图书馆），综合评价环境状况较好；</t>
    <phoneticPr fontId="21"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</si>
  <si>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21" type="noConversion"/>
  </si>
  <si>
    <r>
      <rPr>
        <sz val="11"/>
        <rFont val="宋体"/>
        <family val="3"/>
        <charset val="134"/>
      </rPr>
      <t>主干道</t>
    </r>
    <r>
      <rPr>
        <sz val="11"/>
        <rFont val="Arial"/>
        <family val="2"/>
      </rPr>
      <t>-</t>
    </r>
    <r>
      <rPr>
        <sz val="11"/>
        <rFont val="宋体"/>
        <family val="3"/>
        <charset val="134"/>
      </rPr>
      <t>潼南大道</t>
    </r>
    <phoneticPr fontId="21" type="noConversion"/>
  </si>
  <si>
    <t>次干道-创意大道</t>
    <phoneticPr fontId="21" type="noConversion"/>
  </si>
  <si>
    <t>主干道</t>
    <phoneticPr fontId="21" type="noConversion"/>
  </si>
  <si>
    <t>支路</t>
    <phoneticPr fontId="21" type="noConversion"/>
  </si>
  <si>
    <t>次干道</t>
    <phoneticPr fontId="21"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</si>
  <si>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26"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</si>
  <si>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21" type="noConversion"/>
  </si>
  <si>
    <t>周边自然环境（无）；人文环境（潼南区图书馆），综合评价环境状况一般；</t>
    <phoneticPr fontId="21" type="noConversion"/>
  </si>
  <si>
    <r>
      <t xml:space="preserve"> </t>
    </r>
    <r>
      <rPr>
        <sz val="10.5"/>
        <color theme="1"/>
        <rFont val="宋体"/>
        <family val="3"/>
        <charset val="134"/>
      </rPr>
      <t>潼南中央公园项目洋</t>
    </r>
    <r>
      <rPr>
        <sz val="10.5"/>
        <color theme="1"/>
        <rFont val="Calibri"/>
        <family val="2"/>
      </rPr>
      <t>2</t>
    </r>
    <r>
      <rPr>
        <sz val="10.5"/>
        <color theme="1"/>
        <rFont val="宋体"/>
        <family val="3"/>
        <charset val="134"/>
      </rPr>
      <t>组团占地面积共</t>
    </r>
    <r>
      <rPr>
        <sz val="10.5"/>
        <color theme="1"/>
        <rFont val="Calibri"/>
        <family val="2"/>
      </rPr>
      <t>122.12</t>
    </r>
    <r>
      <rPr>
        <sz val="10.5"/>
        <color theme="1"/>
        <rFont val="宋体"/>
        <family val="3"/>
        <charset val="134"/>
      </rPr>
      <t>亩，目前已取得</t>
    </r>
    <r>
      <rPr>
        <sz val="10.5"/>
        <color theme="1"/>
        <rFont val="Calibri"/>
        <family val="2"/>
      </rPr>
      <t>44.74</t>
    </r>
    <r>
      <rPr>
        <sz val="10.5"/>
        <color theme="1"/>
        <rFont val="宋体"/>
        <family val="3"/>
        <charset val="134"/>
      </rPr>
      <t>亩的国土证，后续</t>
    </r>
    <r>
      <rPr>
        <sz val="10.5"/>
        <color theme="1"/>
        <rFont val="Calibri"/>
        <family val="2"/>
      </rPr>
      <t>77.38</t>
    </r>
    <r>
      <rPr>
        <sz val="10.5"/>
        <color theme="1"/>
        <rFont val="宋体"/>
        <family val="3"/>
        <charset val="134"/>
      </rPr>
      <t>亩的国土证预计在</t>
    </r>
    <r>
      <rPr>
        <sz val="10.5"/>
        <color theme="1"/>
        <rFont val="Calibri"/>
        <family val="2"/>
      </rPr>
      <t>8</t>
    </r>
    <r>
      <rPr>
        <sz val="10.5"/>
        <color theme="1"/>
        <rFont val="宋体"/>
        <family val="3"/>
        <charset val="134"/>
      </rPr>
      <t>月份取得。根据目前的设计方案，两块土地上的设计指标如下：</t>
    </r>
  </si>
  <si>
    <t>国土证号</t>
  </si>
  <si>
    <t>土地使用者</t>
  </si>
  <si>
    <t>土地面积（㎡）</t>
  </si>
  <si>
    <t>用途</t>
  </si>
  <si>
    <t>规划不计容面积（㎡）</t>
  </si>
  <si>
    <t>规划计容面积（㎡）</t>
  </si>
  <si>
    <t>建筑面积合计（㎡）</t>
  </si>
  <si>
    <t>经营性</t>
  </si>
  <si>
    <t>（渝2019）潼南区不动产权第000572865号</t>
  </si>
  <si>
    <t>架空</t>
  </si>
  <si>
    <t>大门</t>
  </si>
  <si>
    <t>­——</t>
  </si>
  <si>
    <t>暂未取得国土证</t>
  </si>
  <si>
    <t>国土证号</t>
    <phoneticPr fontId="228" type="noConversion"/>
  </si>
  <si>
    <t>周边自然环境（项目内部天鹅湖）；人文环境（潼南区图书馆），综合评价环境状况较好；</t>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</si>
  <si>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</si>
  <si>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</si>
  <si>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</si>
  <si>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</si>
  <si>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</si>
  <si>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</si>
  <si>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</si>
  <si>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</si>
  <si>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</si>
  <si>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</si>
  <si>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</si>
  <si>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</si>
  <si>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</si>
  <si>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</si>
  <si>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</si>
  <si>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</si>
  <si>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</si>
  <si>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</si>
  <si>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鹏润悦秀天宸</t>
    <phoneticPr fontId="3" type="noConversion"/>
  </si>
  <si>
    <t>紫云府</t>
    <phoneticPr fontId="3" type="noConversion"/>
  </si>
  <si>
    <t>华夏城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</si>
  <si>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</si>
  <si>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</si>
  <si>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</si>
  <si>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</si>
  <si>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</si>
  <si>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</si>
  <si>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</si>
  <si>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</si>
  <si>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</si>
  <si>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</si>
  <si>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</si>
  <si>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</si>
  <si>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</si>
  <si>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100/</t>
    <phoneticPr fontId="3" type="noConversion"/>
  </si>
  <si>
    <r>
      <rPr>
        <b/>
        <sz val="11"/>
        <color indexed="8"/>
        <rFont val="仿宋_GB2312"/>
        <family val="3"/>
        <charset val="134"/>
      </rPr>
      <t>容积率</t>
    </r>
    <phoneticPr fontId="3" type="noConversion"/>
  </si>
  <si>
    <t>区域因素</t>
    <phoneticPr fontId="3" type="noConversion"/>
  </si>
  <si>
    <t>周边居住氛围一遍，有华夏一品、蓝垭丽都公馆等住宅小区，居住社区成熟度较好</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</si>
  <si>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</si>
  <si>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</si>
  <si>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仿宋_GB2312"/>
        <family val="3"/>
        <charset val="134"/>
      </rPr>
      <t>区位状况</t>
    </r>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</si>
  <si>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</si>
  <si>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</si>
  <si>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</si>
  <si>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t>100/</t>
    <phoneticPr fontId="3" type="noConversion"/>
  </si>
  <si>
    <t>100/</t>
    <phoneticPr fontId="3" type="noConversion"/>
  </si>
  <si>
    <t>100/</t>
    <phoneticPr fontId="3" type="noConversion"/>
  </si>
  <si>
    <t>公共配套设施</t>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</si>
  <si>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</si>
  <si>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</si>
  <si>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</si>
  <si>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100/</t>
    <phoneticPr fontId="3" type="noConversion"/>
  </si>
  <si>
    <t>基础设施水平</t>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</si>
  <si>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</si>
  <si>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</si>
  <si>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100/</t>
    <phoneticPr fontId="3" type="noConversion"/>
  </si>
  <si>
    <t>楼层-1</t>
    <phoneticPr fontId="3" type="noConversion"/>
  </si>
  <si>
    <r>
      <rPr>
        <sz val="11"/>
        <color indexed="8"/>
        <rFont val="仿宋_GB2312"/>
        <family val="3"/>
        <charset val="134"/>
      </rPr>
      <t>道路级别</t>
    </r>
    <phoneticPr fontId="3" type="noConversion"/>
  </si>
  <si>
    <t>次干道</t>
    <phoneticPr fontId="3" type="noConversion"/>
  </si>
  <si>
    <t>主干道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</si>
  <si>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</si>
  <si>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</si>
  <si>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</si>
  <si>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</si>
  <si>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</si>
  <si>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个别因素</t>
    <phoneticPr fontId="3" type="noConversion"/>
  </si>
  <si>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</si>
  <si>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</si>
  <si>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</si>
  <si>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</si>
  <si>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t>中</t>
    <phoneticPr fontId="3" type="noConversion"/>
  </si>
  <si>
    <t>大</t>
    <phoneticPr fontId="3" type="noConversion"/>
  </si>
  <si>
    <t>小</t>
    <phoneticPr fontId="3" type="noConversion"/>
  </si>
  <si>
    <t>100/</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</si>
  <si>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</si>
  <si>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</si>
  <si>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</si>
  <si>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</si>
  <si>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</si>
  <si>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</si>
  <si>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</si>
  <si>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</si>
  <si>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</si>
  <si>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</si>
  <si>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</si>
  <si>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</si>
  <si>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</si>
  <si>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</si>
  <si>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</si>
  <si>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</si>
  <si>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</si>
  <si>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</si>
  <si>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</si>
  <si>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</si>
  <si>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</si>
  <si>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</si>
  <si>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</si>
  <si>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</si>
  <si>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</si>
  <si>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</si>
  <si>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</si>
  <si>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</si>
  <si>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</si>
  <si>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</si>
  <si>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七通</t>
    <phoneticPr fontId="3" type="noConversion"/>
  </si>
  <si>
    <t>六通</t>
    <phoneticPr fontId="3" type="noConversion"/>
  </si>
  <si>
    <t>五通</t>
    <phoneticPr fontId="3" type="noConversion"/>
  </si>
  <si>
    <t>四通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</si>
  <si>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</si>
  <si>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</si>
  <si>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</si>
  <si>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</si>
  <si>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</si>
  <si>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</si>
  <si>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楼层-1</t>
    <phoneticPr fontId="3" type="noConversion"/>
  </si>
  <si>
    <r>
      <rPr>
        <sz val="11"/>
        <color indexed="8"/>
        <rFont val="仿宋_GB2312"/>
        <family val="3"/>
        <charset val="134"/>
      </rPr>
      <t>朝向</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</si>
  <si>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</si>
  <si>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</si>
  <si>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</si>
  <si>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</si>
  <si>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</si>
  <si>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</si>
  <si>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</si>
  <si>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</si>
  <si>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</si>
  <si>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</si>
  <si>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</si>
  <si>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</si>
  <si>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</si>
  <si>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</si>
  <si>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t>好</t>
    <phoneticPr fontId="3" type="noConversion"/>
  </si>
  <si>
    <t>较好</t>
    <phoneticPr fontId="3" type="noConversion"/>
  </si>
  <si>
    <t>一般</t>
    <phoneticPr fontId="3" type="noConversion"/>
  </si>
  <si>
    <r>
      <rPr>
        <sz val="11"/>
        <color indexed="8"/>
        <rFont val="仿宋_GB2312"/>
        <family val="3"/>
        <charset val="134"/>
      </rPr>
      <t>公共部分装修</t>
    </r>
    <phoneticPr fontId="3" type="noConversion"/>
  </si>
  <si>
    <t>精装</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</si>
  <si>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</si>
  <si>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</si>
  <si>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</si>
  <si>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市政基础设施</t>
    <phoneticPr fontId="3" type="noConversion"/>
  </si>
  <si>
    <r>
      <rPr>
        <sz val="11"/>
        <color indexed="8"/>
        <rFont val="仿宋_GB2312"/>
        <family val="3"/>
        <charset val="134"/>
      </rPr>
      <t>房型</t>
    </r>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</si>
  <si>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</si>
  <si>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</si>
  <si>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</si>
  <si>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</si>
  <si>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</si>
  <si>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</si>
  <si>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</si>
  <si>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</si>
  <si>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</si>
  <si>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</si>
  <si>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</si>
  <si>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</si>
  <si>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</si>
  <si>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</si>
  <si>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</si>
  <si>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</si>
  <si>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</si>
  <si>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</si>
  <si>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</si>
  <si>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</si>
  <si>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</si>
  <si>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</si>
  <si>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</si>
  <si>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</si>
  <si>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</si>
  <si>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</si>
  <si>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</si>
  <si>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</si>
  <si>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</si>
  <si>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</si>
  <si>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r>
      <t>不动产比较法</t>
    </r>
    <r>
      <rPr>
        <sz val="11"/>
        <color theme="1"/>
        <rFont val="Arial"/>
        <family val="2"/>
      </rPr>
      <t>-</t>
    </r>
    <r>
      <rPr>
        <sz val="11"/>
        <color theme="1"/>
        <rFont val="宋体"/>
        <family val="3"/>
        <charset val="134"/>
      </rPr>
      <t>（商业</t>
    </r>
    <r>
      <rPr>
        <sz val="11"/>
        <color theme="1"/>
        <rFont val="Arial"/>
        <family val="2"/>
      </rPr>
      <t>)</t>
    </r>
  </si>
  <si>
    <t>欧鹏中央公园</t>
    <phoneticPr fontId="3" type="noConversion"/>
  </si>
  <si>
    <t>30-40（含）</t>
  </si>
  <si>
    <t>较适宜</t>
    <phoneticPr fontId="26" type="noConversion"/>
  </si>
  <si>
    <t>钢混</t>
    <phoneticPr fontId="26" type="noConversion"/>
  </si>
  <si>
    <t>六通</t>
    <phoneticPr fontId="26" type="noConversion"/>
  </si>
  <si>
    <t>毛坯</t>
    <phoneticPr fontId="26" type="noConversion"/>
  </si>
  <si>
    <t>可餐饮</t>
    <phoneticPr fontId="26" type="noConversion"/>
  </si>
  <si>
    <t>精装</t>
    <phoneticPr fontId="26" type="noConversion"/>
  </si>
  <si>
    <t>较大</t>
    <phoneticPr fontId="26" type="noConversion"/>
  </si>
  <si>
    <t>较好</t>
    <phoneticPr fontId="26" type="noConversion"/>
  </si>
  <si>
    <t>多面临街</t>
    <phoneticPr fontId="26" type="noConversion"/>
  </si>
  <si>
    <t>商业</t>
    <phoneticPr fontId="26" type="noConversion"/>
  </si>
  <si>
    <t>商业</t>
    <phoneticPr fontId="26" type="noConversion"/>
  </si>
  <si>
    <t>1-2</t>
  </si>
  <si>
    <t>1-2</t>
    <phoneticPr fontId="26" type="noConversion"/>
  </si>
  <si>
    <t>楼层</t>
  </si>
  <si>
    <t>单位面积地价</t>
  </si>
  <si>
    <t>万元/亩</t>
  </si>
  <si>
    <t>比较因素</t>
  </si>
  <si>
    <t>估价对象</t>
  </si>
  <si>
    <t>案例A</t>
  </si>
  <si>
    <t>案例B</t>
  </si>
  <si>
    <t>案例C</t>
  </si>
  <si>
    <t>估价对象名称</t>
  </si>
  <si>
    <t>项目位置</t>
  </si>
  <si>
    <t>交易时间</t>
  </si>
  <si>
    <t>交易情况</t>
  </si>
  <si>
    <t>土地使用年限（年）</t>
  </si>
  <si>
    <t>区域因素</t>
  </si>
  <si>
    <t>周边居住氛围一遍，有潼南天地、卓然铂金公馆等住宅小区，居住社区成熟度较好</t>
  </si>
  <si>
    <t>周边居住氛围一遍，有键能绿都、芭堤香郡等住宅小区，居住社区成熟度一般</t>
  </si>
  <si>
    <t>商业繁华度</t>
  </si>
  <si>
    <t>估价对象周边商业为项目内部商业街，周边商业氛围较好，人流量较大，商业繁华度较好</t>
  </si>
  <si>
    <t>估价对象周边商业为项目住宅商业，周边商业氛围一般，人流量一般，商业繁华度一般</t>
  </si>
  <si>
    <t>估价对象周边有新世界百货、重百潼南商场，周边商业氛围较好，人流量较好，商业繁华度一般</t>
  </si>
  <si>
    <t>办公集聚程度</t>
  </si>
  <si>
    <t>估价对象位于XX商圈，周边办公楼项目较多，入驻率高，办公集聚程度较好</t>
  </si>
  <si>
    <t>周边道路密集程度一般、公共交通通达情况一般，有107路，203路、等公交线路通过，停车便捷程度一般，综合评价交通便捷度一般。</t>
  </si>
  <si>
    <t>周边道路密集程度一般、公共交通通达情况一般，有109路，203路、等公交线路通过，停车便捷程度一般，综合评价交通便捷度一般。</t>
  </si>
  <si>
    <t>周边自然环境（项目内部天鹅湖）；人文环境（潼南区图书馆），综合评价环境状况较好；</t>
  </si>
  <si>
    <t>周边自然环境（无）；人文环境（无），综合评价环境状况较差；</t>
  </si>
  <si>
    <t>公共配套设施</t>
  </si>
  <si>
    <t>所在区域2公里范围内有银行（中国邮政储蓄银行）、学校（巴川中学）、商业（无）、医院（无）等配套设施，公共配套设施一般；</t>
  </si>
  <si>
    <t>基础设施水平</t>
  </si>
  <si>
    <t>创意大道</t>
  </si>
  <si>
    <t>潼南大道</t>
  </si>
  <si>
    <t>巴渝大道</t>
  </si>
  <si>
    <t>个别因素</t>
  </si>
  <si>
    <t>宗地面积</t>
  </si>
  <si>
    <t>宗地形状</t>
  </si>
  <si>
    <t>临街宽度及深度</t>
  </si>
  <si>
    <t>宗地开发程度</t>
  </si>
  <si>
    <t>工程地质条件</t>
  </si>
  <si>
    <t>成交单价</t>
  </si>
  <si>
    <t>比较价格（元/平方米）</t>
  </si>
  <si>
    <t>估价对象XX用房的比较价格（楼面单价，元/平方米）</t>
  </si>
  <si>
    <t>50</t>
    <phoneticPr fontId="228" type="noConversion"/>
  </si>
  <si>
    <t>市场比较法</t>
    <phoneticPr fontId="228" type="noConversion"/>
  </si>
  <si>
    <t>剩余法</t>
  </si>
  <si>
    <t>剩余法</t>
    <phoneticPr fontId="228" type="noConversion"/>
  </si>
  <si>
    <t>1 .开发完成后不动产总价</t>
  </si>
  <si>
    <t>项目名称</t>
  </si>
  <si>
    <t>（1）</t>
  </si>
  <si>
    <t>楼面单价</t>
  </si>
  <si>
    <t>（2）</t>
  </si>
  <si>
    <t>（3）</t>
  </si>
  <si>
    <t>总额</t>
  </si>
  <si>
    <t>2 .扣减项</t>
  </si>
  <si>
    <t>面积</t>
  </si>
  <si>
    <t>单价</t>
  </si>
  <si>
    <t>相关系数</t>
  </si>
  <si>
    <t>1）</t>
  </si>
  <si>
    <t>建安费用</t>
  </si>
  <si>
    <t>2）</t>
  </si>
  <si>
    <t>勘察设计和前期工程费</t>
  </si>
  <si>
    <t>以建安费用为基数计取</t>
  </si>
  <si>
    <t>3）</t>
  </si>
  <si>
    <t>公共配套设施费用</t>
  </si>
  <si>
    <t>以住宅用房建安费用为基数计取</t>
  </si>
  <si>
    <t>4）</t>
  </si>
  <si>
    <t>红线内市政费用</t>
  </si>
  <si>
    <t>5）</t>
  </si>
  <si>
    <t>相关税费</t>
  </si>
  <si>
    <t>房屋建造成本</t>
  </si>
  <si>
    <t>前述5项之和</t>
  </si>
  <si>
    <t>红线外市政费用（土地开发费用）</t>
  </si>
  <si>
    <t>按实际情况计取</t>
  </si>
  <si>
    <t>城市基础设施建设费（行政收费）</t>
  </si>
  <si>
    <t>非住宅</t>
  </si>
  <si>
    <t>（4）</t>
  </si>
  <si>
    <t>管理费用</t>
  </si>
  <si>
    <t>以“（1）-（3）”为基数计算</t>
  </si>
  <si>
    <t>（5）</t>
  </si>
  <si>
    <t>销售费用</t>
  </si>
  <si>
    <t>以“开发完成后不动产总价“为基数计取</t>
  </si>
  <si>
    <t>（6）</t>
  </si>
  <si>
    <t>购地税费</t>
  </si>
  <si>
    <t>P土</t>
  </si>
  <si>
    <t>以估价对象土地价格/(1+5%)为基数记取</t>
  </si>
  <si>
    <t>投资利息</t>
  </si>
  <si>
    <t>复利计息。后续开发成本、管理费用及销售费用产生的利息。</t>
  </si>
  <si>
    <t>土地购买价格及购地税费产生的利息</t>
  </si>
  <si>
    <t>（1+取得税费率）/(1+5%)×((1+年利率)^建设期-1)</t>
  </si>
  <si>
    <t>（1）-（5）项产生的利息</t>
  </si>
  <si>
    <t>（1）-（4）项×((1+年利率)^(建设期÷2)-1)</t>
  </si>
  <si>
    <t>销售税费</t>
  </si>
  <si>
    <t>以“开发完成后不动产总价/（1+5%）”为基数计取</t>
  </si>
  <si>
    <t>（9）</t>
  </si>
  <si>
    <t>开发成本</t>
  </si>
  <si>
    <t>前8项之和</t>
  </si>
  <si>
    <t>（10）</t>
  </si>
  <si>
    <t>投资利润</t>
  </si>
  <si>
    <t>土地购买价格及购地税费应计的利润</t>
  </si>
  <si>
    <t>（P+P*取得税费/(1+5%)）*利润率</t>
  </si>
  <si>
    <t>（1）-（5）项及销售费用产生的利息</t>
  </si>
  <si>
    <t>3 .土地价格</t>
  </si>
  <si>
    <t>开发完成后的不动产总价(1)-开发成本(9)-利润(10)</t>
  </si>
  <si>
    <t>建成之后住宅用房价值</t>
    <phoneticPr fontId="228" type="noConversion"/>
  </si>
  <si>
    <t>─</t>
  </si>
  <si>
    <t>鹏润悦秀天宸</t>
  </si>
  <si>
    <t>紫云府</t>
  </si>
  <si>
    <t>华夏城</t>
  </si>
  <si>
    <t>周边居住氛围一遍，有华夏一品、蓝垭丽都公馆等住宅小区，居住社区成熟度较好</t>
  </si>
  <si>
    <t>周边居住氛围一遍，有华润二十四城、万象里公馆等住宅小区，居住社区成熟度较好</t>
  </si>
  <si>
    <t>周边居住氛围一遍，有永嘉柏林公馆、卓然水晶之城等住宅小区，居住社区成熟度较好</t>
  </si>
  <si>
    <t>周边道路密集程度一般、公共交通通达情况一般，有107路，101路、等公交线路通过，停车便捷程度一般，综合评价交通便捷度一般。</t>
  </si>
  <si>
    <t>周边道路密集程度一般、公共交通通达情况一般，有207路，412路、等公交线路通过，停车便捷程度一般，综合评价交通便捷度一般。</t>
  </si>
  <si>
    <t>周边道路密集程度一般、公共交通通达情况一般，有206路，202路、等公交线路通过，停车便捷程度一般，综合评价交通便捷度一般。</t>
  </si>
  <si>
    <t>所在区域2公里范围内有银行（民生银行）、学校（潼南一中）、商业（重百潼南商场）、医院（重庆潼南区人民医院）等配套设施，公共配套设施较好；</t>
  </si>
  <si>
    <t>所在区域2公里范围内有银行（中国农业银行）、学校（潼南区人民小学）、商业（新世纪百货）、医院（潼南区中医院）等配套设施，公共配套设施较好；</t>
  </si>
  <si>
    <t>周边自然环境（无）；人文环境（潼南区图书馆），综合评价环境状况一般；</t>
  </si>
  <si>
    <t>楼层-1</t>
  </si>
  <si>
    <t>朝向</t>
  </si>
  <si>
    <t>道路级别</t>
  </si>
  <si>
    <t>支路</t>
  </si>
  <si>
    <t>次干道-创意大道</t>
  </si>
  <si>
    <t>主干道-潼南大道</t>
  </si>
  <si>
    <t>主干道-南北大道</t>
  </si>
  <si>
    <t>支路-夏露街</t>
  </si>
  <si>
    <t>建筑类型</t>
  </si>
  <si>
    <t>项目建筑规模</t>
  </si>
  <si>
    <t>建筑结构</t>
  </si>
  <si>
    <t>建筑品质</t>
  </si>
  <si>
    <t>公共部分装修</t>
  </si>
  <si>
    <t>成新度</t>
  </si>
  <si>
    <t>物业管理</t>
  </si>
  <si>
    <t>市政基础设施</t>
  </si>
  <si>
    <t>房型</t>
  </si>
  <si>
    <t>单套/主力户型建筑面积</t>
  </si>
  <si>
    <t>内部装修</t>
  </si>
  <si>
    <t>内部装修维护情况</t>
  </si>
  <si>
    <t>建成之后商业用房价格</t>
    <phoneticPr fontId="228" type="noConversion"/>
  </si>
  <si>
    <t>比较法</t>
  </si>
  <si>
    <t>欧鹏中央公园</t>
  </si>
  <si>
    <t>平面位置/可视性</t>
  </si>
  <si>
    <t>人流量</t>
  </si>
  <si>
    <t>商业类型</t>
  </si>
  <si>
    <t>业态</t>
  </si>
  <si>
    <t>层高</t>
  </si>
  <si>
    <t>进深比</t>
  </si>
  <si>
    <t>成交单价（元/平方米）</t>
  </si>
  <si>
    <t>售价</t>
    <phoneticPr fontId="228" type="noConversion"/>
  </si>
  <si>
    <t>多面</t>
  </si>
  <si>
    <t>多面</t>
    <phoneticPr fontId="228" type="noConversion"/>
  </si>
  <si>
    <t>多面</t>
    <phoneticPr fontId="228" type="noConversion"/>
  </si>
  <si>
    <t>较好</t>
    <phoneticPr fontId="228" type="noConversion"/>
  </si>
  <si>
    <t>较大</t>
  </si>
  <si>
    <t>较大</t>
    <phoneticPr fontId="228" type="noConversion"/>
  </si>
  <si>
    <t>住宅底商</t>
  </si>
  <si>
    <t>住宅底商</t>
    <phoneticPr fontId="228" type="noConversion"/>
  </si>
  <si>
    <t>钢混</t>
    <phoneticPr fontId="228" type="noConversion"/>
  </si>
  <si>
    <t>精装</t>
    <phoneticPr fontId="228" type="noConversion"/>
  </si>
  <si>
    <t>六通</t>
    <phoneticPr fontId="228" type="noConversion"/>
  </si>
  <si>
    <t>可餐饮</t>
  </si>
  <si>
    <t>可餐饮</t>
    <phoneticPr fontId="228" type="noConversion"/>
  </si>
  <si>
    <t>毛坯</t>
    <phoneticPr fontId="228" type="noConversion"/>
  </si>
  <si>
    <t>较适宜</t>
    <phoneticPr fontId="228" type="noConversion"/>
  </si>
  <si>
    <t>5</t>
    <phoneticPr fontId="228" type="noConversion"/>
  </si>
  <si>
    <t>5</t>
    <phoneticPr fontId="228" type="noConversion"/>
  </si>
  <si>
    <r>
      <rPr>
        <b/>
        <sz val="11"/>
        <color theme="1"/>
        <rFont val="宋体"/>
        <family val="3"/>
        <charset val="134"/>
      </rPr>
      <t>估价对象商业用房的比较价格（楼面单价，元</t>
    </r>
    <r>
      <rPr>
        <b/>
        <sz val="11"/>
        <color theme="1"/>
        <rFont val="Arial"/>
        <family val="2"/>
      </rPr>
      <t>/</t>
    </r>
    <r>
      <rPr>
        <b/>
        <sz val="11"/>
        <color theme="1"/>
        <rFont val="宋体"/>
        <family val="3"/>
        <charset val="134"/>
      </rPr>
      <t>平方米）</t>
    </r>
    <phoneticPr fontId="228" type="noConversion"/>
  </si>
  <si>
    <t>权重确定打分评价体系</t>
  </si>
  <si>
    <t>权重</t>
  </si>
  <si>
    <t>各方法结果</t>
  </si>
  <si>
    <t>权重结果</t>
  </si>
  <si>
    <t>周边居住氛围一遍，有键能绿都、芭堤香郡等住宅小区，居住社区成熟度较好</t>
    <phoneticPr fontId="26" type="noConversion"/>
  </si>
  <si>
    <t>估价对象周边有新世界百货、重百潼南商场，周边商业氛围较好，人流量较好，商业繁华度较好</t>
    <phoneticPr fontId="26" type="noConversion"/>
  </si>
  <si>
    <t>周边居住氛围一遍，有华润二十四城、万象里公馆等住宅小区，居住社区成熟度较好</t>
    <phoneticPr fontId="21"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</si>
  <si>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21"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</si>
  <si>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21" type="noConversion"/>
  </si>
  <si>
    <t>周边居住氛围一遍，有永嘉柏林公馆、卓然水晶之城等住宅小区，居住社区成熟度较好</t>
    <phoneticPr fontId="21" type="noConversion"/>
  </si>
  <si>
    <t>周边自然环境（滨江公园）；人文环境（潼南区图书馆），综合评价环境状况较好；</t>
    <phoneticPr fontId="21" type="noConversion"/>
  </si>
  <si>
    <t>非个人房产</t>
  </si>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</sst>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4"/>
      <name val="宋体"/>
      <family val="3"/>
      <charset val="134"/>
    </font>
    <font>
      <b/>
      <vertAlign val="superscript"/>
      <sz val="12"/>
      <name val="宋体"/>
      <family val="3"/>
      <charset val="134"/>
    </font>
    <font>
      <vertAlign val="superscript"/>
      <sz val="12"/>
      <name val="宋体"/>
      <family val="3"/>
      <charset val="134"/>
    </font>
    <font>
      <sz val="12"/>
      <color theme="1"/>
      <name val="宋体"/>
      <family val="3"/>
      <charset val="134"/>
    </font>
    <font>
      <sz val="11"/>
      <color theme="9" tint="-0.249977111117893"/>
      <name val="宋体"/>
      <family val="3"/>
      <charset val="134"/>
    </font>
    <font>
      <sz val="10.5"/>
      <color theme="1"/>
      <name val="Calibri"/>
      <family val="2"/>
    </font>
    <font>
      <sz val="10.5"/>
      <color theme="1"/>
      <name val="宋体"/>
      <family val="3"/>
      <charset val="134"/>
    </font>
    <font>
      <sz val="9"/>
      <color theme="1"/>
      <name val="宋体"/>
      <family val="3"/>
      <charset val="134"/>
    </font>
    <font>
      <b/>
      <sz val="16"/>
      <color theme="1"/>
      <name val="Arial"/>
      <family val="2"/>
    </font>
    <font>
      <sz val="16"/>
      <color theme="1"/>
      <name val="Arial"/>
      <family val="2"/>
    </font>
    <font>
      <b/>
      <sz val="11"/>
      <color theme="1"/>
      <name val="楷体_GB2312"/>
      <family val="3"/>
      <charset val="134"/>
    </font>
    <font>
      <b/>
      <sz val="16"/>
      <color theme="1"/>
      <name val="宋体"/>
      <family val="3"/>
      <charset val="134"/>
    </font>
    <font>
      <u/>
      <sz val="10"/>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bottom style="medium">
        <color rgb="FF00000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4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0" fillId="8" borderId="0" xfId="0" applyFill="1" applyAlignment="1"/>
    <xf numFmtId="0" fontId="0" fillId="8" borderId="0" xfId="0" applyFill="1">
      <alignment vertical="center"/>
    </xf>
    <xf numFmtId="0" fontId="274" fillId="0" borderId="0" xfId="0" applyFont="1" applyFill="1" applyBorder="1" applyAlignment="1">
      <alignment horizontal="center" vertical="center"/>
    </xf>
    <xf numFmtId="0" fontId="0" fillId="0" borderId="0" xfId="0" applyFill="1">
      <alignment vertical="center"/>
    </xf>
    <xf numFmtId="0" fontId="229" fillId="0" borderId="0" xfId="0" applyFont="1" applyFill="1" applyBorder="1" applyAlignment="1">
      <alignment horizontal="center" vertical="center" wrapText="1"/>
    </xf>
    <xf numFmtId="0" fontId="32" fillId="0" borderId="0" xfId="0" applyFont="1" applyFill="1">
      <alignment vertical="center"/>
    </xf>
    <xf numFmtId="0" fontId="32" fillId="0" borderId="0" xfId="0" applyFont="1" applyFill="1" applyBorder="1">
      <alignment vertical="center"/>
    </xf>
    <xf numFmtId="0" fontId="32" fillId="0" borderId="2" xfId="2" applyFont="1" applyFill="1" applyBorder="1" applyAlignment="1">
      <alignment horizontal="center" vertical="center" wrapText="1"/>
    </xf>
    <xf numFmtId="0" fontId="32" fillId="8" borderId="2" xfId="2" applyFont="1" applyFill="1" applyBorder="1" applyAlignment="1">
      <alignment horizontal="center" vertical="center" wrapText="1"/>
    </xf>
    <xf numFmtId="0" fontId="32" fillId="17" borderId="2" xfId="2" applyFont="1" applyFill="1" applyBorder="1" applyAlignment="1">
      <alignment horizontal="center" vertical="center" wrapText="1"/>
    </xf>
    <xf numFmtId="0" fontId="32" fillId="0" borderId="2" xfId="0"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0" fontId="0" fillId="0" borderId="0" xfId="0" applyFill="1" applyProtection="1">
      <alignment vertical="center"/>
      <protection locked="0"/>
    </xf>
    <xf numFmtId="0" fontId="0" fillId="7" borderId="0" xfId="0" applyFill="1" applyProtection="1">
      <alignment vertical="center"/>
      <protection locked="0"/>
    </xf>
    <xf numFmtId="0" fontId="32" fillId="7" borderId="0" xfId="0" applyFont="1" applyFill="1" applyProtection="1">
      <alignment vertical="center"/>
      <protection locked="0"/>
    </xf>
    <xf numFmtId="2" fontId="0" fillId="0" borderId="0" xfId="0" applyNumberFormat="1" applyFill="1" applyProtection="1">
      <alignment vertical="center"/>
      <protection locked="0"/>
    </xf>
    <xf numFmtId="0" fontId="32" fillId="0" borderId="0" xfId="0" applyFont="1" applyFill="1" applyAlignment="1" applyProtection="1">
      <alignment horizontal="center" vertical="center"/>
      <protection locked="0"/>
    </xf>
    <xf numFmtId="0" fontId="32" fillId="0" borderId="2"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17" borderId="2" xfId="2" applyFont="1" applyFill="1" applyBorder="1" applyAlignment="1" applyProtection="1">
      <alignment horizontal="center" vertical="center" wrapText="1"/>
      <protection locked="0"/>
    </xf>
    <xf numFmtId="0" fontId="0" fillId="8" borderId="0" xfId="0" applyFill="1" applyProtection="1">
      <alignment vertical="center"/>
      <protection locked="0"/>
    </xf>
    <xf numFmtId="0" fontId="32" fillId="8" borderId="0" xfId="0" applyFont="1" applyFill="1" applyProtection="1">
      <alignment vertical="center"/>
      <protection locked="0"/>
    </xf>
    <xf numFmtId="0" fontId="0" fillId="18" borderId="0" xfId="0" applyFill="1" applyProtection="1">
      <alignment vertical="center"/>
      <protection locked="0"/>
    </xf>
    <xf numFmtId="0" fontId="229" fillId="0" borderId="2" xfId="2" applyFont="1" applyFill="1" applyBorder="1" applyAlignment="1" applyProtection="1">
      <alignment horizontal="center" vertical="center" wrapText="1"/>
      <protection locked="0"/>
    </xf>
    <xf numFmtId="0" fontId="229" fillId="0" borderId="2" xfId="2" applyFont="1" applyFill="1" applyBorder="1" applyAlignment="1">
      <alignment horizontal="center" vertical="center" wrapText="1"/>
    </xf>
    <xf numFmtId="0" fontId="229" fillId="8" borderId="2" xfId="2" applyFont="1" applyFill="1" applyBorder="1" applyAlignment="1" applyProtection="1">
      <alignment horizontal="center" vertical="center" wrapText="1"/>
      <protection locked="0"/>
    </xf>
    <xf numFmtId="0" fontId="229" fillId="17" borderId="2" xfId="2" applyFont="1" applyFill="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229" fillId="6" borderId="0" xfId="0" applyFont="1" applyFill="1" applyBorder="1" applyAlignment="1" applyProtection="1">
      <alignment horizontal="center" vertical="center" wrapText="1"/>
      <protection locked="0"/>
    </xf>
    <xf numFmtId="0" fontId="0" fillId="0" borderId="0" xfId="0" applyFill="1" applyBorder="1" applyProtection="1">
      <alignment vertical="center"/>
      <protection locked="0"/>
    </xf>
    <xf numFmtId="0" fontId="0" fillId="7" borderId="0" xfId="0" applyFill="1" applyBorder="1" applyProtection="1">
      <alignment vertical="center"/>
      <protection locked="0"/>
    </xf>
    <xf numFmtId="0" fontId="229" fillId="0" borderId="0" xfId="0" applyFont="1" applyFill="1" applyBorder="1" applyAlignment="1" applyProtection="1">
      <alignment horizontal="center" vertical="center" wrapText="1"/>
      <protection locked="0"/>
    </xf>
    <xf numFmtId="0" fontId="0" fillId="18" borderId="0" xfId="0" applyFill="1" applyBorder="1" applyProtection="1">
      <alignment vertical="center"/>
      <protection locked="0"/>
    </xf>
    <xf numFmtId="0" fontId="32" fillId="19" borderId="2" xfId="2" applyFont="1" applyFill="1" applyBorder="1" applyAlignment="1">
      <alignment horizontal="center" vertical="center" wrapText="1"/>
    </xf>
    <xf numFmtId="0" fontId="32" fillId="19" borderId="2" xfId="0" applyFont="1" applyFill="1" applyBorder="1" applyAlignment="1" applyProtection="1">
      <alignment horizontal="center" vertical="center" wrapText="1"/>
      <protection locked="0"/>
    </xf>
    <xf numFmtId="0" fontId="32" fillId="19" borderId="0" xfId="0" applyFont="1" applyFill="1" applyBorder="1" applyAlignment="1" applyProtection="1">
      <alignment horizontal="center" vertical="center" wrapText="1"/>
      <protection locked="0"/>
    </xf>
    <xf numFmtId="0" fontId="0" fillId="19" borderId="0" xfId="0" applyFill="1" applyProtection="1">
      <alignment vertical="center"/>
      <protection locked="0"/>
    </xf>
    <xf numFmtId="0" fontId="32" fillId="6" borderId="0" xfId="0" applyFont="1" applyFill="1" applyProtection="1">
      <alignment vertical="center"/>
      <protection locked="0"/>
    </xf>
    <xf numFmtId="0" fontId="0" fillId="6" borderId="0" xfId="0" applyFill="1" applyProtection="1">
      <alignment vertical="center"/>
      <protection locked="0"/>
    </xf>
    <xf numFmtId="2" fontId="0" fillId="19" borderId="0" xfId="0" applyNumberFormat="1" applyFill="1" applyProtection="1">
      <alignment vertical="center"/>
      <protection locked="0"/>
    </xf>
    <xf numFmtId="0" fontId="32" fillId="19" borderId="0" xfId="0" applyFont="1" applyFill="1" applyAlignment="1" applyProtection="1">
      <alignment horizontal="center" vertical="center"/>
      <protection locked="0"/>
    </xf>
    <xf numFmtId="0" fontId="32" fillId="19" borderId="2"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0" borderId="2" xfId="2" applyFont="1" applyFill="1" applyBorder="1" applyAlignment="1">
      <alignment horizontal="center" vertical="center" wrapText="1"/>
    </xf>
    <xf numFmtId="0" fontId="32" fillId="20" borderId="2" xfId="0" applyFont="1" applyFill="1" applyBorder="1" applyAlignment="1" applyProtection="1">
      <alignment horizontal="center" vertical="center" wrapText="1"/>
      <protection locked="0"/>
    </xf>
    <xf numFmtId="0" fontId="32" fillId="20" borderId="0" xfId="0" applyFont="1" applyFill="1" applyBorder="1" applyAlignment="1" applyProtection="1">
      <alignment horizontal="center" vertical="center" wrapText="1"/>
      <protection locked="0"/>
    </xf>
    <xf numFmtId="0" fontId="0" fillId="20" borderId="0" xfId="0" applyFill="1" applyProtection="1">
      <alignment vertical="center"/>
      <protection locked="0"/>
    </xf>
    <xf numFmtId="0" fontId="0" fillId="20" borderId="0" xfId="0" applyFill="1" applyBorder="1" applyProtection="1">
      <alignment vertical="center"/>
      <protection locked="0"/>
    </xf>
    <xf numFmtId="0" fontId="0" fillId="6" borderId="0" xfId="0" applyFill="1" applyBorder="1" applyProtection="1">
      <alignment vertical="center"/>
      <protection locked="0"/>
    </xf>
    <xf numFmtId="0" fontId="32" fillId="21" borderId="2" xfId="2" applyFont="1" applyFill="1" applyBorder="1" applyAlignment="1" applyProtection="1">
      <alignment horizontal="center" vertical="center" wrapText="1"/>
      <protection locked="0"/>
    </xf>
    <xf numFmtId="0" fontId="32" fillId="21" borderId="2" xfId="2" applyFont="1" applyFill="1" applyBorder="1" applyAlignment="1">
      <alignment horizontal="center" vertical="center" wrapText="1"/>
    </xf>
    <xf numFmtId="0" fontId="32" fillId="21" borderId="2" xfId="0" applyFont="1" applyFill="1" applyBorder="1" applyAlignment="1" applyProtection="1">
      <alignment horizontal="center" vertical="center" wrapText="1"/>
      <protection locked="0"/>
    </xf>
    <xf numFmtId="0" fontId="32" fillId="21" borderId="0" xfId="0" applyFont="1" applyFill="1" applyBorder="1" applyAlignment="1" applyProtection="1">
      <alignment horizontal="center" vertical="center" wrapText="1"/>
      <protection locked="0"/>
    </xf>
    <xf numFmtId="0" fontId="0" fillId="21" borderId="0" xfId="0" applyFill="1" applyProtection="1">
      <alignment vertical="center"/>
      <protection locked="0"/>
    </xf>
    <xf numFmtId="0" fontId="0" fillId="21" borderId="0" xfId="0" applyFill="1" applyBorder="1" applyProtection="1">
      <alignment vertical="center"/>
      <protection locked="0"/>
    </xf>
    <xf numFmtId="0" fontId="32" fillId="21" borderId="10" xfId="2" applyFont="1" applyFill="1" applyBorder="1" applyAlignment="1">
      <alignment horizontal="center" vertical="center" wrapText="1"/>
    </xf>
    <xf numFmtId="0" fontId="32" fillId="20" borderId="10" xfId="2" applyFont="1" applyFill="1" applyBorder="1" applyAlignment="1">
      <alignment horizontal="center" vertical="center" wrapText="1"/>
    </xf>
    <xf numFmtId="0" fontId="0" fillId="21" borderId="0" xfId="0" applyFill="1" applyAlignment="1" applyProtection="1">
      <alignment horizontal="center" vertical="center"/>
      <protection locked="0"/>
    </xf>
    <xf numFmtId="0" fontId="32" fillId="0" borderId="10" xfId="2" applyFont="1" applyFill="1" applyBorder="1" applyAlignment="1">
      <alignment horizontal="center" vertical="center" wrapText="1"/>
    </xf>
    <xf numFmtId="0" fontId="0" fillId="0" borderId="0" xfId="0" applyFill="1" applyAlignment="1" applyProtection="1">
      <alignment horizontal="center" vertical="center"/>
      <protection locked="0"/>
    </xf>
    <xf numFmtId="0" fontId="0" fillId="8" borderId="0" xfId="0" applyFill="1" applyBorder="1" applyProtection="1">
      <alignment vertical="center"/>
      <protection locked="0"/>
    </xf>
    <xf numFmtId="0" fontId="32" fillId="7" borderId="0" xfId="0" applyFont="1" applyFill="1" applyBorder="1" applyProtection="1">
      <alignment vertical="center"/>
      <protection locked="0"/>
    </xf>
    <xf numFmtId="0" fontId="32" fillId="8" borderId="21" xfId="2" applyFont="1" applyFill="1" applyBorder="1" applyAlignment="1" applyProtection="1">
      <alignment horizontal="center" vertical="center" wrapText="1"/>
      <protection locked="0"/>
    </xf>
    <xf numFmtId="2" fontId="32" fillId="8" borderId="2" xfId="2" applyNumberFormat="1" applyFont="1" applyFill="1" applyBorder="1" applyAlignment="1" applyProtection="1">
      <alignment horizontal="center" vertical="center" wrapText="1"/>
      <protection locked="0"/>
    </xf>
    <xf numFmtId="2" fontId="32" fillId="17" borderId="2" xfId="2" applyNumberFormat="1" applyFont="1" applyFill="1" applyBorder="1" applyAlignment="1" applyProtection="1">
      <alignment horizontal="center" vertical="center" wrapText="1"/>
      <protection locked="0"/>
    </xf>
    <xf numFmtId="0" fontId="32" fillId="0" borderId="2" xfId="0" applyFont="1" applyFill="1" applyBorder="1">
      <alignment vertical="center"/>
    </xf>
    <xf numFmtId="0" fontId="0" fillId="0" borderId="0" xfId="0" applyProtection="1">
      <alignment vertical="center"/>
      <protection locked="0"/>
    </xf>
    <xf numFmtId="0" fontId="0" fillId="0" borderId="0" xfId="0" applyBorder="1" applyProtection="1">
      <alignment vertical="center"/>
      <protection locked="0"/>
    </xf>
    <xf numFmtId="0" fontId="32" fillId="22" borderId="0" xfId="0" applyFont="1" applyFill="1" applyProtection="1">
      <alignment vertical="center"/>
      <protection locked="0"/>
    </xf>
    <xf numFmtId="2" fontId="0" fillId="22" borderId="0" xfId="0" applyNumberFormat="1" applyFill="1" applyProtection="1">
      <alignment vertical="center"/>
      <protection locked="0"/>
    </xf>
    <xf numFmtId="0" fontId="32" fillId="0" borderId="0" xfId="0" applyFont="1" applyProtection="1">
      <alignment vertical="center"/>
      <protection locked="0"/>
    </xf>
    <xf numFmtId="179" fontId="0" fillId="0" borderId="0" xfId="0" applyNumberFormat="1" applyBorder="1" applyProtection="1">
      <alignment vertical="center"/>
      <protection locked="0"/>
    </xf>
    <xf numFmtId="0" fontId="0" fillId="22" borderId="0" xfId="0" applyFill="1" applyProtection="1">
      <alignment vertical="center"/>
      <protection locked="0"/>
    </xf>
    <xf numFmtId="0" fontId="3" fillId="0" borderId="2" xfId="0" applyFont="1" applyFill="1" applyBorder="1">
      <alignment vertical="center"/>
    </xf>
    <xf numFmtId="0" fontId="3" fillId="0" borderId="0" xfId="0" applyFont="1" applyFill="1" applyBorder="1">
      <alignment vertical="center"/>
    </xf>
    <xf numFmtId="0" fontId="32" fillId="0" borderId="154" xfId="0" applyFont="1" applyFill="1" applyBorder="1" applyAlignment="1" applyProtection="1">
      <alignment horizontal="center" vertical="center" wrapText="1"/>
    </xf>
    <xf numFmtId="0" fontId="32" fillId="8" borderId="154" xfId="0" applyFont="1" applyFill="1" applyBorder="1" applyAlignment="1" applyProtection="1">
      <alignment horizontal="center" vertical="center" wrapText="1"/>
    </xf>
    <xf numFmtId="2" fontId="32" fillId="17" borderId="2" xfId="0" applyNumberFormat="1" applyFont="1" applyFill="1" applyBorder="1" applyAlignment="1" applyProtection="1">
      <alignment horizontal="center" vertical="center" wrapText="1"/>
      <protection locked="0"/>
    </xf>
    <xf numFmtId="2" fontId="32" fillId="0" borderId="2" xfId="0" applyNumberFormat="1" applyFont="1" applyFill="1" applyBorder="1" applyAlignment="1" applyProtection="1">
      <alignment horizontal="center" vertical="center" wrapText="1"/>
      <protection locked="0"/>
    </xf>
    <xf numFmtId="2" fontId="140" fillId="0" borderId="2" xfId="0" applyNumberFormat="1" applyFont="1" applyFill="1" applyBorder="1" applyAlignment="1" applyProtection="1">
      <alignment horizontal="center" vertical="center" wrapText="1"/>
      <protection locked="0"/>
    </xf>
    <xf numFmtId="179" fontId="253" fillId="5" borderId="0" xfId="0" applyNumberFormat="1" applyFont="1" applyFill="1" applyBorder="1" applyProtection="1">
      <alignment vertical="center"/>
      <protection locked="0"/>
    </xf>
    <xf numFmtId="0" fontId="32" fillId="0" borderId="0" xfId="0" applyFont="1" applyFill="1" applyBorder="1" applyAlignment="1">
      <alignment horizontal="left" vertical="center" wrapText="1"/>
    </xf>
    <xf numFmtId="0" fontId="32" fillId="8" borderId="0" xfId="0" applyFont="1" applyFill="1">
      <alignment vertical="center"/>
    </xf>
    <xf numFmtId="0" fontId="32" fillId="0" borderId="0" xfId="0" applyFont="1">
      <alignment vertical="center"/>
    </xf>
    <xf numFmtId="0" fontId="32" fillId="17" borderId="0" xfId="0" applyFont="1" applyFill="1">
      <alignment vertical="center"/>
    </xf>
    <xf numFmtId="179" fontId="32" fillId="17" borderId="0" xfId="0" applyNumberFormat="1" applyFont="1" applyFill="1">
      <alignment vertical="center"/>
    </xf>
    <xf numFmtId="2" fontId="0" fillId="0" borderId="0" xfId="0" applyNumberFormat="1">
      <alignment vertical="center"/>
    </xf>
    <xf numFmtId="0" fontId="0" fillId="17" borderId="0" xfId="0" applyFill="1">
      <alignment vertical="center"/>
    </xf>
    <xf numFmtId="0" fontId="32" fillId="0" borderId="2" xfId="0" applyFont="1" applyBorder="1">
      <alignment vertical="center"/>
    </xf>
    <xf numFmtId="0" fontId="0" fillId="0" borderId="2" xfId="0" applyBorder="1">
      <alignment vertical="center"/>
    </xf>
    <xf numFmtId="0" fontId="32" fillId="6" borderId="0" xfId="0" applyFont="1" applyFill="1">
      <alignment vertical="center"/>
    </xf>
    <xf numFmtId="0" fontId="0" fillId="6" borderId="0" xfId="0" applyFont="1" applyFill="1" applyBorder="1" applyProtection="1">
      <alignment vertical="center"/>
      <protection locked="0"/>
    </xf>
    <xf numFmtId="0" fontId="32" fillId="6" borderId="0" xfId="0" applyFont="1" applyFill="1" applyBorder="1" applyProtection="1">
      <alignment vertical="center"/>
      <protection locked="0"/>
    </xf>
    <xf numFmtId="0" fontId="32" fillId="7" borderId="0" xfId="0" applyFont="1" applyFill="1">
      <alignment vertical="center"/>
    </xf>
    <xf numFmtId="0" fontId="0" fillId="7" borderId="0" xfId="0" applyFill="1">
      <alignment vertical="center"/>
    </xf>
    <xf numFmtId="0" fontId="277" fillId="7" borderId="0" xfId="0" applyFont="1" applyFill="1">
      <alignment vertical="center"/>
    </xf>
    <xf numFmtId="178" fontId="277" fillId="7" borderId="0" xfId="0" applyNumberFormat="1" applyFont="1" applyFill="1">
      <alignment vertical="center"/>
    </xf>
    <xf numFmtId="0" fontId="145" fillId="0" borderId="0" xfId="0" applyFont="1">
      <alignment vertical="center"/>
    </xf>
    <xf numFmtId="0" fontId="145" fillId="7" borderId="0" xfId="0" applyFont="1" applyFill="1">
      <alignment vertical="center"/>
    </xf>
    <xf numFmtId="0" fontId="145" fillId="6" borderId="0" xfId="0" applyFont="1" applyFill="1">
      <alignment vertical="center"/>
    </xf>
    <xf numFmtId="178" fontId="0" fillId="0" borderId="0" xfId="0" applyNumberFormat="1">
      <alignment vertical="center"/>
    </xf>
    <xf numFmtId="178" fontId="0" fillId="7" borderId="0" xfId="0" applyNumberFormat="1" applyFill="1">
      <alignment vertical="center"/>
    </xf>
    <xf numFmtId="0" fontId="145" fillId="0" borderId="0" xfId="0" applyFont="1" applyFill="1" applyProtection="1">
      <alignment vertical="center"/>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9" fillId="0" borderId="0" xfId="0" applyFont="1" applyAlignment="1">
      <alignment horizontal="justify" vertical="center"/>
    </xf>
    <xf numFmtId="0" fontId="281" fillId="0" borderId="66" xfId="0" applyFont="1" applyBorder="1" applyAlignment="1">
      <alignment horizontal="center" vertical="center"/>
    </xf>
    <xf numFmtId="0" fontId="281" fillId="0" borderId="66" xfId="0" applyFont="1" applyBorder="1" applyAlignment="1">
      <alignment horizontal="left" vertical="center"/>
    </xf>
    <xf numFmtId="0" fontId="281" fillId="0" borderId="66" xfId="0" applyFont="1" applyBorder="1" applyAlignment="1">
      <alignment horizontal="right" vertical="center"/>
    </xf>
    <xf numFmtId="0" fontId="279" fillId="0" borderId="0" xfId="0" applyFont="1">
      <alignment vertical="center"/>
    </xf>
    <xf numFmtId="0" fontId="281" fillId="0" borderId="80" xfId="0" applyFont="1" applyBorder="1" applyAlignment="1">
      <alignment horizontal="left" vertical="center"/>
    </xf>
    <xf numFmtId="0" fontId="281" fillId="0" borderId="38" xfId="0" applyFont="1" applyBorder="1" applyAlignment="1">
      <alignment horizontal="left" vertical="center"/>
    </xf>
    <xf numFmtId="177" fontId="108" fillId="3" borderId="30" xfId="0" applyNumberFormat="1" applyFont="1" applyFill="1" applyBorder="1" applyAlignment="1" applyProtection="1">
      <alignment vertical="center" wrapText="1"/>
      <protection locked="0"/>
    </xf>
    <xf numFmtId="177" fontId="108" fillId="5" borderId="30" xfId="0" applyNumberFormat="1" applyFont="1" applyFill="1" applyBorder="1" applyAlignment="1" applyProtection="1">
      <alignment vertical="center" wrapText="1"/>
    </xf>
    <xf numFmtId="177" fontId="108" fillId="3" borderId="59" xfId="0" applyNumberFormat="1" applyFont="1" applyFill="1" applyBorder="1" applyAlignment="1" applyProtection="1">
      <alignment vertical="center" wrapText="1"/>
      <protection locked="0"/>
    </xf>
    <xf numFmtId="177" fontId="108" fillId="5" borderId="57" xfId="0" applyNumberFormat="1" applyFont="1" applyFill="1" applyBorder="1" applyAlignment="1" applyProtection="1">
      <alignment vertical="center" wrapText="1"/>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7" fontId="97" fillId="5" borderId="0" xfId="1" applyNumberFormat="1" applyFont="1" applyFill="1" applyBorder="1" applyAlignment="1" applyProtection="1">
      <alignment horizontal="center" vertical="center"/>
      <protection locked="0"/>
    </xf>
    <xf numFmtId="181"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57"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7"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1"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23"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14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14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52" fillId="5" borderId="13"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49" fontId="144" fillId="0" borderId="18" xfId="1" applyNumberFormat="1" applyFont="1" applyFill="1" applyBorder="1" applyAlignment="1" applyProtection="1">
      <alignment horizontal="center" vertical="center" wrapText="1"/>
      <protection locked="0"/>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81" fillId="0" borderId="50"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8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8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2" borderId="42" xfId="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1" fillId="0" borderId="64" xfId="1" applyNumberFormat="1" applyFont="1" applyFill="1" applyBorder="1" applyAlignment="1" applyProtection="1">
      <alignment horizontal="center" vertical="center" wrapText="1"/>
      <protection locked="0"/>
    </xf>
    <xf numFmtId="0" fontId="81" fillId="0" borderId="9" xfId="1" applyNumberFormat="1" applyFont="1" applyFill="1" applyBorder="1" applyAlignment="1" applyProtection="1">
      <alignment horizontal="center" vertical="center" wrapText="1"/>
      <protection locked="0"/>
    </xf>
    <xf numFmtId="0" fontId="81" fillId="0" borderId="1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144" fillId="0" borderId="9" xfId="1" applyNumberFormat="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7"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8"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1"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7" fontId="84" fillId="0" borderId="0" xfId="1" applyNumberFormat="1" applyFont="1" applyFill="1" applyAlignment="1" applyProtection="1">
      <alignment horizontal="center" vertical="center"/>
      <protection locked="0"/>
    </xf>
    <xf numFmtId="181"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7"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5"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8" fontId="106" fillId="5" borderId="12" xfId="1" applyNumberFormat="1" applyFont="1" applyFill="1" applyBorder="1" applyAlignment="1" applyProtection="1">
      <alignment horizontal="center" vertical="center"/>
    </xf>
    <xf numFmtId="178"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8"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0" fontId="144" fillId="0" borderId="71"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0" fontId="97" fillId="8" borderId="0" xfId="0" applyFont="1" applyFill="1" applyBorder="1" applyAlignment="1" applyProtection="1">
      <alignment vertical="center"/>
      <protection locked="0"/>
    </xf>
    <xf numFmtId="0" fontId="154" fillId="8" borderId="32" xfId="0" applyFont="1" applyFill="1" applyBorder="1" applyAlignment="1" applyProtection="1">
      <alignment horizontal="left" vertical="center"/>
    </xf>
    <xf numFmtId="0" fontId="83" fillId="8" borderId="31" xfId="0" applyFont="1" applyFill="1" applyBorder="1" applyAlignment="1" applyProtection="1">
      <alignment vertical="center" wrapText="1"/>
    </xf>
    <xf numFmtId="0" fontId="71" fillId="8" borderId="12" xfId="0" applyFont="1" applyFill="1" applyBorder="1" applyAlignment="1" applyProtection="1">
      <alignment horizontal="center" vertical="center" wrapText="1"/>
    </xf>
    <xf numFmtId="0" fontId="84" fillId="8" borderId="8" xfId="0" applyFont="1" applyFill="1" applyBorder="1" applyAlignment="1" applyProtection="1">
      <alignment horizontal="center" vertical="center" wrapText="1"/>
      <protection locked="0"/>
    </xf>
    <xf numFmtId="0" fontId="84" fillId="8" borderId="12" xfId="0" applyFont="1" applyFill="1" applyBorder="1" applyAlignment="1" applyProtection="1">
      <alignment horizontal="center" vertical="center" wrapText="1"/>
    </xf>
    <xf numFmtId="0" fontId="71" fillId="8" borderId="52" xfId="0" applyFont="1" applyFill="1" applyBorder="1" applyAlignment="1" applyProtection="1">
      <alignment horizontal="center" vertical="center" wrapText="1"/>
    </xf>
    <xf numFmtId="0" fontId="83" fillId="8" borderId="24" xfId="0" applyFont="1" applyFill="1" applyBorder="1" applyAlignment="1" applyProtection="1">
      <alignment vertical="center" wrapText="1"/>
    </xf>
    <xf numFmtId="0" fontId="84" fillId="8" borderId="20" xfId="0" applyFont="1" applyFill="1" applyBorder="1" applyAlignment="1" applyProtection="1">
      <alignment horizontal="center" vertical="center" wrapText="1"/>
      <protection locked="0"/>
    </xf>
    <xf numFmtId="0" fontId="84" fillId="8" borderId="17" xfId="0" applyFont="1" applyFill="1" applyBorder="1" applyAlignment="1" applyProtection="1">
      <alignment horizontal="center" vertical="center" wrapText="1"/>
    </xf>
    <xf numFmtId="49" fontId="84" fillId="8" borderId="50" xfId="0" applyNumberFormat="1" applyFont="1" applyFill="1" applyBorder="1" applyAlignment="1" applyProtection="1">
      <alignment horizontal="center" vertical="center" wrapText="1"/>
      <protection locked="0"/>
    </xf>
    <xf numFmtId="0" fontId="84" fillId="8" borderId="51" xfId="0" applyFont="1" applyFill="1" applyBorder="1" applyAlignment="1" applyProtection="1">
      <alignment horizontal="center" vertical="center" wrapText="1"/>
    </xf>
    <xf numFmtId="49" fontId="84" fillId="8" borderId="20" xfId="0" applyNumberFormat="1" applyFont="1" applyFill="1" applyBorder="1" applyAlignment="1" applyProtection="1">
      <alignment horizontal="center" vertical="center" wrapText="1"/>
      <protection locked="0"/>
    </xf>
    <xf numFmtId="0" fontId="84" fillId="8" borderId="52" xfId="0" applyFont="1" applyFill="1" applyBorder="1" applyAlignment="1" applyProtection="1">
      <alignment horizontal="center" vertical="center" wrapText="1"/>
    </xf>
    <xf numFmtId="0" fontId="71" fillId="8" borderId="25" xfId="0" applyFont="1" applyFill="1" applyBorder="1" applyAlignment="1" applyProtection="1">
      <alignment horizontal="center" vertical="center" wrapText="1"/>
    </xf>
    <xf numFmtId="49" fontId="84" fillId="8" borderId="32" xfId="0" applyNumberFormat="1" applyFont="1" applyFill="1" applyBorder="1" applyAlignment="1" applyProtection="1">
      <alignment horizontal="center" vertical="center" wrapText="1"/>
    </xf>
    <xf numFmtId="0" fontId="84" fillId="8" borderId="13" xfId="0" applyFont="1" applyFill="1" applyBorder="1" applyAlignment="1" applyProtection="1">
      <alignment horizontal="center" vertical="center" wrapText="1"/>
    </xf>
    <xf numFmtId="49" fontId="144" fillId="8" borderId="24" xfId="0" applyNumberFormat="1" applyFont="1" applyFill="1" applyBorder="1" applyAlignment="1" applyProtection="1">
      <alignment horizontal="center" vertical="center" wrapText="1"/>
      <protection locked="0"/>
    </xf>
    <xf numFmtId="49" fontId="144" fillId="8" borderId="18" xfId="0" applyNumberFormat="1" applyFont="1" applyFill="1" applyBorder="1" applyAlignment="1" applyProtection="1">
      <alignment horizontal="center" vertical="center" wrapText="1"/>
      <protection locked="0"/>
    </xf>
    <xf numFmtId="0" fontId="84" fillId="8" borderId="25" xfId="0" applyFont="1" applyFill="1" applyBorder="1" applyAlignment="1" applyProtection="1">
      <alignment horizontal="center" vertical="center" wrapText="1"/>
    </xf>
    <xf numFmtId="0" fontId="71" fillId="8" borderId="51" xfId="0" applyFont="1" applyFill="1" applyBorder="1" applyAlignment="1" applyProtection="1">
      <alignment horizontal="center" vertical="center" wrapText="1"/>
    </xf>
    <xf numFmtId="49" fontId="84" fillId="8" borderId="24" xfId="0" applyNumberFormat="1" applyFont="1" applyFill="1" applyBorder="1" applyAlignment="1" applyProtection="1">
      <alignment horizontal="center" vertical="center" wrapText="1"/>
      <protection locked="0"/>
    </xf>
    <xf numFmtId="49" fontId="84" fillId="8" borderId="18" xfId="0" applyNumberFormat="1" applyFont="1" applyFill="1" applyBorder="1" applyAlignment="1" applyProtection="1">
      <alignment horizontal="center" vertical="center" wrapText="1"/>
      <protection locked="0"/>
    </xf>
    <xf numFmtId="0" fontId="84" fillId="8" borderId="32" xfId="0" applyFont="1" applyFill="1" applyBorder="1" applyAlignment="1" applyProtection="1">
      <alignment horizontal="center" vertical="center" wrapText="1"/>
    </xf>
    <xf numFmtId="0" fontId="71" fillId="8" borderId="10" xfId="0" applyFont="1" applyFill="1" applyBorder="1" applyAlignment="1" applyProtection="1">
      <alignment horizontal="center" vertical="center" wrapText="1"/>
    </xf>
    <xf numFmtId="0" fontId="71" fillId="8" borderId="21" xfId="0" applyFont="1" applyFill="1" applyBorder="1" applyAlignment="1" applyProtection="1">
      <alignment horizontal="center" vertical="center" wrapText="1"/>
    </xf>
    <xf numFmtId="0" fontId="84" fillId="8" borderId="50" xfId="0" applyFont="1" applyFill="1" applyBorder="1" applyAlignment="1" applyProtection="1">
      <alignment horizontal="center" vertical="center" wrapText="1"/>
      <protection locked="0"/>
    </xf>
    <xf numFmtId="0" fontId="75" fillId="8" borderId="31" xfId="0" applyFont="1" applyFill="1" applyBorder="1" applyAlignment="1" applyProtection="1">
      <alignment vertical="center" wrapText="1"/>
    </xf>
    <xf numFmtId="0" fontId="52" fillId="8" borderId="52" xfId="0" applyFont="1" applyFill="1" applyBorder="1" applyAlignment="1" applyProtection="1">
      <alignment horizontal="center" vertical="center" wrapText="1"/>
    </xf>
    <xf numFmtId="0" fontId="71" fillId="8" borderId="19" xfId="0" applyFont="1" applyFill="1" applyBorder="1" applyAlignment="1" applyProtection="1">
      <alignment horizontal="center" vertical="center" wrapText="1"/>
      <protection locked="0"/>
    </xf>
    <xf numFmtId="0" fontId="71" fillId="8" borderId="87" xfId="0" applyFont="1" applyFill="1" applyBorder="1" applyAlignment="1" applyProtection="1">
      <alignment horizontal="center" vertical="center" wrapText="1"/>
      <protection locked="0"/>
    </xf>
    <xf numFmtId="0" fontId="84" fillId="8" borderId="5" xfId="0" applyFont="1" applyFill="1" applyBorder="1" applyAlignment="1" applyProtection="1">
      <alignment horizontal="center" vertical="center" wrapText="1"/>
    </xf>
    <xf numFmtId="0" fontId="84" fillId="8" borderId="64" xfId="0" applyFont="1" applyFill="1" applyBorder="1" applyAlignment="1" applyProtection="1">
      <alignment horizontal="center" vertical="center" wrapText="1"/>
      <protection locked="0"/>
    </xf>
    <xf numFmtId="0" fontId="247" fillId="8" borderId="53" xfId="0" applyFont="1" applyFill="1" applyBorder="1" applyAlignment="1" applyProtection="1">
      <alignment vertical="center" wrapText="1"/>
    </xf>
    <xf numFmtId="0" fontId="71" fillId="8" borderId="17" xfId="0" applyFont="1" applyFill="1" applyBorder="1" applyAlignment="1" applyProtection="1">
      <alignment horizontal="center" vertical="center" wrapText="1"/>
    </xf>
    <xf numFmtId="0" fontId="84" fillId="8" borderId="1" xfId="0" applyFont="1" applyFill="1" applyBorder="1" applyAlignment="1" applyProtection="1">
      <alignment horizontal="center" vertical="center" wrapText="1"/>
      <protection locked="0"/>
    </xf>
    <xf numFmtId="0" fontId="84" fillId="8" borderId="7" xfId="0" applyFont="1" applyFill="1" applyBorder="1" applyAlignment="1" applyProtection="1">
      <alignment horizontal="center" vertical="center" wrapText="1"/>
    </xf>
    <xf numFmtId="0" fontId="84" fillId="8" borderId="6" xfId="0" applyFont="1" applyFill="1" applyBorder="1" applyAlignment="1" applyProtection="1">
      <alignment horizontal="center" vertical="center" wrapText="1"/>
      <protection locked="0"/>
    </xf>
    <xf numFmtId="0" fontId="83" fillId="8" borderId="24" xfId="0" applyFont="1" applyFill="1" applyBorder="1" applyAlignment="1" applyProtection="1">
      <alignment vertical="center" textRotation="255" wrapText="1"/>
    </xf>
    <xf numFmtId="0" fontId="71" fillId="8" borderId="5" xfId="0" applyFont="1" applyFill="1" applyBorder="1" applyAlignment="1" applyProtection="1">
      <alignment horizontal="center" vertical="center" wrapText="1"/>
    </xf>
    <xf numFmtId="49" fontId="84" fillId="8" borderId="11" xfId="0" applyNumberFormat="1" applyFont="1" applyFill="1" applyBorder="1" applyAlignment="1" applyProtection="1">
      <alignment horizontal="center" vertical="center" wrapText="1"/>
      <protection locked="0"/>
    </xf>
    <xf numFmtId="0" fontId="75" fillId="8" borderId="24" xfId="0" applyFont="1" applyFill="1" applyBorder="1" applyAlignment="1" applyProtection="1">
      <alignment vertical="center" textRotation="255" wrapText="1"/>
    </xf>
    <xf numFmtId="0" fontId="52" fillId="8" borderId="5" xfId="0" applyFont="1" applyFill="1" applyBorder="1" applyAlignment="1" applyProtection="1">
      <alignment horizontal="center" vertical="center" wrapText="1"/>
    </xf>
    <xf numFmtId="9" fontId="71" fillId="8" borderId="64" xfId="0" applyNumberFormat="1" applyFont="1" applyFill="1" applyBorder="1" applyAlignment="1" applyProtection="1">
      <alignment horizontal="center" vertical="center" wrapText="1"/>
      <protection locked="0"/>
    </xf>
    <xf numFmtId="49" fontId="83" fillId="8" borderId="60" xfId="0" applyNumberFormat="1" applyFont="1" applyFill="1" applyBorder="1" applyAlignment="1" applyProtection="1">
      <alignment vertical="center"/>
    </xf>
    <xf numFmtId="49" fontId="83" fillId="8" borderId="48" xfId="0" applyNumberFormat="1" applyFont="1" applyFill="1" applyBorder="1" applyAlignment="1" applyProtection="1">
      <alignment vertical="center"/>
    </xf>
    <xf numFmtId="184" fontId="83" fillId="8" borderId="56" xfId="0" applyNumberFormat="1" applyFont="1" applyFill="1" applyBorder="1" applyAlignment="1" applyProtection="1">
      <alignment vertical="center" wrapText="1"/>
    </xf>
    <xf numFmtId="0" fontId="83" fillId="8" borderId="48" xfId="0" applyFont="1" applyFill="1" applyBorder="1" applyAlignment="1" applyProtection="1">
      <alignment vertical="center" wrapText="1"/>
    </xf>
    <xf numFmtId="0" fontId="83" fillId="8" borderId="56" xfId="0" applyFont="1" applyFill="1" applyBorder="1" applyAlignment="1" applyProtection="1">
      <alignment vertical="center" wrapText="1"/>
    </xf>
    <xf numFmtId="184" fontId="83" fillId="8" borderId="60" xfId="0" applyNumberFormat="1" applyFont="1" applyFill="1" applyBorder="1" applyAlignment="1" applyProtection="1">
      <alignment vertical="center" wrapText="1"/>
    </xf>
    <xf numFmtId="49" fontId="83" fillId="8" borderId="54" xfId="0" applyNumberFormat="1" applyFont="1" applyFill="1" applyBorder="1" applyAlignment="1" applyProtection="1">
      <alignment vertical="center"/>
      <protection locked="0"/>
    </xf>
    <xf numFmtId="49" fontId="83" fillId="8" borderId="66" xfId="0" applyNumberFormat="1" applyFont="1" applyFill="1" applyBorder="1" applyAlignment="1" applyProtection="1">
      <alignment vertical="center"/>
      <protection locked="0"/>
    </xf>
    <xf numFmtId="184" fontId="83" fillId="8" borderId="61" xfId="0" applyNumberFormat="1" applyFont="1" applyFill="1" applyBorder="1" applyAlignment="1" applyProtection="1">
      <alignment vertical="center" wrapText="1"/>
    </xf>
    <xf numFmtId="49" fontId="167" fillId="8" borderId="58" xfId="0" applyNumberFormat="1" applyFont="1" applyFill="1" applyBorder="1" applyAlignment="1" applyProtection="1">
      <alignment horizontal="center" vertical="center" wrapText="1"/>
      <protection locked="0"/>
    </xf>
    <xf numFmtId="0" fontId="154" fillId="8" borderId="2" xfId="2" applyFont="1" applyFill="1" applyBorder="1" applyAlignment="1" applyProtection="1">
      <alignment vertical="center"/>
    </xf>
    <xf numFmtId="177" fontId="154" fillId="8" borderId="2" xfId="0" applyNumberFormat="1" applyFont="1" applyFill="1" applyBorder="1" applyAlignment="1" applyProtection="1">
      <alignment horizontal="right" vertical="center"/>
    </xf>
    <xf numFmtId="0" fontId="154" fillId="8" borderId="0" xfId="0" applyFont="1" applyFill="1" applyBorder="1" applyAlignment="1" applyProtection="1">
      <alignment vertical="center"/>
      <protection locked="0"/>
    </xf>
    <xf numFmtId="0" fontId="282" fillId="8" borderId="0" xfId="0" applyFont="1" applyFill="1" applyBorder="1" applyAlignment="1" applyProtection="1">
      <alignment vertical="center"/>
      <protection locked="0"/>
    </xf>
    <xf numFmtId="0" fontId="199" fillId="8" borderId="10" xfId="2" applyFont="1" applyFill="1" applyBorder="1" applyAlignment="1" applyProtection="1">
      <alignment vertical="center"/>
    </xf>
    <xf numFmtId="184" fontId="154" fillId="8" borderId="10" xfId="0" applyNumberFormat="1" applyFont="1" applyFill="1" applyBorder="1" applyAlignment="1" applyProtection="1">
      <alignment horizontal="right" vertical="center"/>
    </xf>
    <xf numFmtId="0" fontId="283" fillId="8" borderId="0" xfId="0" applyFont="1" applyFill="1" applyAlignment="1" applyProtection="1">
      <alignment horizontal="center" vertical="center"/>
      <protection locked="0"/>
    </xf>
    <xf numFmtId="0" fontId="160" fillId="8" borderId="0" xfId="0" applyFont="1" applyFill="1" applyAlignment="1" applyProtection="1">
      <alignment horizontal="center" vertical="center"/>
      <protection locked="0"/>
    </xf>
    <xf numFmtId="0" fontId="154" fillId="8" borderId="10" xfId="0" applyFont="1" applyFill="1" applyBorder="1" applyAlignment="1" applyProtection="1">
      <alignment vertical="center"/>
    </xf>
    <xf numFmtId="0" fontId="154" fillId="8" borderId="2" xfId="0" applyFont="1" applyFill="1" applyBorder="1" applyAlignment="1" applyProtection="1">
      <alignment vertical="center"/>
    </xf>
    <xf numFmtId="0" fontId="154" fillId="8" borderId="0" xfId="2" applyFont="1" applyFill="1" applyBorder="1" applyAlignment="1" applyProtection="1">
      <alignment vertical="center"/>
    </xf>
    <xf numFmtId="0" fontId="154" fillId="8" borderId="4" xfId="0" applyFont="1" applyFill="1" applyBorder="1" applyAlignment="1" applyProtection="1">
      <alignment vertical="center"/>
    </xf>
    <xf numFmtId="0" fontId="156" fillId="8" borderId="26" xfId="0" applyFont="1" applyFill="1" applyBorder="1" applyAlignment="1" applyProtection="1">
      <alignment vertical="center" wrapText="1"/>
    </xf>
    <xf numFmtId="0" fontId="156" fillId="8" borderId="28" xfId="0" applyFont="1" applyFill="1" applyBorder="1" applyAlignment="1" applyProtection="1">
      <alignment vertical="center" wrapText="1"/>
    </xf>
    <xf numFmtId="0" fontId="156" fillId="8" borderId="31" xfId="0" applyFont="1" applyFill="1" applyBorder="1" applyAlignment="1" applyProtection="1">
      <alignment vertical="center" wrapText="1"/>
    </xf>
    <xf numFmtId="0" fontId="156" fillId="8" borderId="0" xfId="0" applyFont="1" applyFill="1" applyBorder="1" applyAlignment="1" applyProtection="1">
      <alignment vertical="center" wrapText="1"/>
    </xf>
    <xf numFmtId="0" fontId="156" fillId="8" borderId="59" xfId="0" applyFont="1" applyFill="1" applyBorder="1" applyAlignment="1" applyProtection="1">
      <alignment vertical="center" wrapText="1"/>
    </xf>
    <xf numFmtId="0" fontId="156" fillId="8" borderId="57" xfId="0" applyFont="1" applyFill="1" applyBorder="1" applyAlignment="1" applyProtection="1">
      <alignment horizontal="left" vertical="center" wrapText="1"/>
    </xf>
    <xf numFmtId="183" fontId="149" fillId="8" borderId="62" xfId="0" applyNumberFormat="1" applyFont="1" applyFill="1" applyBorder="1" applyAlignment="1" applyProtection="1">
      <alignment horizontal="center" vertical="center" wrapText="1"/>
    </xf>
    <xf numFmtId="0" fontId="149" fillId="8" borderId="34" xfId="0" applyFont="1" applyFill="1" applyBorder="1" applyAlignment="1" applyProtection="1">
      <alignment horizontal="center" vertical="center" wrapText="1"/>
    </xf>
    <xf numFmtId="183" fontId="149" fillId="8" borderId="62" xfId="0" applyNumberFormat="1" applyFont="1" applyFill="1" applyBorder="1" applyAlignment="1" applyProtection="1">
      <alignment horizontal="center" vertical="center" wrapText="1"/>
      <protection locked="0"/>
    </xf>
    <xf numFmtId="0" fontId="149" fillId="8" borderId="49" xfId="0" applyFont="1" applyFill="1" applyBorder="1" applyAlignment="1" applyProtection="1">
      <alignment horizontal="center" vertical="center" wrapText="1"/>
    </xf>
    <xf numFmtId="183" fontId="149" fillId="8" borderId="33" xfId="0" applyNumberFormat="1" applyFont="1" applyFill="1" applyBorder="1" applyAlignment="1" applyProtection="1">
      <alignment horizontal="center" vertical="center" wrapText="1"/>
      <protection locked="0"/>
    </xf>
    <xf numFmtId="0" fontId="156" fillId="8" borderId="64" xfId="0" applyFont="1" applyFill="1" applyBorder="1" applyAlignment="1" applyProtection="1">
      <alignment vertical="center" wrapText="1"/>
    </xf>
    <xf numFmtId="0" fontId="156" fillId="8" borderId="16" xfId="0" applyFont="1" applyFill="1" applyBorder="1" applyAlignment="1" applyProtection="1">
      <alignment horizontal="left" vertical="center" wrapText="1"/>
    </xf>
    <xf numFmtId="49" fontId="149" fillId="8" borderId="62" xfId="0" applyNumberFormat="1" applyFont="1" applyFill="1" applyBorder="1" applyAlignment="1" applyProtection="1">
      <alignment horizontal="center" vertical="center" wrapText="1"/>
      <protection locked="0"/>
    </xf>
    <xf numFmtId="49" fontId="149" fillId="8" borderId="33" xfId="0" applyNumberFormat="1" applyFont="1" applyFill="1" applyBorder="1" applyAlignment="1" applyProtection="1">
      <alignment horizontal="center" vertical="center" wrapText="1"/>
      <protection locked="0"/>
    </xf>
    <xf numFmtId="0" fontId="156" fillId="8" borderId="87" xfId="0" applyFont="1" applyFill="1" applyBorder="1" applyAlignment="1" applyProtection="1">
      <alignment vertical="center" wrapText="1"/>
    </xf>
    <xf numFmtId="0" fontId="156" fillId="8" borderId="63" xfId="0" applyFont="1" applyFill="1" applyBorder="1" applyAlignment="1" applyProtection="1">
      <alignment horizontal="left" vertical="center" wrapText="1"/>
    </xf>
    <xf numFmtId="0" fontId="149" fillId="8" borderId="30" xfId="0" applyFont="1" applyFill="1" applyBorder="1" applyAlignment="1" applyProtection="1">
      <alignment horizontal="center" vertical="center" wrapText="1"/>
      <protection locked="0"/>
    </xf>
    <xf numFmtId="0" fontId="149" fillId="8" borderId="7" xfId="0" applyFont="1" applyFill="1" applyBorder="1" applyAlignment="1" applyProtection="1">
      <alignment horizontal="center" vertical="center" wrapText="1"/>
    </xf>
    <xf numFmtId="0" fontId="149" fillId="8" borderId="59" xfId="0" applyFont="1" applyFill="1" applyBorder="1" applyAlignment="1" applyProtection="1">
      <alignment horizontal="center" vertical="center" wrapText="1"/>
      <protection locked="0"/>
    </xf>
    <xf numFmtId="0" fontId="149" fillId="8" borderId="20" xfId="0" applyFont="1" applyFill="1" applyBorder="1" applyAlignment="1" applyProtection="1">
      <alignment horizontal="center" vertical="center" wrapText="1"/>
      <protection locked="0"/>
    </xf>
    <xf numFmtId="0" fontId="149" fillId="8" borderId="12" xfId="0" applyFont="1" applyFill="1" applyBorder="1" applyAlignment="1" applyProtection="1">
      <alignment horizontal="center" vertical="center" wrapText="1"/>
    </xf>
    <xf numFmtId="49" fontId="149" fillId="8" borderId="50" xfId="0" applyNumberFormat="1" applyFont="1" applyFill="1" applyBorder="1" applyAlignment="1" applyProtection="1">
      <alignment horizontal="center" vertical="center" wrapText="1"/>
      <protection locked="0"/>
    </xf>
    <xf numFmtId="49" fontId="149" fillId="8" borderId="20" xfId="0" applyNumberFormat="1" applyFont="1" applyFill="1" applyBorder="1" applyAlignment="1" applyProtection="1">
      <alignment horizontal="center" vertical="center" wrapText="1"/>
      <protection locked="0"/>
    </xf>
    <xf numFmtId="0" fontId="149" fillId="8" borderId="9" xfId="0" applyFont="1" applyFill="1" applyBorder="1" applyAlignment="1" applyProtection="1">
      <alignment horizontal="center" vertical="center" wrapText="1"/>
      <protection locked="0"/>
    </xf>
    <xf numFmtId="0" fontId="149" fillId="8" borderId="11" xfId="0" applyFont="1" applyFill="1" applyBorder="1" applyAlignment="1" applyProtection="1">
      <alignment horizontal="center" vertical="center" wrapText="1"/>
      <protection locked="0"/>
    </xf>
    <xf numFmtId="0" fontId="168" fillId="8" borderId="24" xfId="0" applyFont="1" applyFill="1" applyBorder="1" applyAlignment="1" applyProtection="1">
      <alignment vertical="center" wrapText="1"/>
    </xf>
    <xf numFmtId="0" fontId="149" fillId="8" borderId="52" xfId="0" applyFont="1" applyFill="1" applyBorder="1" applyAlignment="1" applyProtection="1">
      <alignment horizontal="center" vertical="center" wrapText="1"/>
    </xf>
    <xf numFmtId="49" fontId="149" fillId="8" borderId="58" xfId="0" applyNumberFormat="1" applyFont="1" applyFill="1" applyBorder="1" applyAlignment="1" applyProtection="1">
      <alignment horizontal="center" vertical="center" wrapText="1"/>
    </xf>
    <xf numFmtId="0" fontId="149" fillId="8" borderId="40" xfId="0" applyFont="1" applyFill="1" applyBorder="1" applyAlignment="1" applyProtection="1">
      <alignment horizontal="center" vertical="center" wrapText="1"/>
    </xf>
    <xf numFmtId="49" fontId="167" fillId="8" borderId="53" xfId="0" applyNumberFormat="1" applyFont="1" applyFill="1" applyBorder="1" applyAlignment="1" applyProtection="1">
      <alignment horizontal="center" vertical="center" wrapText="1"/>
      <protection locked="0"/>
    </xf>
    <xf numFmtId="0" fontId="149" fillId="8" borderId="41" xfId="0" applyFont="1" applyFill="1" applyBorder="1" applyAlignment="1" applyProtection="1">
      <alignment horizontal="center" vertical="center" wrapText="1"/>
    </xf>
    <xf numFmtId="49" fontId="149" fillId="8" borderId="53" xfId="0" applyNumberFormat="1" applyFont="1" applyFill="1" applyBorder="1" applyAlignment="1" applyProtection="1">
      <alignment horizontal="center" vertical="center" wrapText="1"/>
      <protection locked="0"/>
    </xf>
    <xf numFmtId="0" fontId="156" fillId="8" borderId="24" xfId="0" applyFont="1" applyFill="1" applyBorder="1" applyAlignment="1" applyProtection="1">
      <alignment vertical="center" wrapText="1"/>
    </xf>
    <xf numFmtId="0" fontId="149" fillId="8" borderId="65" xfId="0" applyFont="1" applyFill="1" applyBorder="1" applyAlignment="1" applyProtection="1">
      <alignment horizontal="center" vertical="center"/>
    </xf>
    <xf numFmtId="0" fontId="149" fillId="8" borderId="17" xfId="0" applyFont="1" applyFill="1" applyBorder="1" applyAlignment="1" applyProtection="1">
      <alignment horizontal="center" vertical="center" wrapText="1"/>
    </xf>
    <xf numFmtId="0" fontId="149" fillId="8" borderId="51" xfId="0" applyFont="1" applyFill="1" applyBorder="1" applyAlignment="1" applyProtection="1">
      <alignment horizontal="center" vertical="center" wrapText="1"/>
    </xf>
    <xf numFmtId="0" fontId="149" fillId="8" borderId="25" xfId="0" applyFont="1" applyFill="1" applyBorder="1" applyAlignment="1" applyProtection="1">
      <alignment horizontal="center" vertical="center" wrapText="1"/>
    </xf>
    <xf numFmtId="49" fontId="149" fillId="8" borderId="32" xfId="0" applyNumberFormat="1" applyFont="1" applyFill="1" applyBorder="1" applyAlignment="1" applyProtection="1">
      <alignment horizontal="center" vertical="center" wrapText="1"/>
    </xf>
    <xf numFmtId="0" fontId="149" fillId="8" borderId="13" xfId="0" applyFont="1" applyFill="1" applyBorder="1" applyAlignment="1" applyProtection="1">
      <alignment horizontal="center" vertical="center" wrapText="1"/>
    </xf>
    <xf numFmtId="49" fontId="167" fillId="8" borderId="24" xfId="0" applyNumberFormat="1" applyFont="1" applyFill="1" applyBorder="1" applyAlignment="1" applyProtection="1">
      <alignment horizontal="center" vertical="center" wrapText="1"/>
      <protection locked="0"/>
    </xf>
    <xf numFmtId="49" fontId="167" fillId="8" borderId="18" xfId="0" applyNumberFormat="1" applyFont="1" applyFill="1" applyBorder="1" applyAlignment="1" applyProtection="1">
      <alignment horizontal="center" vertical="center" wrapText="1"/>
      <protection locked="0"/>
    </xf>
    <xf numFmtId="0" fontId="149" fillId="8" borderId="18" xfId="0" applyFont="1" applyFill="1" applyBorder="1" applyAlignment="1" applyProtection="1">
      <alignment horizontal="center" vertical="center" wrapText="1"/>
      <protection locked="0"/>
    </xf>
    <xf numFmtId="49" fontId="149" fillId="8" borderId="24" xfId="0" applyNumberFormat="1" applyFont="1" applyFill="1" applyBorder="1" applyAlignment="1" applyProtection="1">
      <alignment horizontal="center" vertical="center" wrapText="1"/>
      <protection locked="0"/>
    </xf>
    <xf numFmtId="49" fontId="149" fillId="8" borderId="18" xfId="0" applyNumberFormat="1" applyFont="1" applyFill="1" applyBorder="1" applyAlignment="1" applyProtection="1">
      <alignment horizontal="center" vertical="center" wrapText="1"/>
      <protection locked="0"/>
    </xf>
    <xf numFmtId="0" fontId="149" fillId="8" borderId="4" xfId="0" applyFont="1" applyFill="1" applyBorder="1" applyAlignment="1" applyProtection="1">
      <alignment horizontal="center" vertical="center" wrapText="1"/>
    </xf>
    <xf numFmtId="49" fontId="149" fillId="8" borderId="22" xfId="0" applyNumberFormat="1" applyFont="1" applyFill="1" applyBorder="1" applyAlignment="1" applyProtection="1">
      <alignment horizontal="center" vertical="center" wrapText="1"/>
      <protection locked="0"/>
    </xf>
    <xf numFmtId="49" fontId="149" fillId="8" borderId="32" xfId="0" applyNumberFormat="1" applyFont="1" applyFill="1" applyBorder="1" applyAlignment="1" applyProtection="1">
      <alignment horizontal="center" vertical="center" wrapText="1"/>
      <protection locked="0"/>
    </xf>
    <xf numFmtId="49" fontId="156" fillId="8" borderId="59" xfId="0" applyNumberFormat="1" applyFont="1" applyFill="1" applyBorder="1" applyAlignment="1" applyProtection="1">
      <alignment vertical="center"/>
    </xf>
    <xf numFmtId="49" fontId="156" fillId="8" borderId="7" xfId="0" applyNumberFormat="1" applyFont="1" applyFill="1" applyBorder="1" applyAlignment="1" applyProtection="1">
      <alignment vertical="center"/>
      <protection locked="0"/>
    </xf>
    <xf numFmtId="0" fontId="156" fillId="8" borderId="30" xfId="0" applyFont="1" applyFill="1" applyBorder="1" applyAlignment="1" applyProtection="1">
      <alignment horizontal="right" vertical="center" wrapText="1"/>
    </xf>
    <xf numFmtId="0" fontId="156" fillId="8" borderId="57" xfId="0" applyFont="1" applyFill="1" applyBorder="1" applyAlignment="1" applyProtection="1">
      <alignment vertical="center" wrapText="1"/>
    </xf>
    <xf numFmtId="177" fontId="156" fillId="8" borderId="30" xfId="0" applyNumberFormat="1" applyFont="1" applyFill="1" applyBorder="1" applyAlignment="1" applyProtection="1">
      <alignment vertical="center" wrapText="1"/>
      <protection locked="0"/>
    </xf>
    <xf numFmtId="177" fontId="156" fillId="8" borderId="30" xfId="0" applyNumberFormat="1" applyFont="1" applyFill="1" applyBorder="1" applyAlignment="1" applyProtection="1">
      <alignment vertical="center" wrapText="1"/>
    </xf>
    <xf numFmtId="177" fontId="156" fillId="8" borderId="59" xfId="0" applyNumberFormat="1" applyFont="1" applyFill="1" applyBorder="1" applyAlignment="1" applyProtection="1">
      <alignment vertical="center" wrapText="1"/>
      <protection locked="0"/>
    </xf>
    <xf numFmtId="177" fontId="156" fillId="8" borderId="57" xfId="0" applyNumberFormat="1" applyFont="1" applyFill="1" applyBorder="1" applyAlignment="1" applyProtection="1">
      <alignment vertical="center" wrapText="1"/>
    </xf>
    <xf numFmtId="176" fontId="152" fillId="8" borderId="2" xfId="0" applyNumberFormat="1" applyFont="1" applyFill="1" applyBorder="1" applyAlignment="1" applyProtection="1">
      <alignment horizontal="center" vertical="center"/>
    </xf>
    <xf numFmtId="176" fontId="152" fillId="8" borderId="12" xfId="0" applyNumberFormat="1" applyFont="1" applyFill="1" applyBorder="1" applyAlignment="1" applyProtection="1">
      <alignment horizontal="center" vertical="center"/>
    </xf>
    <xf numFmtId="184" fontId="152" fillId="8" borderId="10" xfId="0" applyNumberFormat="1" applyFont="1" applyFill="1" applyBorder="1" applyAlignment="1" applyProtection="1">
      <alignment horizontal="center" vertical="center"/>
      <protection locked="0"/>
    </xf>
    <xf numFmtId="0" fontId="282" fillId="8" borderId="59" xfId="2" applyFont="1" applyFill="1" applyBorder="1" applyAlignment="1" applyProtection="1">
      <alignment vertical="center"/>
      <protection locked="0"/>
    </xf>
    <xf numFmtId="0" fontId="154" fillId="8" borderId="30" xfId="2" applyFont="1" applyFill="1" applyBorder="1" applyAlignment="1" applyProtection="1">
      <alignment horizontal="right" vertical="center"/>
      <protection locked="0"/>
    </xf>
    <xf numFmtId="0" fontId="154" fillId="8" borderId="0" xfId="2" applyFont="1" applyFill="1" applyBorder="1" applyAlignment="1" applyProtection="1">
      <alignment vertical="center"/>
      <protection locked="0"/>
    </xf>
    <xf numFmtId="0" fontId="154" fillId="8" borderId="2" xfId="2" applyFont="1" applyFill="1" applyBorder="1" applyAlignment="1" applyProtection="1">
      <alignment vertical="center"/>
      <protection locked="0"/>
    </xf>
    <xf numFmtId="177" fontId="154" fillId="8" borderId="2" xfId="2" applyNumberFormat="1" applyFont="1" applyFill="1" applyBorder="1" applyAlignment="1" applyProtection="1">
      <alignment horizontal="right" vertical="center"/>
      <protection locked="0"/>
    </xf>
    <xf numFmtId="0" fontId="199" fillId="8" borderId="10" xfId="2" applyFont="1" applyFill="1" applyBorder="1" applyAlignment="1" applyProtection="1">
      <alignment vertical="center"/>
      <protection locked="0"/>
    </xf>
    <xf numFmtId="0" fontId="154" fillId="8" borderId="10" xfId="2" applyFont="1" applyFill="1" applyBorder="1" applyAlignment="1" applyProtection="1">
      <alignment horizontal="right" vertical="center"/>
      <protection locked="0"/>
    </xf>
    <xf numFmtId="0" fontId="156" fillId="8" borderId="10" xfId="0" applyFont="1" applyFill="1" applyBorder="1" applyAlignment="1" applyProtection="1">
      <alignment vertical="center"/>
    </xf>
    <xf numFmtId="0" fontId="283" fillId="8" borderId="0" xfId="0" applyFont="1" applyFill="1" applyAlignment="1" applyProtection="1">
      <alignment horizontal="center" vertical="center"/>
    </xf>
    <xf numFmtId="0" fontId="154" fillId="8" borderId="59" xfId="0" applyFont="1" applyFill="1" applyBorder="1" applyAlignment="1" applyProtection="1">
      <alignment vertical="center"/>
    </xf>
    <xf numFmtId="0" fontId="154" fillId="8" borderId="30" xfId="0" applyFont="1" applyFill="1" applyBorder="1" applyAlignment="1" applyProtection="1">
      <alignment vertical="center"/>
    </xf>
    <xf numFmtId="184" fontId="156" fillId="8" borderId="29" xfId="0" applyNumberFormat="1" applyFont="1" applyFill="1" applyBorder="1" applyAlignment="1" applyProtection="1">
      <alignment horizontal="center" vertical="center"/>
    </xf>
    <xf numFmtId="0" fontId="154" fillId="8" borderId="57" xfId="0" applyFont="1" applyFill="1" applyBorder="1" applyAlignment="1" applyProtection="1">
      <alignment vertical="center"/>
    </xf>
    <xf numFmtId="0" fontId="156" fillId="8" borderId="11" xfId="0" applyFont="1" applyFill="1" applyBorder="1" applyAlignment="1" applyProtection="1">
      <alignment horizontal="center" vertical="center"/>
    </xf>
    <xf numFmtId="0" fontId="156" fillId="8" borderId="4" xfId="0" applyFont="1" applyFill="1" applyBorder="1" applyAlignment="1" applyProtection="1">
      <alignment vertical="center"/>
    </xf>
    <xf numFmtId="184" fontId="152" fillId="8" borderId="2" xfId="0" applyNumberFormat="1" applyFont="1" applyFill="1" applyBorder="1" applyAlignment="1" applyProtection="1">
      <alignment horizontal="center" vertical="center" wrapText="1"/>
      <protection locked="0"/>
    </xf>
    <xf numFmtId="184" fontId="152" fillId="8" borderId="12" xfId="0" applyNumberFormat="1" applyFont="1" applyFill="1" applyBorder="1" applyAlignment="1" applyProtection="1">
      <alignment horizontal="center" vertical="center" wrapText="1"/>
      <protection locked="0"/>
    </xf>
    <xf numFmtId="49" fontId="152" fillId="8" borderId="11" xfId="0" applyNumberFormat="1" applyFont="1" applyFill="1" applyBorder="1" applyAlignment="1" applyProtection="1">
      <alignment horizontal="left" vertical="center"/>
    </xf>
    <xf numFmtId="0" fontId="152" fillId="8" borderId="5" xfId="0" applyFont="1" applyFill="1" applyBorder="1" applyAlignment="1" applyProtection="1">
      <alignment vertical="center"/>
    </xf>
    <xf numFmtId="184" fontId="152" fillId="8" borderId="2" xfId="0" applyNumberFormat="1" applyFont="1" applyFill="1" applyBorder="1" applyAlignment="1" applyProtection="1">
      <alignment horizontal="center" vertical="center"/>
      <protection locked="0"/>
    </xf>
    <xf numFmtId="184" fontId="152" fillId="8" borderId="12" xfId="0" applyNumberFormat="1" applyFont="1" applyFill="1" applyBorder="1" applyAlignment="1" applyProtection="1">
      <alignment horizontal="center" vertical="center"/>
      <protection locked="0"/>
    </xf>
    <xf numFmtId="49" fontId="152" fillId="8" borderId="43" xfId="0" applyNumberFormat="1" applyFont="1" applyFill="1" applyBorder="1" applyAlignment="1" applyProtection="1">
      <alignment horizontal="left" vertical="center"/>
    </xf>
    <xf numFmtId="0" fontId="152" fillId="8" borderId="45" xfId="0" applyFont="1" applyFill="1" applyBorder="1" applyAlignment="1" applyProtection="1">
      <alignment vertical="center"/>
    </xf>
    <xf numFmtId="184" fontId="152" fillId="8" borderId="44" xfId="0" applyNumberFormat="1" applyFont="1" applyFill="1" applyBorder="1" applyAlignment="1" applyProtection="1">
      <alignment horizontal="center" vertical="center"/>
      <protection locked="0"/>
    </xf>
    <xf numFmtId="184" fontId="152" fillId="8" borderId="46" xfId="0" applyNumberFormat="1" applyFont="1" applyFill="1" applyBorder="1" applyAlignment="1" applyProtection="1">
      <alignment horizontal="center" vertical="center"/>
      <protection locked="0"/>
    </xf>
    <xf numFmtId="49" fontId="154" fillId="8" borderId="59" xfId="0" applyNumberFormat="1" applyFont="1" applyFill="1" applyBorder="1" applyAlignment="1" applyProtection="1">
      <alignment vertical="center"/>
    </xf>
    <xf numFmtId="49" fontId="156" fillId="8" borderId="11" xfId="0" applyNumberFormat="1" applyFont="1" applyFill="1" applyBorder="1" applyAlignment="1" applyProtection="1">
      <alignment horizontal="center" vertical="center"/>
    </xf>
    <xf numFmtId="0" fontId="156" fillId="8" borderId="5" xfId="0" applyFont="1" applyFill="1" applyBorder="1" applyAlignment="1" applyProtection="1">
      <alignment vertical="center"/>
    </xf>
    <xf numFmtId="184" fontId="156" fillId="8" borderId="2" xfId="0" applyNumberFormat="1" applyFont="1" applyFill="1" applyBorder="1" applyAlignment="1" applyProtection="1">
      <alignment horizontal="center" vertical="center"/>
    </xf>
    <xf numFmtId="0" fontId="156" fillId="8" borderId="2" xfId="0" applyFont="1" applyFill="1" applyBorder="1" applyAlignment="1" applyProtection="1">
      <alignment horizontal="center" vertical="center"/>
    </xf>
    <xf numFmtId="0" fontId="156" fillId="8" borderId="8" xfId="0" applyFont="1" applyFill="1" applyBorder="1" applyAlignment="1" applyProtection="1">
      <alignment vertical="center"/>
    </xf>
    <xf numFmtId="0" fontId="156" fillId="8" borderId="16" xfId="0" applyFont="1" applyFill="1" applyBorder="1" applyAlignment="1" applyProtection="1">
      <alignment vertical="center"/>
    </xf>
    <xf numFmtId="49" fontId="152" fillId="8" borderId="11" xfId="2" applyNumberFormat="1" applyFont="1" applyFill="1" applyBorder="1" applyAlignment="1" applyProtection="1">
      <alignment horizontal="left" vertical="center"/>
    </xf>
    <xf numFmtId="0" fontId="152" fillId="8" borderId="5" xfId="2" applyFont="1" applyFill="1" applyBorder="1" applyAlignment="1" applyProtection="1">
      <alignment vertical="center"/>
    </xf>
    <xf numFmtId="177" fontId="152" fillId="8" borderId="2" xfId="0" applyNumberFormat="1" applyFont="1" applyFill="1" applyBorder="1" applyAlignment="1" applyProtection="1">
      <alignment horizontal="center" vertical="center"/>
    </xf>
    <xf numFmtId="179" fontId="152" fillId="8" borderId="2" xfId="2" applyNumberFormat="1" applyFont="1" applyFill="1" applyBorder="1" applyAlignment="1" applyProtection="1">
      <alignment horizontal="center" vertical="center"/>
    </xf>
    <xf numFmtId="0" fontId="152" fillId="8" borderId="2" xfId="0" applyFont="1" applyFill="1" applyBorder="1" applyAlignment="1" applyProtection="1">
      <alignment vertical="center"/>
    </xf>
    <xf numFmtId="181" fontId="152" fillId="8" borderId="2" xfId="2" applyNumberFormat="1" applyFont="1" applyFill="1" applyBorder="1" applyAlignment="1" applyProtection="1">
      <alignment horizontal="center" vertical="center"/>
    </xf>
    <xf numFmtId="0" fontId="152" fillId="8" borderId="2" xfId="0" applyFont="1" applyFill="1" applyBorder="1" applyAlignment="1" applyProtection="1">
      <alignment horizontal="center" vertical="center"/>
    </xf>
    <xf numFmtId="9" fontId="152" fillId="8" borderId="2" xfId="2" applyNumberFormat="1" applyFont="1" applyFill="1" applyBorder="1" applyAlignment="1" applyProtection="1">
      <alignment horizontal="center" vertical="center"/>
    </xf>
    <xf numFmtId="177" fontId="152" fillId="8" borderId="2" xfId="2" applyNumberFormat="1" applyFont="1" applyFill="1" applyBorder="1" applyAlignment="1" applyProtection="1">
      <alignment horizontal="center" vertical="center"/>
    </xf>
    <xf numFmtId="177" fontId="152" fillId="8" borderId="2" xfId="2" applyNumberFormat="1" applyFont="1" applyFill="1" applyBorder="1" applyAlignment="1" applyProtection="1">
      <alignment vertical="center"/>
    </xf>
    <xf numFmtId="10" fontId="152" fillId="8" borderId="2" xfId="2" applyNumberFormat="1" applyFont="1" applyFill="1" applyBorder="1" applyAlignment="1" applyProtection="1">
      <alignment horizontal="center" vertical="center"/>
    </xf>
    <xf numFmtId="0" fontId="152" fillId="8" borderId="8" xfId="0" applyFont="1" applyFill="1" applyBorder="1" applyAlignment="1" applyProtection="1">
      <alignment vertical="center"/>
    </xf>
    <xf numFmtId="0" fontId="152" fillId="8" borderId="16" xfId="0" applyFont="1" applyFill="1" applyBorder="1" applyAlignment="1" applyProtection="1">
      <alignment vertical="center"/>
    </xf>
    <xf numFmtId="49" fontId="156" fillId="8" borderId="11" xfId="2" applyNumberFormat="1" applyFont="1" applyFill="1" applyBorder="1" applyAlignment="1" applyProtection="1">
      <alignment horizontal="left" vertical="center"/>
    </xf>
    <xf numFmtId="0" fontId="156" fillId="8" borderId="5" xfId="2" applyFont="1" applyFill="1" applyBorder="1" applyAlignment="1" applyProtection="1">
      <alignment vertical="center"/>
    </xf>
    <xf numFmtId="177" fontId="156" fillId="8" borderId="2" xfId="2" applyNumberFormat="1" applyFont="1" applyFill="1" applyBorder="1" applyAlignment="1" applyProtection="1">
      <alignment horizontal="center" vertical="center"/>
    </xf>
    <xf numFmtId="0" fontId="156" fillId="8" borderId="2" xfId="2" applyFont="1" applyFill="1" applyBorder="1" applyAlignment="1" applyProtection="1">
      <alignment vertical="center"/>
    </xf>
    <xf numFmtId="177" fontId="156" fillId="8" borderId="2" xfId="2" applyNumberFormat="1" applyFont="1" applyFill="1" applyBorder="1" applyAlignment="1" applyProtection="1">
      <alignment vertical="center"/>
    </xf>
    <xf numFmtId="0" fontId="149" fillId="8" borderId="5" xfId="0" applyFont="1" applyFill="1" applyBorder="1" applyAlignment="1" applyProtection="1">
      <alignment vertical="center"/>
    </xf>
    <xf numFmtId="0" fontId="149" fillId="8" borderId="8" xfId="0" applyFont="1" applyFill="1" applyBorder="1" applyAlignment="1" applyProtection="1">
      <alignment vertical="center"/>
    </xf>
    <xf numFmtId="0" fontId="149" fillId="8" borderId="16" xfId="0" applyFont="1" applyFill="1" applyBorder="1" applyAlignment="1" applyProtection="1">
      <alignment vertical="center"/>
    </xf>
    <xf numFmtId="179" fontId="156" fillId="8" borderId="2" xfId="2" applyNumberFormat="1" applyFont="1" applyFill="1" applyBorder="1" applyAlignment="1" applyProtection="1">
      <alignment horizontal="center" vertical="center"/>
    </xf>
    <xf numFmtId="9" fontId="156" fillId="8" borderId="2" xfId="2" applyNumberFormat="1" applyFont="1" applyFill="1" applyBorder="1" applyAlignment="1" applyProtection="1">
      <alignment horizontal="center" vertical="center"/>
    </xf>
    <xf numFmtId="0" fontId="157" fillId="8" borderId="5" xfId="0" applyFont="1" applyFill="1" applyBorder="1" applyAlignment="1" applyProtection="1">
      <alignment vertical="center"/>
      <protection locked="0"/>
    </xf>
    <xf numFmtId="0" fontId="152" fillId="8" borderId="8" xfId="0" applyFont="1" applyFill="1" applyBorder="1" applyAlignment="1" applyProtection="1">
      <alignment vertical="center"/>
      <protection locked="0"/>
    </xf>
    <xf numFmtId="0" fontId="230" fillId="8" borderId="8" xfId="0" applyFont="1" applyFill="1" applyBorder="1" applyAlignment="1" applyProtection="1">
      <alignment vertical="center"/>
    </xf>
    <xf numFmtId="0" fontId="152" fillId="8" borderId="5" xfId="0" applyFont="1" applyFill="1" applyBorder="1" applyAlignment="1" applyProtection="1">
      <alignment horizontal="left" vertical="center"/>
    </xf>
    <xf numFmtId="0" fontId="152" fillId="8" borderId="8" xfId="0" applyFont="1" applyFill="1" applyBorder="1" applyAlignment="1" applyProtection="1">
      <alignment horizontal="left" vertical="center"/>
    </xf>
    <xf numFmtId="0" fontId="152" fillId="8" borderId="16" xfId="0" applyFont="1" applyFill="1" applyBorder="1" applyAlignment="1" applyProtection="1">
      <alignment horizontal="left" vertical="center"/>
    </xf>
    <xf numFmtId="0" fontId="284" fillId="8" borderId="5" xfId="2" applyFont="1" applyFill="1" applyBorder="1" applyAlignment="1" applyProtection="1">
      <alignment vertical="center"/>
    </xf>
    <xf numFmtId="10" fontId="156" fillId="8" borderId="2" xfId="2" applyNumberFormat="1" applyFont="1" applyFill="1" applyBorder="1" applyAlignment="1" applyProtection="1">
      <alignment horizontal="center" vertical="center"/>
    </xf>
    <xf numFmtId="177" fontId="152" fillId="8" borderId="8" xfId="2" applyNumberFormat="1" applyFont="1" applyFill="1" applyBorder="1" applyAlignment="1" applyProtection="1">
      <alignment vertical="center"/>
    </xf>
    <xf numFmtId="177" fontId="152" fillId="8" borderId="5" xfId="0" applyNumberFormat="1" applyFont="1" applyFill="1" applyBorder="1" applyAlignment="1" applyProtection="1">
      <alignment vertical="center"/>
    </xf>
    <xf numFmtId="0" fontId="156" fillId="8" borderId="2" xfId="0" applyFont="1" applyFill="1" applyBorder="1" applyAlignment="1" applyProtection="1">
      <alignment horizontal="right" vertical="center"/>
    </xf>
    <xf numFmtId="177" fontId="156" fillId="8" borderId="2" xfId="2" applyNumberFormat="1" applyFont="1" applyFill="1" applyBorder="1" applyAlignment="1" applyProtection="1"/>
    <xf numFmtId="177" fontId="156" fillId="8" borderId="8" xfId="2" applyNumberFormat="1" applyFont="1" applyFill="1" applyBorder="1" applyAlignment="1" applyProtection="1">
      <alignment vertical="center"/>
    </xf>
    <xf numFmtId="0" fontId="199" fillId="8" borderId="5" xfId="0" applyFont="1" applyFill="1" applyBorder="1" applyAlignment="1" applyProtection="1">
      <alignment vertical="center"/>
    </xf>
    <xf numFmtId="0" fontId="284" fillId="8" borderId="2" xfId="2" applyFont="1" applyFill="1" applyBorder="1" applyAlignment="1" applyProtection="1">
      <alignment vertical="center"/>
    </xf>
    <xf numFmtId="177" fontId="156" fillId="8" borderId="0" xfId="0" applyNumberFormat="1" applyFont="1" applyFill="1" applyBorder="1" applyAlignment="1" applyProtection="1">
      <alignment horizontal="center" vertical="center"/>
    </xf>
    <xf numFmtId="10" fontId="156" fillId="8" borderId="10" xfId="0" applyNumberFormat="1" applyFont="1" applyFill="1" applyBorder="1" applyAlignment="1" applyProtection="1">
      <alignment horizontal="center" vertical="center"/>
    </xf>
    <xf numFmtId="0" fontId="165" fillId="8" borderId="5" xfId="0" applyFont="1" applyFill="1" applyBorder="1" applyAlignment="1" applyProtection="1">
      <alignment vertical="center"/>
    </xf>
    <xf numFmtId="0" fontId="152" fillId="8" borderId="2" xfId="2" applyFont="1" applyFill="1" applyBorder="1" applyAlignment="1" applyProtection="1">
      <alignment horizontal="left" vertical="center"/>
    </xf>
    <xf numFmtId="185" fontId="152" fillId="8" borderId="9" xfId="0" applyNumberFormat="1" applyFont="1" applyFill="1" applyBorder="1" applyAlignment="1" applyProtection="1">
      <alignment horizontal="center" vertical="center"/>
    </xf>
    <xf numFmtId="185" fontId="152" fillId="8" borderId="2" xfId="0" applyNumberFormat="1" applyFont="1" applyFill="1" applyBorder="1" applyAlignment="1" applyProtection="1">
      <alignment horizontal="center" vertical="center"/>
    </xf>
    <xf numFmtId="10" fontId="152" fillId="8" borderId="10" xfId="0" applyNumberFormat="1" applyFont="1" applyFill="1" applyBorder="1" applyAlignment="1" applyProtection="1">
      <alignment horizontal="center" vertical="center"/>
    </xf>
    <xf numFmtId="177" fontId="152" fillId="8" borderId="0" xfId="0" applyNumberFormat="1" applyFont="1" applyFill="1" applyBorder="1" applyAlignment="1" applyProtection="1">
      <alignment horizontal="center" vertical="center"/>
    </xf>
    <xf numFmtId="49" fontId="156" fillId="8" borderId="11" xfId="0" applyNumberFormat="1" applyFont="1" applyFill="1" applyBorder="1" applyAlignment="1" applyProtection="1">
      <alignment horizontal="left" vertical="center"/>
    </xf>
    <xf numFmtId="10" fontId="157" fillId="8" borderId="2" xfId="2" applyNumberFormat="1" applyFont="1" applyFill="1" applyBorder="1" applyAlignment="1" applyProtection="1">
      <alignment horizontal="center" vertical="center"/>
    </xf>
    <xf numFmtId="49" fontId="156" fillId="8" borderId="11" xfId="0" applyNumberFormat="1" applyFont="1" applyFill="1" applyBorder="1" applyAlignment="1" applyProtection="1">
      <alignment horizontal="left" vertical="center" wrapText="1"/>
    </xf>
    <xf numFmtId="0" fontId="156" fillId="8" borderId="2" xfId="2" applyFont="1" applyFill="1" applyBorder="1" applyAlignment="1" applyProtection="1">
      <alignment horizontal="left" vertical="center"/>
    </xf>
    <xf numFmtId="185" fontId="156" fillId="8" borderId="2" xfId="0" applyNumberFormat="1" applyFont="1" applyFill="1" applyBorder="1" applyAlignment="1" applyProtection="1">
      <alignment horizontal="right" vertical="center"/>
    </xf>
    <xf numFmtId="49" fontId="168" fillId="8" borderId="11" xfId="0" applyNumberFormat="1" applyFont="1" applyFill="1" applyBorder="1" applyAlignment="1" applyProtection="1">
      <alignment horizontal="left" vertical="center" wrapText="1"/>
    </xf>
    <xf numFmtId="0" fontId="199" fillId="8" borderId="2" xfId="2" applyFont="1" applyFill="1" applyBorder="1" applyAlignment="1" applyProtection="1">
      <alignment vertical="center" wrapText="1"/>
    </xf>
    <xf numFmtId="177" fontId="156" fillId="8" borderId="9" xfId="0" applyNumberFormat="1" applyFont="1" applyFill="1" applyBorder="1" applyAlignment="1" applyProtection="1">
      <alignment horizontal="center" vertical="center" wrapText="1"/>
    </xf>
    <xf numFmtId="10" fontId="156" fillId="8" borderId="2" xfId="0" applyNumberFormat="1" applyFont="1" applyFill="1" applyBorder="1" applyAlignment="1" applyProtection="1">
      <alignment horizontal="center" vertical="center" wrapText="1"/>
    </xf>
    <xf numFmtId="49" fontId="152" fillId="8" borderId="11" xfId="0" applyNumberFormat="1" applyFont="1" applyFill="1" applyBorder="1" applyAlignment="1" applyProtection="1">
      <alignment horizontal="left" vertical="center" wrapText="1"/>
    </xf>
    <xf numFmtId="0" fontId="152" fillId="8" borderId="5" xfId="2" applyFont="1" applyFill="1" applyBorder="1" applyAlignment="1" applyProtection="1">
      <alignment horizontal="left" vertical="center"/>
    </xf>
    <xf numFmtId="10" fontId="152" fillId="8" borderId="2" xfId="0" applyNumberFormat="1" applyFont="1" applyFill="1" applyBorder="1" applyAlignment="1" applyProtection="1">
      <alignment horizontal="center" vertical="center" wrapText="1"/>
    </xf>
    <xf numFmtId="49" fontId="152" fillId="8" borderId="43" xfId="0" applyNumberFormat="1" applyFont="1" applyFill="1" applyBorder="1" applyAlignment="1" applyProtection="1">
      <alignment horizontal="left" vertical="center" wrapText="1"/>
    </xf>
    <xf numFmtId="0" fontId="165" fillId="8" borderId="44" xfId="0" applyFont="1" applyFill="1" applyBorder="1" applyAlignment="1" applyProtection="1">
      <alignment vertical="center"/>
    </xf>
    <xf numFmtId="177" fontId="152" fillId="8" borderId="44" xfId="0" applyNumberFormat="1" applyFont="1" applyFill="1" applyBorder="1" applyAlignment="1" applyProtection="1">
      <alignment horizontal="center" vertical="center" wrapText="1"/>
    </xf>
    <xf numFmtId="185" fontId="152" fillId="8" borderId="44" xfId="0" applyNumberFormat="1" applyFont="1" applyFill="1" applyBorder="1" applyAlignment="1" applyProtection="1">
      <alignment horizontal="center" vertical="center"/>
    </xf>
    <xf numFmtId="177" fontId="152" fillId="8" borderId="56" xfId="2" applyNumberFormat="1" applyFont="1" applyFill="1" applyBorder="1" applyAlignment="1" applyProtection="1">
      <alignment vertical="center"/>
    </xf>
    <xf numFmtId="10" fontId="152" fillId="8" borderId="44" xfId="0" applyNumberFormat="1" applyFont="1" applyFill="1" applyBorder="1" applyAlignment="1" applyProtection="1">
      <alignment horizontal="center" vertical="center" wrapText="1"/>
    </xf>
    <xf numFmtId="0" fontId="152" fillId="8" borderId="56" xfId="0" applyFont="1" applyFill="1" applyBorder="1" applyAlignment="1" applyProtection="1">
      <alignment vertical="center"/>
    </xf>
    <xf numFmtId="0" fontId="152" fillId="8" borderId="48" xfId="0" applyFont="1" applyFill="1" applyBorder="1" applyAlignment="1" applyProtection="1">
      <alignment vertical="center"/>
    </xf>
    <xf numFmtId="0" fontId="156" fillId="8" borderId="54" xfId="0" applyFont="1" applyFill="1" applyBorder="1" applyAlignment="1" applyProtection="1">
      <alignment vertical="center"/>
    </xf>
    <xf numFmtId="0" fontId="156" fillId="8" borderId="61" xfId="0" applyFont="1" applyFill="1" applyBorder="1" applyAlignment="1" applyProtection="1">
      <alignment vertical="center"/>
    </xf>
    <xf numFmtId="184" fontId="154" fillId="8" borderId="55" xfId="0" applyNumberFormat="1" applyFont="1" applyFill="1" applyBorder="1" applyAlignment="1" applyProtection="1">
      <alignment horizontal="center" vertical="center"/>
    </xf>
    <xf numFmtId="0" fontId="154" fillId="8" borderId="68" xfId="0" applyFont="1" applyFill="1" applyBorder="1" applyAlignment="1" applyProtection="1">
      <alignment vertical="center"/>
    </xf>
    <xf numFmtId="0" fontId="156" fillId="8" borderId="66" xfId="0" applyFont="1" applyFill="1" applyBorder="1" applyAlignment="1" applyProtection="1">
      <alignment vertical="center"/>
    </xf>
    <xf numFmtId="0" fontId="101" fillId="8" borderId="5" xfId="0" applyFont="1" applyFill="1" applyBorder="1" applyAlignment="1" applyProtection="1">
      <alignment horizontal="right" vertical="center"/>
    </xf>
    <xf numFmtId="0" fontId="101" fillId="8" borderId="8" xfId="0" applyFont="1" applyFill="1" applyBorder="1" applyAlignment="1" applyProtection="1">
      <alignment horizontal="center" vertical="center"/>
    </xf>
    <xf numFmtId="0" fontId="101" fillId="8" borderId="8" xfId="0" applyFont="1" applyFill="1" applyBorder="1" applyAlignment="1" applyProtection="1">
      <alignment vertical="center"/>
      <protection locked="0"/>
    </xf>
    <xf numFmtId="0" fontId="101" fillId="8" borderId="9" xfId="0" applyFont="1" applyFill="1" applyBorder="1" applyAlignment="1" applyProtection="1">
      <alignment vertical="center"/>
    </xf>
    <xf numFmtId="0" fontId="101" fillId="8" borderId="2" xfId="0" applyFont="1" applyFill="1" applyBorder="1" applyAlignment="1" applyProtection="1">
      <alignment horizontal="center" vertical="center"/>
      <protection locked="0"/>
    </xf>
    <xf numFmtId="0" fontId="102" fillId="8" borderId="14" xfId="0" applyFont="1" applyFill="1" applyBorder="1" applyAlignment="1" applyProtection="1">
      <alignment vertical="center"/>
    </xf>
    <xf numFmtId="0" fontId="101" fillId="8" borderId="14" xfId="0" applyFont="1" applyFill="1" applyBorder="1" applyAlignment="1" applyProtection="1">
      <alignment vertical="center"/>
    </xf>
    <xf numFmtId="0" fontId="97" fillId="8" borderId="21" xfId="0" applyFont="1" applyFill="1" applyBorder="1" applyAlignment="1" applyProtection="1">
      <alignment horizontal="right" vertical="center"/>
    </xf>
    <xf numFmtId="0" fontId="73" fillId="8" borderId="0" xfId="0" applyFont="1" applyFill="1" applyBorder="1" applyAlignment="1" applyProtection="1">
      <alignment vertical="center"/>
      <protection locked="0"/>
    </xf>
    <xf numFmtId="0" fontId="97" fillId="8" borderId="10" xfId="0" applyFont="1" applyFill="1" applyBorder="1" applyAlignment="1" applyProtection="1">
      <alignment horizontal="right" vertical="center"/>
    </xf>
    <xf numFmtId="0" fontId="97" fillId="8" borderId="10" xfId="0" applyFont="1" applyFill="1" applyBorder="1" applyAlignment="1" applyProtection="1">
      <alignment horizontal="center" vertical="center"/>
    </xf>
    <xf numFmtId="0" fontId="156" fillId="8" borderId="61" xfId="0" applyFont="1" applyFill="1" applyBorder="1" applyAlignment="1" applyProtection="1">
      <alignment vertical="center" wrapText="1"/>
    </xf>
    <xf numFmtId="183" fontId="149" fillId="8" borderId="33" xfId="0" applyNumberFormat="1" applyFont="1" applyFill="1" applyBorder="1" applyAlignment="1" applyProtection="1">
      <alignment horizontal="center" vertical="center" wrapText="1"/>
    </xf>
    <xf numFmtId="0" fontId="167" fillId="8" borderId="59" xfId="0" applyFont="1" applyFill="1" applyBorder="1" applyAlignment="1" applyProtection="1">
      <alignment horizontal="center" vertical="center" wrapText="1"/>
      <protection locked="0"/>
    </xf>
    <xf numFmtId="49" fontId="149" fillId="8" borderId="42" xfId="0" applyNumberFormat="1" applyFont="1" applyFill="1" applyBorder="1" applyAlignment="1" applyProtection="1">
      <alignment horizontal="center" vertical="center" wrapText="1"/>
      <protection locked="0"/>
    </xf>
    <xf numFmtId="0" fontId="149" fillId="8" borderId="29" xfId="0" applyFont="1" applyFill="1" applyBorder="1" applyAlignment="1" applyProtection="1">
      <alignment horizontal="center" vertical="center" wrapText="1"/>
    </xf>
    <xf numFmtId="49" fontId="149" fillId="8" borderId="1" xfId="0" applyNumberFormat="1" applyFont="1" applyFill="1" applyBorder="1" applyAlignment="1" applyProtection="1">
      <alignment horizontal="center" vertical="center" wrapText="1"/>
      <protection locked="0"/>
    </xf>
    <xf numFmtId="49" fontId="149" fillId="8" borderId="11" xfId="0" applyNumberFormat="1" applyFont="1" applyFill="1" applyBorder="1" applyAlignment="1" applyProtection="1">
      <alignment horizontal="center" vertical="center" wrapText="1"/>
      <protection locked="0"/>
    </xf>
    <xf numFmtId="49" fontId="149" fillId="8" borderId="9" xfId="0" applyNumberFormat="1" applyFont="1" applyFill="1" applyBorder="1" applyAlignment="1" applyProtection="1">
      <alignment horizontal="center" vertical="center" wrapText="1"/>
      <protection locked="0"/>
    </xf>
    <xf numFmtId="0" fontId="149" fillId="8" borderId="5" xfId="0" applyFont="1" applyFill="1" applyBorder="1" applyAlignment="1" applyProtection="1">
      <alignment horizontal="center" vertical="center" wrapText="1"/>
    </xf>
    <xf numFmtId="49" fontId="149" fillId="8" borderId="53" xfId="0" applyNumberFormat="1" applyFont="1" applyFill="1" applyBorder="1" applyAlignment="1" applyProtection="1">
      <alignment horizontal="center" vertical="center" wrapText="1"/>
    </xf>
    <xf numFmtId="0" fontId="149" fillId="8" borderId="0" xfId="0" applyFont="1" applyFill="1" applyBorder="1" applyAlignment="1" applyProtection="1">
      <alignment horizontal="center" vertical="center"/>
    </xf>
    <xf numFmtId="0" fontId="149" fillId="8" borderId="50" xfId="0" applyFont="1" applyFill="1" applyBorder="1" applyAlignment="1" applyProtection="1">
      <alignment horizontal="center" vertical="center" wrapText="1"/>
      <protection locked="0"/>
    </xf>
    <xf numFmtId="0" fontId="149" fillId="8" borderId="22" xfId="0" applyFont="1" applyFill="1" applyBorder="1" applyAlignment="1" applyProtection="1">
      <alignment horizontal="center" vertical="center" wrapText="1"/>
    </xf>
    <xf numFmtId="0" fontId="149" fillId="8" borderId="24" xfId="0" applyFont="1" applyFill="1" applyBorder="1" applyAlignment="1" applyProtection="1">
      <alignment horizontal="center" vertical="center" wrapText="1"/>
      <protection locked="0"/>
    </xf>
    <xf numFmtId="0" fontId="160" fillId="8" borderId="4" xfId="0" applyFont="1" applyFill="1" applyBorder="1" applyAlignment="1" applyProtection="1">
      <alignment horizontal="center" vertical="center" wrapText="1"/>
    </xf>
    <xf numFmtId="0" fontId="160" fillId="8" borderId="13" xfId="0" applyFont="1" applyFill="1" applyBorder="1" applyAlignment="1" applyProtection="1">
      <alignment horizontal="center" vertical="center" wrapText="1"/>
    </xf>
    <xf numFmtId="0" fontId="160" fillId="8" borderId="5" xfId="0" applyFont="1" applyFill="1" applyBorder="1" applyAlignment="1" applyProtection="1">
      <alignment horizontal="center" vertical="center" wrapText="1"/>
    </xf>
    <xf numFmtId="0" fontId="149" fillId="8" borderId="4" xfId="0" applyFont="1" applyFill="1" applyBorder="1" applyAlignment="1" applyProtection="1">
      <alignment horizontal="center" vertical="center" wrapText="1"/>
      <protection locked="0"/>
    </xf>
    <xf numFmtId="0" fontId="167" fillId="8" borderId="50" xfId="0" applyFont="1" applyFill="1" applyBorder="1" applyAlignment="1" applyProtection="1">
      <alignment horizontal="center" vertical="center" wrapText="1"/>
      <protection locked="0"/>
    </xf>
    <xf numFmtId="49" fontId="167" fillId="8" borderId="20" xfId="0" applyNumberFormat="1" applyFont="1" applyFill="1" applyBorder="1" applyAlignment="1" applyProtection="1">
      <alignment horizontal="center" vertical="center" wrapText="1"/>
      <protection locked="0"/>
    </xf>
    <xf numFmtId="49" fontId="167" fillId="8" borderId="50" xfId="0" applyNumberFormat="1" applyFont="1" applyFill="1" applyBorder="1" applyAlignment="1" applyProtection="1">
      <alignment horizontal="center" vertical="center" wrapText="1"/>
      <protection locked="0"/>
    </xf>
    <xf numFmtId="0" fontId="149" fillId="8" borderId="5" xfId="0" applyFont="1" applyFill="1" applyBorder="1" applyAlignment="1" applyProtection="1">
      <alignment horizontal="center" vertical="center" wrapText="1"/>
      <protection locked="0"/>
    </xf>
    <xf numFmtId="0" fontId="149" fillId="8" borderId="64" xfId="0" applyFont="1" applyFill="1" applyBorder="1" applyAlignment="1" applyProtection="1">
      <alignment horizontal="center" vertical="center" wrapText="1"/>
      <protection locked="0"/>
    </xf>
    <xf numFmtId="0" fontId="149" fillId="8" borderId="1" xfId="0" applyFont="1" applyFill="1" applyBorder="1" applyAlignment="1" applyProtection="1">
      <alignment horizontal="center" vertical="center" wrapText="1"/>
      <protection locked="0"/>
    </xf>
    <xf numFmtId="0" fontId="149" fillId="8" borderId="42" xfId="0" applyFont="1" applyFill="1" applyBorder="1" applyAlignment="1" applyProtection="1">
      <alignment horizontal="center" vertical="center" wrapText="1"/>
      <protection locked="0"/>
    </xf>
    <xf numFmtId="9" fontId="149" fillId="8" borderId="64" xfId="0" applyNumberFormat="1" applyFont="1" applyFill="1" applyBorder="1" applyAlignment="1" applyProtection="1">
      <alignment horizontal="center" vertical="center" wrapText="1"/>
      <protection locked="0"/>
    </xf>
    <xf numFmtId="9" fontId="149" fillId="8" borderId="9" xfId="0" applyNumberFormat="1" applyFont="1" applyFill="1" applyBorder="1" applyAlignment="1" applyProtection="1">
      <alignment horizontal="center" vertical="center" wrapText="1"/>
      <protection locked="0"/>
    </xf>
    <xf numFmtId="9" fontId="149" fillId="8" borderId="11" xfId="0" applyNumberFormat="1" applyFont="1" applyFill="1" applyBorder="1" applyAlignment="1" applyProtection="1">
      <alignment horizontal="center" vertical="center" wrapText="1"/>
      <protection locked="0"/>
    </xf>
    <xf numFmtId="0" fontId="167" fillId="8" borderId="64" xfId="0" applyFont="1" applyFill="1" applyBorder="1" applyAlignment="1" applyProtection="1">
      <alignment horizontal="center" vertical="center" wrapText="1"/>
      <protection locked="0"/>
    </xf>
    <xf numFmtId="0" fontId="167" fillId="8" borderId="9" xfId="0" applyFont="1" applyFill="1" applyBorder="1" applyAlignment="1" applyProtection="1">
      <alignment horizontal="center" vertical="center" wrapText="1"/>
      <protection locked="0"/>
    </xf>
    <xf numFmtId="0" fontId="167" fillId="8" borderId="11" xfId="0" applyFont="1" applyFill="1" applyBorder="1" applyAlignment="1" applyProtection="1">
      <alignment horizontal="center" vertical="center" wrapText="1"/>
      <protection locked="0"/>
    </xf>
    <xf numFmtId="49" fontId="156" fillId="8" borderId="30" xfId="0" applyNumberFormat="1" applyFont="1" applyFill="1" applyBorder="1" applyAlignment="1" applyProtection="1">
      <alignment vertical="center"/>
    </xf>
    <xf numFmtId="0" fontId="156" fillId="8" borderId="59" xfId="0" applyFont="1" applyFill="1" applyBorder="1" applyAlignment="1" applyProtection="1">
      <alignment horizontal="right" vertical="center" wrapText="1"/>
    </xf>
    <xf numFmtId="0" fontId="156" fillId="8" borderId="30" xfId="0" applyFont="1" applyFill="1" applyBorder="1" applyAlignment="1" applyProtection="1">
      <alignment vertical="center" wrapText="1"/>
      <protection locked="0"/>
    </xf>
    <xf numFmtId="0" fontId="156" fillId="8" borderId="30" xfId="0" applyFont="1" applyFill="1" applyBorder="1" applyAlignment="1" applyProtection="1">
      <alignment vertical="center" wrapText="1"/>
    </xf>
    <xf numFmtId="0" fontId="156" fillId="8" borderId="59" xfId="0" applyFont="1" applyFill="1" applyBorder="1" applyAlignment="1" applyProtection="1">
      <alignment vertical="center" wrapText="1"/>
      <protection locked="0"/>
    </xf>
    <xf numFmtId="49" fontId="156" fillId="8" borderId="56" xfId="0" applyNumberFormat="1" applyFont="1" applyFill="1" applyBorder="1" applyAlignment="1" applyProtection="1">
      <alignment vertical="center"/>
    </xf>
    <xf numFmtId="0" fontId="156" fillId="8" borderId="60" xfId="0" applyFont="1" applyFill="1" applyBorder="1" applyAlignment="1" applyProtection="1">
      <alignment vertical="center" wrapText="1"/>
    </xf>
    <xf numFmtId="0" fontId="156" fillId="8" borderId="48" xfId="0" applyFont="1" applyFill="1" applyBorder="1" applyAlignment="1" applyProtection="1">
      <alignment vertical="center" wrapText="1"/>
    </xf>
    <xf numFmtId="0" fontId="156" fillId="8" borderId="56" xfId="0" applyFont="1" applyFill="1" applyBorder="1" applyAlignment="1" applyProtection="1">
      <alignment vertical="center" wrapText="1"/>
    </xf>
    <xf numFmtId="49" fontId="156" fillId="8" borderId="66" xfId="0" applyNumberFormat="1" applyFont="1" applyFill="1" applyBorder="1" applyAlignment="1" applyProtection="1">
      <alignment vertical="center"/>
      <protection locked="0"/>
    </xf>
    <xf numFmtId="0" fontId="282" fillId="8" borderId="4" xfId="0" applyFont="1" applyFill="1" applyBorder="1" applyAlignment="1" applyProtection="1">
      <alignment vertical="center"/>
    </xf>
    <xf numFmtId="0" fontId="282" fillId="8" borderId="14" xfId="0" applyFont="1" applyFill="1" applyBorder="1" applyAlignment="1" applyProtection="1">
      <alignment horizontal="right" vertical="center"/>
    </xf>
    <xf numFmtId="0" fontId="282" fillId="8" borderId="0" xfId="0" applyFont="1" applyFill="1" applyAlignment="1" applyProtection="1">
      <alignment horizontal="center" vertical="center"/>
    </xf>
    <xf numFmtId="0" fontId="285" fillId="8" borderId="14" xfId="0" applyFont="1" applyFill="1" applyBorder="1" applyAlignment="1" applyProtection="1">
      <alignment vertical="center"/>
      <protection locked="0"/>
    </xf>
    <xf numFmtId="0" fontId="282" fillId="8" borderId="14" xfId="0" applyFont="1" applyFill="1" applyBorder="1" applyAlignment="1" applyProtection="1">
      <alignment vertical="center"/>
    </xf>
    <xf numFmtId="0" fontId="154" fillId="8" borderId="2" xfId="0" applyFont="1" applyFill="1" applyBorder="1" applyAlignment="1" applyProtection="1">
      <alignment horizontal="right" vertical="center"/>
    </xf>
    <xf numFmtId="0" fontId="154" fillId="8" borderId="10" xfId="2" applyFont="1" applyFill="1" applyBorder="1" applyAlignment="1" applyProtection="1">
      <alignment vertical="center"/>
    </xf>
    <xf numFmtId="0" fontId="154" fillId="8" borderId="10" xfId="0" applyFont="1" applyFill="1" applyBorder="1" applyAlignment="1" applyProtection="1">
      <alignment horizontal="center" vertical="center"/>
    </xf>
    <xf numFmtId="0" fontId="154" fillId="8" borderId="10" xfId="0" applyFont="1" applyFill="1" applyBorder="1" applyAlignment="1" applyProtection="1">
      <alignment horizontal="right" vertical="center"/>
    </xf>
    <xf numFmtId="0" fontId="156" fillId="8" borderId="54" xfId="0" applyFont="1" applyFill="1" applyBorder="1" applyAlignment="1" applyProtection="1">
      <alignment vertical="center" wrapText="1"/>
    </xf>
    <xf numFmtId="0" fontId="156" fillId="8" borderId="63" xfId="0" applyFont="1" applyFill="1" applyBorder="1" applyAlignment="1" applyProtection="1">
      <alignment horizontal="left" vertical="center" wrapText="1"/>
      <protection locked="0"/>
    </xf>
    <xf numFmtId="0" fontId="149" fillId="8" borderId="63" xfId="0" applyFont="1" applyFill="1" applyBorder="1" applyAlignment="1" applyProtection="1">
      <alignment horizontal="center" vertical="center" wrapText="1"/>
    </xf>
    <xf numFmtId="0" fontId="149" fillId="8" borderId="8" xfId="0" applyFont="1" applyFill="1" applyBorder="1" applyAlignment="1" applyProtection="1">
      <alignment horizontal="center" vertical="center" wrapText="1"/>
      <protection locked="0"/>
    </xf>
    <xf numFmtId="0" fontId="156" fillId="8" borderId="66" xfId="0" applyFont="1" applyFill="1" applyBorder="1" applyAlignment="1" applyProtection="1">
      <alignment horizontal="left" vertical="center" wrapText="1"/>
      <protection locked="0"/>
    </xf>
    <xf numFmtId="0" fontId="149" fillId="8" borderId="60" xfId="0" applyFont="1" applyFill="1" applyBorder="1" applyAlignment="1" applyProtection="1">
      <alignment horizontal="center" vertical="center" wrapText="1"/>
      <protection locked="0"/>
    </xf>
    <xf numFmtId="0" fontId="149" fillId="8" borderId="46" xfId="0" applyFont="1" applyFill="1" applyBorder="1" applyAlignment="1" applyProtection="1">
      <alignment horizontal="center" vertical="center" wrapText="1"/>
    </xf>
    <xf numFmtId="49" fontId="149" fillId="8" borderId="58" xfId="0" applyNumberFormat="1" applyFont="1" applyFill="1" applyBorder="1" applyAlignment="1" applyProtection="1">
      <alignment horizontal="center" vertical="center" wrapText="1"/>
      <protection locked="0"/>
    </xf>
    <xf numFmtId="49" fontId="149" fillId="8" borderId="22" xfId="0" applyNumberFormat="1" applyFont="1" applyFill="1" applyBorder="1" applyAlignment="1" applyProtection="1">
      <alignment horizontal="center" vertical="center" wrapText="1"/>
    </xf>
    <xf numFmtId="0" fontId="168" fillId="8" borderId="53" xfId="0" applyFont="1" applyFill="1" applyBorder="1" applyAlignment="1" applyProtection="1">
      <alignment vertical="center" wrapText="1"/>
    </xf>
    <xf numFmtId="0" fontId="156" fillId="8" borderId="24" xfId="0" applyFont="1" applyFill="1" applyBorder="1" applyAlignment="1" applyProtection="1">
      <alignment vertical="center" textRotation="255" wrapText="1"/>
    </xf>
    <xf numFmtId="49" fontId="156" fillId="8" borderId="60" xfId="0" applyNumberFormat="1" applyFont="1" applyFill="1" applyBorder="1" applyAlignment="1" applyProtection="1">
      <alignment vertical="center"/>
    </xf>
    <xf numFmtId="49" fontId="156" fillId="8" borderId="54" xfId="0" applyNumberFormat="1" applyFont="1" applyFill="1" applyBorder="1" applyAlignment="1" applyProtection="1">
      <alignment vertical="center"/>
      <protection locked="0"/>
    </xf>
    <xf numFmtId="0" fontId="285" fillId="8" borderId="2" xfId="0" applyFont="1" applyFill="1" applyBorder="1" applyAlignment="1" applyProtection="1">
      <alignment horizontal="center" vertical="center"/>
      <protection locked="0"/>
    </xf>
    <xf numFmtId="0" fontId="167" fillId="8" borderId="1" xfId="0" applyFont="1" applyFill="1" applyBorder="1" applyAlignment="1" applyProtection="1">
      <alignment horizontal="center" vertical="center" wrapText="1"/>
      <protection locked="0"/>
    </xf>
    <xf numFmtId="49" fontId="167" fillId="8" borderId="11" xfId="0" applyNumberFormat="1" applyFont="1" applyFill="1" applyBorder="1" applyAlignment="1" applyProtection="1">
      <alignment horizontal="center" vertical="center" wrapText="1"/>
      <protection locked="0"/>
    </xf>
    <xf numFmtId="0" fontId="153" fillId="8" borderId="0" xfId="0" applyFont="1" applyFill="1" applyAlignment="1" applyProtection="1">
      <alignment horizontal="center" vertical="center"/>
      <protection locked="0"/>
    </xf>
    <xf numFmtId="0" fontId="149" fillId="8" borderId="2" xfId="0" applyFont="1" applyFill="1" applyBorder="1" applyAlignment="1" applyProtection="1">
      <alignment horizontal="center" vertical="center"/>
    </xf>
    <xf numFmtId="0" fontId="149" fillId="8" borderId="0" xfId="0" applyFont="1" applyFill="1" applyAlignment="1" applyProtection="1">
      <alignment horizontal="center" vertical="center"/>
      <protection locked="0"/>
    </xf>
    <xf numFmtId="0" fontId="145" fillId="8" borderId="0" xfId="0" applyFont="1" applyFill="1">
      <alignment vertical="center"/>
    </xf>
    <xf numFmtId="0" fontId="152" fillId="8" borderId="0" xfId="0" applyFont="1" applyFill="1" applyProtection="1">
      <alignment vertical="center"/>
      <protection locked="0"/>
    </xf>
    <xf numFmtId="0" fontId="149" fillId="8" borderId="2" xfId="0" applyFont="1" applyFill="1" applyBorder="1" applyProtection="1">
      <alignment vertical="center"/>
    </xf>
    <xf numFmtId="0" fontId="149" fillId="8" borderId="2" xfId="0" applyFont="1" applyFill="1" applyBorder="1" applyAlignment="1" applyProtection="1">
      <alignment horizontal="center" vertical="center" wrapText="1"/>
    </xf>
    <xf numFmtId="0" fontId="149" fillId="8" borderId="2" xfId="0" applyFont="1" applyFill="1" applyBorder="1" applyAlignment="1" applyProtection="1">
      <alignment horizontal="center" vertical="center"/>
      <protection locked="0"/>
    </xf>
    <xf numFmtId="0" fontId="149" fillId="8" borderId="2" xfId="0" applyFont="1" applyFill="1" applyBorder="1" applyAlignment="1" applyProtection="1">
      <alignment vertical="center"/>
    </xf>
    <xf numFmtId="179" fontId="149" fillId="8" borderId="2" xfId="0" applyNumberFormat="1" applyFont="1" applyFill="1" applyBorder="1" applyAlignment="1" applyProtection="1">
      <alignment horizontal="center" vertical="center"/>
    </xf>
    <xf numFmtId="179" fontId="156" fillId="8" borderId="2" xfId="0" applyNumberFormat="1" applyFont="1" applyFill="1" applyBorder="1" applyAlignment="1" applyProtection="1">
      <alignment vertical="center"/>
    </xf>
    <xf numFmtId="0" fontId="149" fillId="8" borderId="2" xfId="0" applyFont="1" applyFill="1" applyBorder="1" applyAlignment="1" applyProtection="1">
      <alignment horizontal="right" vertical="center"/>
    </xf>
    <xf numFmtId="0" fontId="152" fillId="8" borderId="2" xfId="0" applyFont="1" applyFill="1" applyBorder="1" applyProtection="1">
      <alignment vertical="center"/>
    </xf>
    <xf numFmtId="0" fontId="156" fillId="8" borderId="2" xfId="0" applyFont="1" applyFill="1" applyBorder="1" applyAlignment="1" applyProtection="1">
      <alignment vertical="center"/>
    </xf>
    <xf numFmtId="0" fontId="286" fillId="8" borderId="2" xfId="0" applyFont="1" applyFill="1" applyBorder="1" applyAlignment="1" applyProtection="1">
      <alignment horizontal="center" vertical="center"/>
    </xf>
    <xf numFmtId="0" fontId="152" fillId="8" borderId="2" xfId="0" applyFont="1" applyFill="1" applyBorder="1" applyAlignment="1" applyProtection="1">
      <alignment horizontal="right" vertical="center"/>
    </xf>
    <xf numFmtId="0" fontId="152" fillId="8" borderId="2" xfId="0" applyFont="1" applyFill="1" applyBorder="1" applyAlignment="1" applyProtection="1">
      <alignment horizontal="left" vertical="center"/>
    </xf>
    <xf numFmtId="0" fontId="145" fillId="8" borderId="2" xfId="0" applyFont="1" applyFill="1" applyBorder="1">
      <alignment vertical="center"/>
    </xf>
    <xf numFmtId="181" fontId="145" fillId="8" borderId="2" xfId="0" applyNumberFormat="1" applyFont="1" applyFill="1" applyBorder="1">
      <alignment vertical="center"/>
    </xf>
    <xf numFmtId="0" fontId="71" fillId="8" borderId="2" xfId="0" applyFont="1" applyFill="1" applyBorder="1" applyAlignment="1" applyProtection="1">
      <alignment vertical="center" wrapText="1"/>
    </xf>
    <xf numFmtId="0" fontId="75" fillId="8" borderId="2" xfId="0" applyFont="1" applyFill="1" applyBorder="1" applyAlignment="1" applyProtection="1">
      <alignment vertical="center"/>
    </xf>
    <xf numFmtId="0" fontId="75" fillId="8" borderId="2" xfId="0" applyFont="1" applyFill="1" applyBorder="1" applyAlignment="1" applyProtection="1">
      <alignment horizontal="left" vertical="center"/>
    </xf>
    <xf numFmtId="0" fontId="0" fillId="8" borderId="2" xfId="0" applyFill="1" applyBorder="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32" fillId="0" borderId="2" xfId="2"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0" borderId="2" xfId="0" applyFont="1" applyFill="1" applyBorder="1" applyAlignment="1">
      <alignment horizontal="left" vertical="center" wrapText="1"/>
    </xf>
    <xf numFmtId="0" fontId="32" fillId="0" borderId="10" xfId="0" applyFont="1" applyBorder="1" applyAlignment="1">
      <alignment horizontal="center" vertical="center"/>
    </xf>
    <xf numFmtId="0" fontId="32" fillId="0" borderId="3" xfId="0" applyFont="1" applyBorder="1" applyAlignment="1">
      <alignment horizontal="center" vertical="center"/>
    </xf>
    <xf numFmtId="0" fontId="32" fillId="0" borderId="21" xfId="0" applyFont="1" applyBorder="1" applyAlignment="1">
      <alignment horizontal="center" vertical="center"/>
    </xf>
    <xf numFmtId="0" fontId="32" fillId="8" borderId="10" xfId="2" applyFont="1" applyFill="1" applyBorder="1" applyAlignment="1" applyProtection="1">
      <alignment horizontal="center" vertical="center" wrapText="1"/>
      <protection locked="0"/>
    </xf>
    <xf numFmtId="0" fontId="32" fillId="8" borderId="3" xfId="2" applyFont="1" applyFill="1" applyBorder="1" applyAlignment="1" applyProtection="1">
      <alignment horizontal="center" vertical="center" wrapText="1"/>
      <protection locked="0"/>
    </xf>
    <xf numFmtId="0" fontId="32" fillId="8" borderId="21" xfId="2" applyFont="1" applyFill="1" applyBorder="1" applyAlignment="1" applyProtection="1">
      <alignment horizontal="center" vertical="center" wrapText="1"/>
      <protection locked="0"/>
    </xf>
    <xf numFmtId="0" fontId="32" fillId="0" borderId="10" xfId="2" applyFont="1" applyFill="1" applyBorder="1" applyAlignment="1" applyProtection="1">
      <alignment horizontal="center" vertical="center" wrapText="1"/>
      <protection locked="0"/>
    </xf>
    <xf numFmtId="0" fontId="32" fillId="0" borderId="21" xfId="2" applyFont="1" applyFill="1" applyBorder="1" applyAlignment="1" applyProtection="1">
      <alignment horizontal="center" vertical="center" wrapText="1"/>
      <protection locked="0"/>
    </xf>
    <xf numFmtId="0" fontId="32" fillId="8" borderId="5" xfId="2" applyFont="1" applyFill="1" applyBorder="1" applyAlignment="1" applyProtection="1">
      <alignment horizontal="center" vertical="center" wrapText="1"/>
      <protection locked="0"/>
    </xf>
    <xf numFmtId="0" fontId="32" fillId="8" borderId="9"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0" borderId="3" xfId="2" applyFont="1" applyFill="1" applyBorder="1" applyAlignment="1" applyProtection="1">
      <alignment horizontal="center" vertical="center" wrapText="1"/>
      <protection locked="0"/>
    </xf>
    <xf numFmtId="0" fontId="229" fillId="0" borderId="4" xfId="2" applyFont="1" applyFill="1" applyBorder="1" applyAlignment="1" applyProtection="1">
      <alignment horizontal="center" vertical="center" wrapText="1"/>
      <protection locked="0"/>
    </xf>
    <xf numFmtId="0" fontId="229" fillId="0" borderId="13" xfId="2" applyFont="1" applyFill="1" applyBorder="1" applyAlignment="1" applyProtection="1">
      <alignment horizontal="center" vertical="center" wrapText="1"/>
      <protection locked="0"/>
    </xf>
    <xf numFmtId="0" fontId="229" fillId="0" borderId="17" xfId="2" applyFont="1" applyFill="1" applyBorder="1" applyAlignment="1" applyProtection="1">
      <alignment horizontal="center" vertical="center" wrapText="1"/>
      <protection locked="0"/>
    </xf>
    <xf numFmtId="0" fontId="229" fillId="0" borderId="5" xfId="2" applyFont="1" applyFill="1" applyBorder="1" applyAlignment="1" applyProtection="1">
      <alignment horizontal="center" vertical="center" wrapText="1"/>
      <protection locked="0"/>
    </xf>
    <xf numFmtId="0" fontId="229" fillId="0" borderId="9" xfId="2" applyFont="1" applyFill="1" applyBorder="1" applyAlignment="1" applyProtection="1">
      <alignment horizontal="center" vertical="center" wrapText="1"/>
      <protection locked="0"/>
    </xf>
    <xf numFmtId="0" fontId="32" fillId="0" borderId="5" xfId="2" applyFont="1" applyFill="1" applyBorder="1" applyAlignment="1" applyProtection="1">
      <alignment horizontal="center" vertical="center" wrapText="1"/>
      <protection locked="0"/>
    </xf>
    <xf numFmtId="0" fontId="32" fillId="0" borderId="9" xfId="2" applyFont="1" applyFill="1" applyBorder="1" applyAlignment="1" applyProtection="1">
      <alignment horizontal="center" vertical="center" wrapText="1"/>
      <protection locked="0"/>
    </xf>
    <xf numFmtId="0" fontId="32" fillId="21" borderId="2" xfId="2" applyFont="1" applyFill="1" applyBorder="1" applyAlignment="1" applyProtection="1">
      <alignment horizontal="center" vertical="center" wrapText="1"/>
      <protection locked="0"/>
    </xf>
    <xf numFmtId="0" fontId="32" fillId="0" borderId="10" xfId="2" applyFont="1" applyFill="1" applyBorder="1" applyAlignment="1">
      <alignment horizontal="center" vertical="center" wrapText="1"/>
    </xf>
    <xf numFmtId="0" fontId="32" fillId="0" borderId="21" xfId="2" applyFont="1" applyFill="1" applyBorder="1" applyAlignment="1">
      <alignment horizontal="center" vertical="center" wrapText="1"/>
    </xf>
    <xf numFmtId="0" fontId="32" fillId="21" borderId="10" xfId="2" applyFont="1" applyFill="1" applyBorder="1" applyAlignment="1" applyProtection="1">
      <alignment horizontal="center" vertical="center" wrapText="1"/>
      <protection locked="0"/>
    </xf>
    <xf numFmtId="0" fontId="32" fillId="21" borderId="21"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1" borderId="3" xfId="2" applyFont="1" applyFill="1" applyBorder="1" applyAlignment="1" applyProtection="1">
      <alignment horizontal="center" vertical="center" wrapText="1"/>
      <protection locked="0"/>
    </xf>
    <xf numFmtId="0" fontId="32" fillId="20" borderId="10" xfId="2" applyFont="1" applyFill="1" applyBorder="1" applyAlignment="1" applyProtection="1">
      <alignment horizontal="center" vertical="center" wrapText="1"/>
      <protection locked="0"/>
    </xf>
    <xf numFmtId="0" fontId="32" fillId="20" borderId="21" xfId="2" applyFont="1" applyFill="1" applyBorder="1" applyAlignment="1" applyProtection="1">
      <alignment horizontal="center" vertical="center" wrapText="1"/>
      <protection locked="0"/>
    </xf>
    <xf numFmtId="0" fontId="32" fillId="20" borderId="3" xfId="2" applyFont="1" applyFill="1" applyBorder="1" applyAlignment="1" applyProtection="1">
      <alignment horizontal="center" vertical="center" wrapText="1"/>
      <protection locked="0"/>
    </xf>
    <xf numFmtId="0" fontId="32" fillId="19" borderId="10" xfId="2" applyFont="1" applyFill="1" applyBorder="1" applyAlignment="1" applyProtection="1">
      <alignment horizontal="center" vertical="center" wrapText="1"/>
      <protection locked="0"/>
    </xf>
    <xf numFmtId="0" fontId="32" fillId="19" borderId="21" xfId="2" applyFont="1" applyFill="1" applyBorder="1" applyAlignment="1" applyProtection="1">
      <alignment horizontal="center" vertical="center" wrapText="1"/>
      <protection locked="0"/>
    </xf>
    <xf numFmtId="0" fontId="32" fillId="19" borderId="2" xfId="2" applyFont="1" applyFill="1" applyBorder="1" applyAlignment="1" applyProtection="1">
      <alignment horizontal="center" vertical="center" wrapText="1"/>
      <protection locked="0"/>
    </xf>
    <xf numFmtId="0" fontId="32" fillId="20" borderId="10" xfId="2" applyFont="1" applyFill="1" applyBorder="1" applyAlignment="1">
      <alignment horizontal="center" vertical="center" wrapText="1"/>
    </xf>
    <xf numFmtId="0" fontId="32" fillId="20" borderId="21" xfId="2" applyFont="1" applyFill="1" applyBorder="1" applyAlignment="1">
      <alignment horizontal="center" vertical="center" wrapText="1"/>
    </xf>
    <xf numFmtId="0" fontId="32" fillId="19" borderId="10" xfId="2" applyFont="1" applyFill="1" applyBorder="1" applyAlignment="1">
      <alignment horizontal="center" vertical="center" wrapText="1"/>
    </xf>
    <xf numFmtId="0" fontId="32" fillId="19" borderId="3" xfId="2" applyFont="1" applyFill="1" applyBorder="1" applyAlignment="1">
      <alignment horizontal="center" vertical="center" wrapText="1"/>
    </xf>
    <xf numFmtId="0" fontId="32" fillId="19" borderId="21" xfId="2" applyFont="1" applyFill="1" applyBorder="1" applyAlignment="1">
      <alignment horizontal="center" vertical="center" wrapText="1"/>
    </xf>
    <xf numFmtId="0" fontId="229" fillId="8" borderId="10" xfId="2" applyFont="1" applyFill="1" applyBorder="1" applyAlignment="1" applyProtection="1">
      <alignment horizontal="center" vertical="center" wrapText="1"/>
      <protection locked="0"/>
    </xf>
    <xf numFmtId="0" fontId="229" fillId="8" borderId="3" xfId="2" applyFont="1" applyFill="1" applyBorder="1" applyAlignment="1" applyProtection="1">
      <alignment horizontal="center" vertical="center" wrapText="1"/>
      <protection locked="0"/>
    </xf>
    <xf numFmtId="0" fontId="229" fillId="8" borderId="21" xfId="2" applyFont="1" applyFill="1" applyBorder="1" applyAlignment="1" applyProtection="1">
      <alignment horizontal="center" vertical="center" wrapText="1"/>
      <protection locked="0"/>
    </xf>
    <xf numFmtId="0" fontId="32" fillId="19" borderId="3" xfId="2" applyFont="1" applyFill="1" applyBorder="1" applyAlignment="1" applyProtection="1">
      <alignment horizontal="center" vertical="center" wrapText="1"/>
      <protection locked="0"/>
    </xf>
    <xf numFmtId="0" fontId="32" fillId="0" borderId="3" xfId="2" applyFont="1" applyFill="1" applyBorder="1" applyAlignment="1">
      <alignment horizontal="center" vertical="center" wrapText="1"/>
    </xf>
    <xf numFmtId="0" fontId="32" fillId="0" borderId="2" xfId="2" applyFont="1" applyFill="1" applyBorder="1" applyAlignment="1">
      <alignment horizontal="center" vertical="center" wrapText="1"/>
    </xf>
    <xf numFmtId="0" fontId="274" fillId="0" borderId="2" xfId="0" applyFont="1" applyFill="1" applyBorder="1" applyAlignment="1">
      <alignment horizontal="center" vertical="center"/>
    </xf>
    <xf numFmtId="0" fontId="229" fillId="8" borderId="2" xfId="0" applyFont="1" applyFill="1" applyBorder="1" applyAlignment="1">
      <alignment horizontal="center" vertical="center" wrapText="1"/>
    </xf>
    <xf numFmtId="0" fontId="229" fillId="0" borderId="2" xfId="0" applyFont="1" applyFill="1" applyBorder="1" applyAlignment="1">
      <alignment horizontal="center" vertical="center" wrapText="1"/>
    </xf>
    <xf numFmtId="0" fontId="229" fillId="17" borderId="2" xfId="0" applyFont="1" applyFill="1" applyBorder="1" applyAlignment="1">
      <alignment horizontal="center" vertical="center" wrapText="1"/>
    </xf>
    <xf numFmtId="0" fontId="281" fillId="0" borderId="36" xfId="0" applyFont="1" applyBorder="1" applyAlignment="1">
      <alignment horizontal="center" vertical="center" wrapText="1"/>
    </xf>
    <xf numFmtId="0" fontId="281" fillId="0" borderId="38" xfId="0" applyFont="1" applyBorder="1" applyAlignment="1">
      <alignment horizontal="center" vertical="center" wrapText="1"/>
    </xf>
    <xf numFmtId="0" fontId="281" fillId="0" borderId="35" xfId="0" applyFont="1" applyBorder="1" applyAlignment="1">
      <alignment horizontal="center" vertical="center" wrapText="1"/>
    </xf>
    <xf numFmtId="0" fontId="281" fillId="0" borderId="80" xfId="0" applyFont="1" applyBorder="1" applyAlignment="1">
      <alignment horizontal="center" vertical="center" wrapText="1"/>
    </xf>
    <xf numFmtId="0" fontId="281" fillId="0" borderId="79" xfId="0" applyFont="1" applyBorder="1" applyAlignment="1">
      <alignment horizontal="center" vertical="center" wrapText="1"/>
    </xf>
    <xf numFmtId="0" fontId="281" fillId="0" borderId="155" xfId="0" applyFont="1" applyBorder="1" applyAlignment="1">
      <alignment horizontal="center" vertical="center" wrapText="1"/>
    </xf>
    <xf numFmtId="0" fontId="281" fillId="0" borderId="36" xfId="0" applyFont="1" applyBorder="1" applyAlignment="1">
      <alignment horizontal="left" vertical="center" wrapText="1"/>
    </xf>
    <xf numFmtId="0" fontId="281" fillId="0" borderId="37" xfId="0" applyFont="1" applyBorder="1" applyAlignment="1">
      <alignment horizontal="left" vertical="center" wrapText="1"/>
    </xf>
    <xf numFmtId="0" fontId="281" fillId="0" borderId="38" xfId="0" applyFont="1" applyBorder="1" applyAlignment="1">
      <alignment horizontal="left" vertical="center" wrapText="1"/>
    </xf>
    <xf numFmtId="0" fontId="281" fillId="0" borderId="36" xfId="0" applyFont="1" applyBorder="1" applyAlignment="1">
      <alignment horizontal="right" vertical="center"/>
    </xf>
    <xf numFmtId="0" fontId="281" fillId="0" borderId="37" xfId="0" applyFont="1" applyBorder="1" applyAlignment="1">
      <alignment horizontal="right" vertical="center"/>
    </xf>
    <xf numFmtId="0" fontId="281" fillId="0" borderId="38" xfId="0" applyFont="1" applyBorder="1" applyAlignment="1">
      <alignment horizontal="righ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149" fillId="8" borderId="1" xfId="0" applyFont="1" applyFill="1" applyBorder="1" applyAlignment="1" applyProtection="1">
      <alignment horizontal="center" vertical="center" wrapText="1"/>
    </xf>
    <xf numFmtId="0" fontId="149" fillId="8" borderId="7" xfId="0" applyFont="1" applyFill="1" applyBorder="1" applyAlignment="1" applyProtection="1">
      <alignment horizontal="center" vertical="center" wrapText="1"/>
    </xf>
    <xf numFmtId="0" fontId="149" fillId="8" borderId="42" xfId="0" applyFont="1" applyFill="1" applyBorder="1" applyAlignment="1" applyProtection="1">
      <alignment horizontal="center" vertical="center" wrapText="1"/>
    </xf>
    <xf numFmtId="0" fontId="149" fillId="8" borderId="29" xfId="0" applyFont="1" applyFill="1" applyBorder="1" applyAlignment="1" applyProtection="1">
      <alignment horizontal="center" vertical="center" wrapText="1"/>
    </xf>
    <xf numFmtId="0" fontId="149" fillId="8" borderId="11" xfId="0" applyFont="1" applyFill="1" applyBorder="1" applyAlignment="1" applyProtection="1">
      <alignment horizontal="center" vertical="center" wrapText="1"/>
      <protection locked="0"/>
    </xf>
    <xf numFmtId="0" fontId="149" fillId="8" borderId="12" xfId="0" applyFont="1" applyFill="1" applyBorder="1" applyAlignment="1" applyProtection="1">
      <alignment horizontal="center" vertical="center" wrapText="1"/>
      <protection locked="0"/>
    </xf>
    <xf numFmtId="0" fontId="160" fillId="8" borderId="9" xfId="0" applyFont="1" applyFill="1" applyBorder="1" applyAlignment="1" applyProtection="1">
      <alignment horizontal="center" vertical="center" wrapText="1"/>
      <protection locked="0"/>
    </xf>
    <xf numFmtId="0" fontId="149" fillId="8" borderId="5" xfId="0" applyFont="1" applyFill="1" applyBorder="1" applyAlignment="1" applyProtection="1">
      <alignment horizontal="center" vertical="center" wrapText="1"/>
      <protection locked="0"/>
    </xf>
    <xf numFmtId="0" fontId="160" fillId="8" borderId="11" xfId="0" applyFont="1" applyFill="1" applyBorder="1" applyAlignment="1" applyProtection="1">
      <alignment horizontal="center" vertical="center" wrapText="1"/>
      <protection locked="0"/>
    </xf>
    <xf numFmtId="0" fontId="149" fillId="8" borderId="22" xfId="0" applyFont="1" applyFill="1" applyBorder="1" applyAlignment="1" applyProtection="1">
      <alignment horizontal="center" vertical="center" wrapText="1"/>
      <protection locked="0"/>
    </xf>
    <xf numFmtId="0" fontId="149" fillId="8" borderId="25" xfId="0" applyFont="1" applyFill="1" applyBorder="1" applyAlignment="1" applyProtection="1">
      <alignment horizontal="center" vertical="center" wrapText="1"/>
      <protection locked="0"/>
    </xf>
    <xf numFmtId="0" fontId="149" fillId="8" borderId="32" xfId="0" applyFont="1" applyFill="1" applyBorder="1" applyAlignment="1" applyProtection="1">
      <alignment horizontal="center" vertical="center" wrapText="1"/>
      <protection locked="0"/>
    </xf>
    <xf numFmtId="0" fontId="149" fillId="8" borderId="4" xfId="0" applyFont="1" applyFill="1" applyBorder="1" applyAlignment="1" applyProtection="1">
      <alignment horizontal="center" vertical="center" wrapText="1"/>
      <protection locked="0"/>
    </xf>
    <xf numFmtId="0" fontId="152" fillId="8" borderId="2" xfId="0" applyFont="1" applyFill="1" applyBorder="1" applyAlignment="1" applyProtection="1">
      <alignment horizontal="center" vertical="center" wrapText="1"/>
    </xf>
    <xf numFmtId="0" fontId="76" fillId="8" borderId="87" xfId="0" applyFont="1" applyFill="1" applyBorder="1" applyAlignment="1" applyProtection="1">
      <alignment horizontal="center" vertical="center"/>
    </xf>
    <xf numFmtId="0" fontId="76" fillId="8" borderId="19" xfId="0"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1065757</xdr:colOff>
      <xdr:row>63</xdr:row>
      <xdr:rowOff>18277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29150"/>
          <a:ext cx="8352382" cy="61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19968;&#23457;/&#19968;&#23457;-&#29579;&#36229;&#23731;20190708-152851/&#19968;&#23457;/&#27915;&#20108;44&#20137;&#8212;&#30005;&#31639;&#34920;222-&#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 (车库)</v>
          </cell>
        </row>
        <row r="21">
          <cell r="A21" t="str">
            <v>戊类库房</v>
          </cell>
          <cell r="B21" t="str">
            <v>不动产比较法-（商业)</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9">
          <cell r="C19" t="str">
            <v>住宅</v>
          </cell>
          <cell r="E19">
            <v>39708.480000000003</v>
          </cell>
        </row>
        <row r="20">
          <cell r="C20" t="str">
            <v>商业</v>
          </cell>
          <cell r="E20">
            <v>5129.95</v>
          </cell>
        </row>
        <row r="21">
          <cell r="C21" t="str">
            <v>车库</v>
          </cell>
          <cell r="E21">
            <v>16584.39</v>
          </cell>
        </row>
        <row r="22">
          <cell r="E22">
            <v>0</v>
          </cell>
        </row>
        <row r="23">
          <cell r="E23">
            <v>0</v>
          </cell>
        </row>
        <row r="24">
          <cell r="E24">
            <v>0</v>
          </cell>
        </row>
        <row r="25">
          <cell r="E25">
            <v>0</v>
          </cell>
        </row>
        <row r="26">
          <cell r="E26">
            <v>0</v>
          </cell>
        </row>
        <row r="27">
          <cell r="C27" t="str">
            <v>小计</v>
          </cell>
          <cell r="E27">
            <v>61422.82</v>
          </cell>
        </row>
        <row r="28">
          <cell r="C28" t="str">
            <v>设备及其他</v>
          </cell>
          <cell r="E28">
            <v>468.41</v>
          </cell>
        </row>
        <row r="29">
          <cell r="C29" t="str">
            <v>公共配套及物业（住宅）</v>
          </cell>
          <cell r="E29">
            <v>0</v>
          </cell>
        </row>
        <row r="30">
          <cell r="C30" t="str">
            <v>小计</v>
          </cell>
          <cell r="E30">
            <v>468.41</v>
          </cell>
        </row>
        <row r="31">
          <cell r="C31" t="str">
            <v>总计</v>
          </cell>
          <cell r="E31">
            <v>61891.23</v>
          </cell>
        </row>
        <row r="32">
          <cell r="E32">
            <v>39708.480000000003</v>
          </cell>
        </row>
      </sheetData>
      <sheetData sheetId="15">
        <row r="2">
          <cell r="B2">
            <v>43647</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周边居住氛围一遍，有潼南天地、卓然铂金公馆等住宅小区，居住社区成熟度较好</v>
          </cell>
        </row>
        <row r="6">
          <cell r="C6" t="str">
            <v>周边道路密集程度一般、公共交通通达情况一般，有107路，203路、等公交线路通过，停车便捷程度一般，综合评价交通便捷度一般。</v>
          </cell>
        </row>
        <row r="7">
          <cell r="C7" t="str">
            <v>所在区域2公里范围内有银行（中国邮政储蓄银行）、学校（巴川中学）、商业（无）、医院（无）等配套设施，公共配套设施一般；</v>
          </cell>
        </row>
        <row r="8">
          <cell r="C8" t="str">
            <v>所在区域基础设施水平达六通</v>
          </cell>
        </row>
        <row r="9">
          <cell r="C9" t="str">
            <v>周边自然环境（项目内部天鹅湖）；人文环境（潼南区图书馆），综合评价环境状况较好；</v>
          </cell>
        </row>
      </sheetData>
      <sheetData sheetId="17"/>
      <sheetData sheetId="18"/>
      <sheetData sheetId="19">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一般</v>
          </cell>
        </row>
        <row r="123">
          <cell r="B123" t="str">
            <v>临街宽度及深度</v>
          </cell>
          <cell r="C123" t="str">
            <v>较适宜</v>
          </cell>
        </row>
        <row r="125">
          <cell r="B125" t="str">
            <v>宗地开发程度</v>
          </cell>
          <cell r="C125" t="str">
            <v>六通</v>
          </cell>
          <cell r="D125" t="str">
            <v>五通</v>
          </cell>
        </row>
        <row r="127">
          <cell r="B127" t="str">
            <v>工程地质条件</v>
          </cell>
          <cell r="C127" t="str">
            <v>较好</v>
          </cell>
        </row>
      </sheetData>
      <sheetData sheetId="20"/>
      <sheetData sheetId="21"/>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2654</v>
      </c>
      <c r="B1" s="2846" t="s">
        <v>2751</v>
      </c>
    </row>
    <row r="2" spans="1:55" s="2850" customFormat="1" ht="15" thickTop="1">
      <c r="A2" s="2848" t="s">
        <v>2658</v>
      </c>
      <c r="B2" s="2849" t="str">
        <f>'预评函-封皮'!B37</f>
        <v>出让国有建设用地使用权抵押价格预评估</v>
      </c>
      <c r="AX2" s="2851"/>
      <c r="AZ2" s="2851"/>
      <c r="BA2" s="2852"/>
      <c r="BC2" s="2852"/>
    </row>
    <row r="3" spans="1:55" s="2853" customFormat="1">
      <c r="A3" s="2832" t="s">
        <v>2659</v>
      </c>
      <c r="B3" s="2835">
        <f>'预评函-封皮'!B40</f>
        <v>0</v>
      </c>
    </row>
    <row r="4" spans="1:55" s="2834" customFormat="1">
      <c r="A4" s="2832" t="s">
        <v>2660</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2661</v>
      </c>
      <c r="B5" s="2855" t="str">
        <f>'预评函-封皮'!B49</f>
        <v>康正预评字号</v>
      </c>
    </row>
    <row r="6" spans="1:55" s="2856" customFormat="1" ht="15" thickTop="1">
      <c r="A6" s="2848" t="s">
        <v>2703</v>
      </c>
      <c r="B6" s="2849" t="str">
        <f>'预评函-1'!A4</f>
        <v>受贵公司委托，我公司对出让国有建设用地使用权抵押价格进行了预评估。</v>
      </c>
      <c r="AM6" s="2857"/>
    </row>
    <row r="7" spans="1:55" s="2831" customFormat="1">
      <c r="A7" s="2832" t="s">
        <v>2655</v>
      </c>
      <c r="B7" s="2833" t="str">
        <f>'预评函-1'!A6</f>
        <v>估价对象为使用的、位于出让国有建设用地使用权。根据《国有土地使用证》[]，估价对象（分摊）出让国有建设用地使用权面积为55432.25平方米。根据《建设工程规划许可证》[]、《出让合同》[]，估价对象规划建筑面积为67713.23平方米。</v>
      </c>
    </row>
    <row r="8" spans="1:55" s="2831" customFormat="1">
      <c r="A8" s="2832" t="s">
        <v>2656</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2706</v>
      </c>
      <c r="B9" s="2833"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2657</v>
      </c>
      <c r="B10" s="2833" t="str">
        <f>'预评函-1'!A11</f>
        <v>2019年7月1日（评估专业人员勘察现场之日）</v>
      </c>
    </row>
    <row r="11" spans="1:55" s="2831" customFormat="1">
      <c r="A11" s="2832" t="s">
        <v>2663</v>
      </c>
      <c r="B11" s="2833" t="str">
        <f>'预评函-1'!A14</f>
        <v>根据《国有土地使用证》[]，本次评估估价对象证载（地类）用途为。</v>
      </c>
    </row>
    <row r="12" spans="1:55" s="2831" customFormat="1">
      <c r="A12" s="2832" t="s">
        <v>2664</v>
      </c>
      <c r="B12" s="2833" t="str">
        <f>'预评函-1'!A15</f>
        <v>本次评估设定用途即为证载用途。</v>
      </c>
    </row>
    <row r="13" spans="1:55" s="2831" customFormat="1">
      <c r="A13" s="2832" t="s">
        <v>2665</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2666</v>
      </c>
      <c r="B14" s="2833" t="str">
        <f>'预评函-1'!A18</f>
        <v>。本次评估设定土地开发程度为红线外市政基础设施达“七通”、宗地红线内场地平整。</v>
      </c>
    </row>
    <row r="15" spans="1:55" s="2831" customFormat="1">
      <c r="A15" s="2832" t="s">
        <v>2662</v>
      </c>
      <c r="B15" s="2833" t="str">
        <f>'预评函-1'!A20</f>
        <v>根据《国有土地使用证》[]，估价对象（分摊）出让国有建设用地使用权面积为55432.25平方米。根据《建设工程规划许可证》[]、《出让合同》[]，估价对象规划建筑面积为67713.23平方米。</v>
      </c>
    </row>
    <row r="16" spans="1:55" s="2831" customFormat="1">
      <c r="A16" s="2832" t="s">
        <v>2667</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2063年12月30日、商业2053年12月30日地下车库2053年12月30日。截至估价期日，出让国有建设用地使用权剩余土地使用年限为。</v>
      </c>
    </row>
    <row r="17" spans="1:48" s="2831" customFormat="1">
      <c r="A17" s="2832" t="s">
        <v>2668</v>
      </c>
      <c r="B17" s="2833" t="str">
        <f>'预评函-1'!A23</f>
        <v>本次评估设定估价对象剩余土地使用年限为。</v>
      </c>
    </row>
    <row r="18" spans="1:48" s="2831" customFormat="1">
      <c r="A18" s="2832" t="s">
        <v>2669</v>
      </c>
      <c r="B18" s="2833" t="str">
        <f>'预评函-1'!A25</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19" spans="1:48" s="2831" customFormat="1">
      <c r="A19" s="2832" t="s">
        <v>2670</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2671</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2672</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2673</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2674</v>
      </c>
      <c r="B23" s="2833" t="str">
        <f>'预评函-2'!K2</f>
        <v>估价期日：2019年7月1日</v>
      </c>
    </row>
    <row r="24" spans="1:48">
      <c r="A24" s="2832" t="s">
        <v>2675</v>
      </c>
      <c r="B24" s="2833" t="str">
        <f>'预评函-2'!R2</f>
        <v>估价期日的国有建设用地使用权性质：出让</v>
      </c>
    </row>
    <row r="25" spans="1:48">
      <c r="A25" s="2832" t="s">
        <v>2731</v>
      </c>
      <c r="B25" s="2833" t="str">
        <f>'预评函-2'!A3</f>
        <v>估价期日土地使用者</v>
      </c>
    </row>
    <row r="26" spans="1:48">
      <c r="A26" s="2832" t="s">
        <v>2707</v>
      </c>
      <c r="B26" s="2833" t="str">
        <f>'预评函-2'!A5</f>
        <v>中信开发</v>
      </c>
    </row>
    <row r="27" spans="1:48">
      <c r="A27" s="2832" t="s">
        <v>2732</v>
      </c>
      <c r="B27" s="2833" t="str">
        <f>'预评函-2'!B3</f>
        <v>宗地编号/不动产单元号</v>
      </c>
    </row>
    <row r="28" spans="1:48">
      <c r="A28" s="2832" t="s">
        <v>2708</v>
      </c>
      <c r="B28" s="2833" t="str">
        <f>'预评函-2'!B5</f>
        <v>11111111111</v>
      </c>
    </row>
    <row r="29" spans="1:48">
      <c r="A29" s="2832" t="s">
        <v>2734</v>
      </c>
      <c r="B29" s="2833">
        <f>'预评函-2'!C5</f>
        <v>22</v>
      </c>
    </row>
    <row r="30" spans="1:48">
      <c r="A30" s="2832" t="s">
        <v>2735</v>
      </c>
      <c r="B30" s="2833" t="str">
        <f>'预评函-2'!D3</f>
        <v>土地使用证编号/不动产权证书编号</v>
      </c>
    </row>
    <row r="31" spans="1:48">
      <c r="A31" s="2832" t="s">
        <v>2709</v>
      </c>
      <c r="B31" s="2833" t="str">
        <f>'预评函-2'!D5</f>
        <v>京国土字第111号</v>
      </c>
    </row>
    <row r="32" spans="1:48">
      <c r="A32" s="2832" t="s">
        <v>2710</v>
      </c>
      <c r="B32" s="2833">
        <f>'预评函-2'!E5</f>
        <v>0</v>
      </c>
      <c r="AV32" s="2837"/>
    </row>
    <row r="33" spans="1:2">
      <c r="A33" s="2832" t="s">
        <v>2711</v>
      </c>
      <c r="B33" s="2833">
        <f>'预评函-2'!F5</f>
        <v>258</v>
      </c>
    </row>
    <row r="34" spans="1:2">
      <c r="A34" s="2832" t="s">
        <v>2712</v>
      </c>
      <c r="B34" s="2833">
        <f>'预评函-2'!G5</f>
        <v>0</v>
      </c>
    </row>
    <row r="35" spans="1:2">
      <c r="A35" s="2832" t="s">
        <v>2713</v>
      </c>
      <c r="B35" s="2833">
        <f>'预评函-2'!H5</f>
        <v>1.5</v>
      </c>
    </row>
    <row r="36" spans="1:2">
      <c r="A36" s="2832" t="s">
        <v>2714</v>
      </c>
      <c r="B36" s="2833">
        <f>'预评函-2'!I5</f>
        <v>1.5</v>
      </c>
    </row>
    <row r="37" spans="1:2">
      <c r="A37" s="2832" t="s">
        <v>2715</v>
      </c>
      <c r="B37" s="2833">
        <f>'预评函-2'!J5</f>
        <v>1.5</v>
      </c>
    </row>
    <row r="38" spans="1:2">
      <c r="A38" s="2832" t="s">
        <v>2716</v>
      </c>
      <c r="B38" s="2833" t="str">
        <f>'预评函-2'!K5</f>
        <v>红线外七通、宗地红线内</v>
      </c>
    </row>
    <row r="39" spans="1:2">
      <c r="A39" s="2832" t="s">
        <v>2717</v>
      </c>
      <c r="B39" s="2833" t="str">
        <f>'预评函-2'!L5</f>
        <v>红线外七通、宗地红线内场地</v>
      </c>
    </row>
    <row r="40" spans="1:2">
      <c r="A40" s="2832" t="s">
        <v>2736</v>
      </c>
      <c r="B40" s="2833" t="str">
        <f>'预评函-2'!M3</f>
        <v>（剩余）土地使用年限/年</v>
      </c>
    </row>
    <row r="41" spans="1:2">
      <c r="A41" s="2832" t="s">
        <v>2718</v>
      </c>
      <c r="B41" s="2833">
        <f>'预评函-2'!M5</f>
        <v>0</v>
      </c>
    </row>
    <row r="42" spans="1:2">
      <c r="A42" s="2832" t="s">
        <v>2737</v>
      </c>
      <c r="B42" s="2833" t="str">
        <f>'预评函-2'!N3</f>
        <v>（分摊）出让国有建设用地使用权面积/㎡</v>
      </c>
    </row>
    <row r="43" spans="1:2">
      <c r="A43" s="2832" t="s">
        <v>2719</v>
      </c>
      <c r="B43" s="2833">
        <f>'预评函-2'!N5</f>
        <v>55432.25</v>
      </c>
    </row>
    <row r="44" spans="1:2">
      <c r="A44" s="2832" t="s">
        <v>2738</v>
      </c>
      <c r="B44" s="2833" t="str">
        <f>'预评函-2'!O3</f>
        <v>规划建筑面积/㎡</v>
      </c>
    </row>
    <row r="45" spans="1:2">
      <c r="A45" s="2832" t="s">
        <v>2720</v>
      </c>
      <c r="B45" s="2833">
        <f>'预评函-2'!O5</f>
        <v>67713.23</v>
      </c>
    </row>
    <row r="46" spans="1:2">
      <c r="A46" s="2832" t="s">
        <v>2721</v>
      </c>
      <c r="B46" s="2833">
        <f ca="1">'预评函-2'!P5</f>
        <v>1720</v>
      </c>
    </row>
    <row r="47" spans="1:2">
      <c r="A47" s="2832" t="s">
        <v>2722</v>
      </c>
      <c r="B47" s="2833">
        <f ca="1">'预评函-2'!Q5</f>
        <v>1408</v>
      </c>
    </row>
    <row r="48" spans="1:2">
      <c r="A48" s="2832" t="s">
        <v>2723</v>
      </c>
      <c r="B48" s="2833">
        <f ca="1">'预评函-2'!R5</f>
        <v>9534</v>
      </c>
    </row>
    <row r="49" spans="1:2">
      <c r="A49" s="2832" t="s">
        <v>2739</v>
      </c>
      <c r="B49" s="2833" t="str">
        <f>'预评函-2'!A6</f>
        <v>抵押价格</v>
      </c>
    </row>
    <row r="50" spans="1:2">
      <c r="A50" s="2832" t="s">
        <v>2724</v>
      </c>
      <c r="B50" s="2833">
        <f ca="1">'预评函-2'!R6</f>
        <v>9534</v>
      </c>
    </row>
    <row r="51" spans="1:2">
      <c r="A51" s="2832" t="s">
        <v>2740</v>
      </c>
      <c r="B51" s="2833" t="str">
        <f>'预评函-2'!A7</f>
        <v>——</v>
      </c>
    </row>
    <row r="52" spans="1:2">
      <c r="A52" s="2832" t="s">
        <v>2725</v>
      </c>
      <c r="B52" s="2833" t="str">
        <f>'预评函-2'!R7</f>
        <v>——</v>
      </c>
    </row>
    <row r="53" spans="1:2">
      <c r="A53" s="2832" t="s">
        <v>2741</v>
      </c>
      <c r="B53" s="2833">
        <f>'预评函-2'!A8</f>
        <v>0</v>
      </c>
    </row>
    <row r="54" spans="1:2" s="2847" customFormat="1" ht="15" thickBot="1">
      <c r="A54" s="2854" t="s">
        <v>2726</v>
      </c>
      <c r="B54" s="2855" t="str">
        <f>'预评函-2'!R8</f>
        <v>——</v>
      </c>
    </row>
    <row r="55" spans="1:2" ht="15" thickTop="1">
      <c r="A55" s="2843" t="s">
        <v>2676</v>
      </c>
      <c r="B55" s="2844" t="str">
        <f>'预评函-3'!A2</f>
        <v>1.权利限制：根据估价对象《不动产权证书》原件、《国有土地使用权》复印件，截至估价期日，估价对象抵押权未见登记。未设定租赁等其他他项权利。</v>
      </c>
    </row>
    <row r="56" spans="1:2">
      <c r="A56" s="2832" t="s">
        <v>2677</v>
      </c>
      <c r="B56" s="2833" t="str">
        <f>'预评函-3'!A3</f>
        <v>2.基础设施条件：估价对象实际开发程度为红线外七通、宗地红线内；本次评估设定开发程度为红线外七通、宗地红线内场地。</v>
      </c>
    </row>
    <row r="57" spans="1:2">
      <c r="A57" s="2832" t="s">
        <v>2678</v>
      </c>
      <c r="B57" s="2833" t="str">
        <f>'预评函-3'!A4</f>
        <v>3.估价规划限制条件：详见《建设工程规划许可证》[]、《出让合同》[]。</v>
      </c>
    </row>
    <row r="58" spans="1:2" s="2847" customFormat="1" ht="15" thickBot="1">
      <c r="A58" s="2854" t="s">
        <v>2727</v>
      </c>
      <c r="B58" s="2855" t="str">
        <f>'预评函-3'!A5</f>
        <v>4.影响价格的其他限定条件：无。</v>
      </c>
    </row>
    <row r="59" spans="1:2" ht="15" thickTop="1">
      <c r="A59" s="2843" t="s">
        <v>2679</v>
      </c>
      <c r="B59" s="2844" t="str">
        <f>'预评函-3'!A8</f>
        <v>2.本《评估意见函》仅供金融机构进行内部审核使用，不做其他目的之用。</v>
      </c>
    </row>
    <row r="60" spans="1:2">
      <c r="A60" s="2832" t="s">
        <v>2680</v>
      </c>
      <c r="B60" s="2833" t="str">
        <f>'预评函-3'!A9</f>
        <v>3.抵押双方在办理抵押登记手续时，应使用本公司出具的正式《土地估价报告》，特提请报告使用者注意。</v>
      </c>
    </row>
    <row r="61" spans="1:2">
      <c r="A61" s="2832" t="s">
        <v>2682</v>
      </c>
      <c r="B61" s="2833" t="str">
        <f>'预评函-3'!A10</f>
        <v>4.估价师所知悉的法定优先受偿款情况为：</v>
      </c>
    </row>
    <row r="62" spans="1:2">
      <c r="A62" s="2832" t="s">
        <v>2681</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2683</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2684</v>
      </c>
      <c r="B64" s="2838" t="str">
        <f>'预评函-3'!A13</f>
        <v>（3）。</v>
      </c>
    </row>
    <row r="65" spans="1:2">
      <c r="A65" s="2832" t="s">
        <v>2685</v>
      </c>
      <c r="B65" s="2839" t="str">
        <f>'预评函-3'!A14</f>
        <v>综上，本次评估不存在估价师知悉的法定优先受偿款</v>
      </c>
    </row>
    <row r="66" spans="1:2">
      <c r="A66" s="2832" t="s">
        <v>2686</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2687</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2690</v>
      </c>
      <c r="B68" s="2858">
        <f>'预评函-3'!D30</f>
        <v>42558</v>
      </c>
    </row>
    <row r="69" spans="1:2" ht="15" thickTop="1">
      <c r="A69" s="2843" t="s">
        <v>2688</v>
      </c>
      <c r="B69" s="2844" t="str">
        <f>'预评函-3'!A20</f>
        <v>土地估价师</v>
      </c>
    </row>
    <row r="70" spans="1:2">
      <c r="A70" s="2832" t="s">
        <v>2688</v>
      </c>
      <c r="B70" s="2839">
        <f>'预评函-3'!B20</f>
        <v>0</v>
      </c>
    </row>
    <row r="71" spans="1:2">
      <c r="A71" s="2832" t="s">
        <v>2689</v>
      </c>
      <c r="B71" s="2833" t="str">
        <f>'预评函-3'!A21</f>
        <v>土地估价师</v>
      </c>
    </row>
    <row r="72" spans="1:2" s="2847" customFormat="1" ht="15" thickBot="1">
      <c r="A72" s="2854" t="s">
        <v>2689</v>
      </c>
      <c r="B72" s="2860">
        <f>'预评函-3'!B21</f>
        <v>0</v>
      </c>
    </row>
    <row r="73" spans="1:2" ht="15" thickTop="1">
      <c r="A73" s="2843" t="s">
        <v>2748</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2749</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2750</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2785</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4099" t="str">
        <f>IF(B10="北京市","北京市",C10)&amp;F10&amp;B16&amp;"国有建设用地使用权"&amp;B9&amp;"预评估"</f>
        <v>出让国有建设用地使用权抵押价格预评估</v>
      </c>
      <c r="C1" s="4100"/>
      <c r="D1" s="4100"/>
      <c r="E1" s="4100"/>
      <c r="F1" s="4100"/>
      <c r="G1" s="4100"/>
      <c r="H1" s="4100"/>
      <c r="I1" s="4101"/>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1939</v>
      </c>
      <c r="B3" s="1645">
        <v>43647</v>
      </c>
      <c r="C3" s="1646" t="s">
        <v>1995</v>
      </c>
      <c r="D3" s="1645">
        <f>B3</f>
        <v>43647</v>
      </c>
      <c r="E3" s="1677"/>
      <c r="F3" s="1677"/>
      <c r="G3" s="1677"/>
      <c r="H3" s="1643"/>
      <c r="I3" s="1678"/>
      <c r="J3" s="1677"/>
      <c r="K3" s="1757"/>
      <c r="L3" s="1706"/>
      <c r="M3" s="1706"/>
      <c r="N3" s="1677"/>
      <c r="O3" s="1678"/>
      <c r="P3" s="1677"/>
      <c r="Q3" s="1677"/>
      <c r="R3" s="1677"/>
      <c r="S3" s="1677"/>
      <c r="T3" s="1677"/>
      <c r="U3" s="1677"/>
    </row>
    <row r="4" spans="1:21" ht="29.25" thickBot="1">
      <c r="A4" s="1647" t="s">
        <v>1940</v>
      </c>
      <c r="B4" s="1826" t="s">
        <v>2886</v>
      </c>
      <c r="C4" s="1829">
        <f>SUMIF(土地估价师,B4,估价师及机构信息!E3:E24)</f>
        <v>0</v>
      </c>
      <c r="D4" s="1826" t="s">
        <v>2886</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2704</v>
      </c>
      <c r="B6" s="1772" t="s">
        <v>2991</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2705</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2992</v>
      </c>
      <c r="C8" s="1654"/>
      <c r="D8" s="4105" t="s">
        <v>1944</v>
      </c>
      <c r="E8" s="1827" t="s">
        <v>2993</v>
      </c>
      <c r="F8" s="1655"/>
      <c r="G8" s="1643"/>
      <c r="H8" s="1643"/>
      <c r="I8" s="1690"/>
      <c r="J8" s="1677"/>
      <c r="K8" s="1757"/>
      <c r="L8" s="1706"/>
      <c r="M8" s="1706"/>
      <c r="N8" s="1677"/>
      <c r="O8" s="1678"/>
      <c r="P8" s="1677"/>
      <c r="Q8" s="1677"/>
      <c r="R8" s="1677"/>
      <c r="S8" s="1677"/>
      <c r="T8" s="1677"/>
      <c r="U8" s="1677"/>
    </row>
    <row r="9" spans="1:21" ht="15" thickBot="1">
      <c r="A9" s="1656" t="s">
        <v>1943</v>
      </c>
      <c r="B9" s="1657" t="s">
        <v>2993</v>
      </c>
      <c r="C9" s="1658"/>
      <c r="D9" s="4106"/>
      <c r="E9" s="1657"/>
      <c r="F9" s="1730"/>
      <c r="G9" s="1725"/>
      <c r="H9" s="1725"/>
      <c r="I9" s="1726"/>
      <c r="J9" s="1677"/>
      <c r="K9" s="1757"/>
      <c r="L9" s="1706"/>
      <c r="M9" s="1706"/>
      <c r="N9" s="1677"/>
      <c r="O9" s="1678"/>
      <c r="P9" s="1677"/>
      <c r="Q9" s="1677"/>
      <c r="R9" s="1677"/>
      <c r="S9" s="1677"/>
      <c r="T9" s="1677"/>
      <c r="U9" s="1677"/>
    </row>
    <row r="10" spans="1:21" ht="15" thickTop="1">
      <c r="A10" s="1727" t="s">
        <v>1999</v>
      </c>
      <c r="B10" s="1702" t="s">
        <v>2994</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t="s">
        <v>2995</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4102"/>
      <c r="C12" s="4103"/>
      <c r="D12" s="4104"/>
      <c r="E12" s="1682" t="s">
        <v>2061</v>
      </c>
      <c r="F12" s="4120" t="s">
        <v>2887</v>
      </c>
      <c r="G12" s="4121"/>
      <c r="H12" s="4121"/>
      <c r="I12" s="4122"/>
      <c r="J12" s="1677"/>
      <c r="K12" s="1757"/>
      <c r="L12" s="1706"/>
      <c r="M12" s="1706"/>
      <c r="N12" s="1677"/>
      <c r="O12" s="1678"/>
      <c r="P12" s="1677"/>
      <c r="Q12" s="1677"/>
      <c r="R12" s="1677"/>
      <c r="S12" s="1677"/>
      <c r="T12" s="1677"/>
      <c r="U12" s="1677"/>
    </row>
    <row r="13" spans="1:21">
      <c r="A13" s="1670" t="s">
        <v>2059</v>
      </c>
      <c r="B13" s="4102"/>
      <c r="C13" s="4103"/>
      <c r="D13" s="4104"/>
      <c r="E13" s="1682" t="s">
        <v>2061</v>
      </c>
      <c r="F13" s="4120" t="s">
        <v>2888</v>
      </c>
      <c r="G13" s="4121"/>
      <c r="H13" s="4121"/>
      <c r="I13" s="4122"/>
      <c r="J13" s="1677"/>
      <c r="K13" s="1757"/>
      <c r="L13" s="1706"/>
      <c r="M13" s="1706"/>
      <c r="N13" s="1677"/>
      <c r="O13" s="1678"/>
      <c r="P13" s="1677"/>
      <c r="Q13" s="1677"/>
      <c r="R13" s="1677"/>
      <c r="S13" s="1677"/>
      <c r="T13" s="1677"/>
      <c r="U13" s="1677"/>
    </row>
    <row r="14" spans="1:21">
      <c r="A14" s="1644" t="s">
        <v>2062</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2985</v>
      </c>
      <c r="C16" s="1682" t="s">
        <v>1948</v>
      </c>
      <c r="D16" s="2609" t="s">
        <v>1949</v>
      </c>
      <c r="E16" s="1705" t="s">
        <v>2996</v>
      </c>
      <c r="F16" s="1705"/>
      <c r="G16" s="1705" t="s">
        <v>35</v>
      </c>
      <c r="H16" s="1705"/>
      <c r="I16" s="1669" t="s">
        <v>1954</v>
      </c>
      <c r="J16" s="1677"/>
      <c r="K16" s="2419" t="str">
        <f>IF(D17="","",D16&amp;TEXT(D17,"yyyy年m月d日;;"))</f>
        <v>住宅2063年12月30日</v>
      </c>
      <c r="L16" s="1682" t="str">
        <f>IF(OR(K16="",M16=""),"","、")</f>
        <v>、</v>
      </c>
      <c r="M16" s="2419" t="str">
        <f>IF(E17="","",E16&amp;TEXT(E17,"yyyy年m月d日;;"))</f>
        <v>商业2053年12月30日</v>
      </c>
      <c r="N16" s="1682" t="str">
        <f>IF(OR(M16="",O16=""),"","、")</f>
        <v/>
      </c>
      <c r="O16" s="2419" t="str">
        <f>IF(F17="","",F16&amp;TEXT(F17,"yyyy年m月d日;;"))</f>
        <v/>
      </c>
      <c r="P16" s="1682" t="str">
        <f>IF(OR(O16="",Q16=""),"","、")</f>
        <v/>
      </c>
      <c r="Q16" s="2419" t="str">
        <f>IF(G17="","",G16&amp;TEXT(G17,"yyyy年m月d日;;"))</f>
        <v>地下车库2053年12月30日</v>
      </c>
      <c r="R16" s="1682" t="str">
        <f>IF(OR(Q16="",S16=""),"","、")</f>
        <v/>
      </c>
      <c r="S16" s="2419" t="str">
        <f>IF(H17="","",H16&amp;TEXT(H17,"yyyy年m月d日;;"))</f>
        <v/>
      </c>
      <c r="T16" s="1682" t="str">
        <f>IF(OR(S16="",U16=""),"","、")</f>
        <v/>
      </c>
      <c r="U16" s="2419" t="str">
        <f>IF(I17="","",I16&amp;TEXT(I17,"yyyy年m月d日;;"))</f>
        <v/>
      </c>
    </row>
    <row r="17" spans="1:21">
      <c r="A17" s="1746"/>
      <c r="B17" s="1665"/>
      <c r="C17" s="1666" t="s">
        <v>1955</v>
      </c>
      <c r="D17" s="1683">
        <v>59900</v>
      </c>
      <c r="E17" s="1683">
        <v>56248</v>
      </c>
      <c r="F17" s="1683"/>
      <c r="G17" s="1683">
        <v>56248</v>
      </c>
      <c r="H17" s="1683"/>
      <c r="I17" s="1683"/>
      <c r="J17" s="1677"/>
      <c r="K17" s="2418" t="str">
        <f>CONCATENATE(K16,L16,M16,N16,O16,P16,Q16,R16,S16,T16,,U16)</f>
        <v>住宅2063年12月30日、商业2053年12月30日地下车库2053年12月30日</v>
      </c>
      <c r="L17" s="1706"/>
      <c r="M17" s="1706"/>
      <c r="N17" s="1677"/>
      <c r="O17" s="1678"/>
      <c r="P17" s="1677"/>
      <c r="Q17" s="1677"/>
      <c r="R17" s="1677"/>
      <c r="S17" s="1677"/>
      <c r="T17" s="1677"/>
      <c r="U17" s="1677"/>
    </row>
    <row r="18" spans="1:21">
      <c r="A18" s="1746"/>
      <c r="B18" s="1665"/>
      <c r="C18" s="1666" t="s">
        <v>1956</v>
      </c>
      <c r="D18" s="1667">
        <v>50</v>
      </c>
      <c r="E18" s="1667">
        <v>40</v>
      </c>
      <c r="F18" s="1667"/>
      <c r="G18" s="1667">
        <v>40</v>
      </c>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44.52</v>
      </c>
      <c r="E19" s="1668">
        <f>IF(B16="出让",IF(E17="","",ROUNDDOWN(MIN((E17-$D$3)/365,E18),2)),E18)</f>
        <v>34.520000000000003</v>
      </c>
      <c r="F19" s="1668" t="str">
        <f>IF(B16="出让",IF(F17="","",ROUNDDOWN(MIN((F17-$D$3)/365,F18),2)),F18)</f>
        <v/>
      </c>
      <c r="G19" s="1668">
        <f>IF(B16="出让",IF(G17="","",ROUNDDOWN(MIN((G17-$D$3)/365,G18),2)),G18)</f>
        <v>34.520000000000003</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4117"/>
      <c r="E20" s="4118"/>
      <c r="F20" s="4118"/>
      <c r="G20" s="4118"/>
      <c r="H20" s="4118"/>
      <c r="I20" s="4119"/>
      <c r="J20" s="1677"/>
      <c r="K20" s="1757"/>
      <c r="L20" s="1706"/>
      <c r="M20" s="1706"/>
      <c r="N20" s="1677"/>
      <c r="O20" s="1678"/>
      <c r="P20" s="1677"/>
      <c r="Q20" s="1677"/>
      <c r="R20" s="1677"/>
      <c r="S20" s="1677"/>
      <c r="T20" s="1677"/>
      <c r="U20" s="1677"/>
    </row>
    <row r="21" spans="1:21">
      <c r="A21" s="1746" t="s">
        <v>1958</v>
      </c>
      <c r="B21" s="1747" t="s">
        <v>1959</v>
      </c>
      <c r="C21" s="1742">
        <f>'数据-汇总表'!E3</f>
        <v>67713.23</v>
      </c>
      <c r="D21" s="1743" t="s">
        <v>1960</v>
      </c>
      <c r="E21" s="4107" t="s">
        <v>1998</v>
      </c>
      <c r="F21" s="4108"/>
      <c r="G21" s="4108"/>
      <c r="H21" s="4108"/>
      <c r="I21" s="4109"/>
      <c r="J21" s="1677"/>
      <c r="K21" s="1757"/>
      <c r="L21" s="1706"/>
      <c r="M21" s="1706"/>
      <c r="N21" s="1677"/>
      <c r="O21" s="1678"/>
      <c r="P21" s="1677"/>
      <c r="Q21" s="1677"/>
      <c r="R21" s="1677"/>
      <c r="S21" s="1677"/>
      <c r="T21" s="1677"/>
      <c r="U21" s="1677"/>
    </row>
    <row r="22" spans="1:21">
      <c r="A22" s="3095" t="s">
        <v>952</v>
      </c>
      <c r="B22" s="1644" t="s">
        <v>1961</v>
      </c>
      <c r="C22" s="1669">
        <f>'数据-汇总表'!D3</f>
        <v>55432.25</v>
      </c>
      <c r="D22" s="1670" t="s">
        <v>1960</v>
      </c>
      <c r="E22" s="4107" t="s">
        <v>2889</v>
      </c>
      <c r="F22" s="4108"/>
      <c r="G22" s="4108"/>
      <c r="H22" s="4108"/>
      <c r="I22" s="4109"/>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4110" t="s">
        <v>1966</v>
      </c>
      <c r="C24" s="4111"/>
      <c r="D24" s="4112" t="s">
        <v>1967</v>
      </c>
      <c r="E24" s="4113"/>
      <c r="F24" s="1691" t="s">
        <v>1968</v>
      </c>
      <c r="G24" s="1677"/>
      <c r="H24" s="1677"/>
      <c r="I24" s="1690"/>
      <c r="J24" s="1677"/>
      <c r="K24" s="4098"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4098"/>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4098"/>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4084" t="s">
        <v>2001</v>
      </c>
      <c r="B31" s="1747" t="s">
        <v>2002</v>
      </c>
      <c r="C31" s="4123"/>
      <c r="D31" s="4124"/>
      <c r="E31" s="1677"/>
      <c r="F31" s="1677"/>
      <c r="G31" s="1677"/>
      <c r="H31" s="1677"/>
      <c r="I31" s="1690"/>
      <c r="J31" s="1677"/>
      <c r="K31" s="2421"/>
      <c r="L31" s="1677"/>
      <c r="M31" s="1677"/>
      <c r="N31" s="1677"/>
      <c r="O31" s="1677"/>
      <c r="P31" s="1677"/>
      <c r="Q31" s="1677"/>
      <c r="R31" s="1677"/>
      <c r="S31" s="1677"/>
      <c r="T31" s="1677"/>
      <c r="U31" s="1677"/>
    </row>
    <row r="32" spans="1:21">
      <c r="A32" s="4084"/>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4084"/>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4085"/>
      <c r="B34" s="1644" t="s">
        <v>2005</v>
      </c>
      <c r="C34" s="4086"/>
      <c r="D34" s="4087"/>
      <c r="E34" s="1677"/>
      <c r="F34" s="1677"/>
      <c r="G34" s="1677"/>
      <c r="H34" s="1677"/>
      <c r="I34" s="1690"/>
      <c r="J34" s="1677"/>
      <c r="K34" s="2421"/>
      <c r="L34" s="1677"/>
      <c r="M34" s="1677"/>
      <c r="N34" s="1677"/>
      <c r="O34" s="1677"/>
      <c r="P34" s="1677"/>
      <c r="Q34" s="1677"/>
      <c r="R34" s="1677"/>
      <c r="S34" s="1677"/>
      <c r="T34" s="1677"/>
      <c r="U34" s="1677"/>
    </row>
    <row r="35" spans="1:21">
      <c r="A35" s="4088" t="s">
        <v>847</v>
      </c>
      <c r="B35" s="1705"/>
      <c r="C35" s="1759" t="str">
        <f>IF(B35="场地平整","——","具体情况：")</f>
        <v>具体情况：</v>
      </c>
      <c r="D35" s="4090"/>
      <c r="E35" s="4091"/>
      <c r="F35" s="4091"/>
      <c r="G35" s="4091"/>
      <c r="H35" s="4091"/>
      <c r="I35" s="4092"/>
      <c r="J35" s="1677"/>
      <c r="K35" s="1758"/>
      <c r="L35" s="1706"/>
      <c r="M35" s="1706"/>
      <c r="N35" s="1677"/>
      <c r="O35" s="1678"/>
      <c r="P35" s="1677"/>
      <c r="Q35" s="1677"/>
      <c r="R35" s="1677"/>
      <c r="S35" s="1677"/>
      <c r="T35" s="1677"/>
      <c r="U35" s="1677"/>
    </row>
    <row r="36" spans="1:21">
      <c r="A36" s="4084"/>
      <c r="B36" s="4093" t="s">
        <v>2054</v>
      </c>
      <c r="C36" s="4094"/>
      <c r="D36" s="1775"/>
      <c r="E36" s="4095"/>
      <c r="F36" s="4095"/>
      <c r="G36" s="1670" t="str">
        <f>IF(B35="场地未平整","估价结果处理","")</f>
        <v/>
      </c>
      <c r="H36" s="4096"/>
      <c r="I36" s="4096"/>
      <c r="J36" s="1677"/>
      <c r="K36" s="1758"/>
      <c r="L36" s="1706"/>
      <c r="M36" s="1706"/>
      <c r="N36" s="1677"/>
      <c r="O36" s="1678"/>
      <c r="P36" s="1677"/>
      <c r="Q36" s="1677"/>
      <c r="R36" s="1677"/>
      <c r="S36" s="1677"/>
      <c r="T36" s="1677"/>
      <c r="U36" s="1677"/>
    </row>
    <row r="37" spans="1:21" ht="28.5">
      <c r="A37" s="4084"/>
      <c r="B37" s="4114"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4084"/>
      <c r="B38" s="4115"/>
      <c r="C38" s="1652" t="s">
        <v>850</v>
      </c>
      <c r="D38" s="1774">
        <f>ROUNDDOWN(MIN(('数据-取费表'!$B$2-D37)/365,D34),1)</f>
        <v>119.5</v>
      </c>
      <c r="E38" s="1710" t="s">
        <v>851</v>
      </c>
      <c r="F38" s="1677"/>
      <c r="G38" s="1677"/>
      <c r="H38" s="1677"/>
      <c r="I38" s="1690"/>
      <c r="J38" s="1677"/>
      <c r="K38" s="1758"/>
      <c r="L38" s="1677"/>
      <c r="M38" s="1677"/>
      <c r="N38" s="1677"/>
      <c r="O38" s="1677"/>
      <c r="P38" s="1677"/>
      <c r="Q38" s="1677"/>
      <c r="R38" s="1677"/>
      <c r="S38" s="1677"/>
      <c r="T38" s="1677"/>
      <c r="U38" s="1677"/>
    </row>
    <row r="39" spans="1:21">
      <c r="A39" s="4085"/>
      <c r="B39" s="4116"/>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4097" t="s">
        <v>1985</v>
      </c>
      <c r="T40" s="1714" t="str">
        <f>NUMBERSTRING(7-K40,1)&amp;"通"</f>
        <v>七通</v>
      </c>
      <c r="U40" s="1677"/>
    </row>
    <row r="41" spans="1:21">
      <c r="A41" s="1646"/>
      <c r="B41" s="4089" t="s">
        <v>1721</v>
      </c>
      <c r="C41" s="4089"/>
      <c r="D41" s="4089"/>
      <c r="E41" s="4089"/>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4097"/>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5" zoomScaleNormal="100" zoomScaleSheetLayoutView="115"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面积表!C16</f>
        <v>55432.25</v>
      </c>
      <c r="B3" s="22">
        <f>IF(C3="否",G5-AT5,G5)</f>
        <v>67713.23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67713.23</v>
      </c>
      <c r="H5" s="27">
        <f t="shared" ref="H5:AT5" si="0">SUM(H13:H641)</f>
        <v>61862.47</v>
      </c>
      <c r="I5" s="27">
        <f t="shared" si="0"/>
        <v>40703.160000000003</v>
      </c>
      <c r="J5" s="27">
        <f t="shared" si="0"/>
        <v>0</v>
      </c>
      <c r="K5" s="27">
        <f t="shared" si="0"/>
        <v>3014.85</v>
      </c>
      <c r="L5" s="27">
        <f t="shared" si="0"/>
        <v>0</v>
      </c>
      <c r="M5" s="27">
        <f t="shared" si="0"/>
        <v>18144.46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5850.7599999999993</v>
      </c>
      <c r="AD5" s="27">
        <f t="shared" si="0"/>
        <v>5400.9</v>
      </c>
      <c r="AE5" s="27">
        <f t="shared" si="0"/>
        <v>0</v>
      </c>
      <c r="AF5" s="27">
        <f t="shared" si="0"/>
        <v>0</v>
      </c>
      <c r="AG5" s="27">
        <f t="shared" si="0"/>
        <v>0</v>
      </c>
      <c r="AH5" s="27">
        <f t="shared" si="0"/>
        <v>135.66</v>
      </c>
      <c r="AI5" s="27">
        <f t="shared" si="0"/>
        <v>0</v>
      </c>
      <c r="AJ5" s="27">
        <f t="shared" si="0"/>
        <v>0</v>
      </c>
      <c r="AK5" s="27">
        <f t="shared" si="0"/>
        <v>0</v>
      </c>
      <c r="AL5" s="27">
        <f t="shared" si="0"/>
        <v>314.2</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67713.23</v>
      </c>
      <c r="BA5" s="29">
        <f t="shared" si="1"/>
        <v>61862.47</v>
      </c>
      <c r="BB5" s="29">
        <f t="shared" si="1"/>
        <v>40703.160000000003</v>
      </c>
      <c r="BC5" s="29">
        <f t="shared" si="1"/>
        <v>3014.85</v>
      </c>
      <c r="BD5" s="29">
        <f t="shared" si="1"/>
        <v>18144.46</v>
      </c>
      <c r="BE5" s="29">
        <f t="shared" si="1"/>
        <v>0</v>
      </c>
      <c r="BF5" s="29">
        <f t="shared" si="1"/>
        <v>0</v>
      </c>
      <c r="BG5" s="29">
        <f t="shared" si="1"/>
        <v>0</v>
      </c>
      <c r="BH5" s="29">
        <f t="shared" si="1"/>
        <v>0</v>
      </c>
      <c r="BI5" s="29">
        <f t="shared" si="1"/>
        <v>0</v>
      </c>
      <c r="BJ5" s="29">
        <f t="shared" si="1"/>
        <v>0</v>
      </c>
      <c r="BK5" s="29">
        <f t="shared" si="1"/>
        <v>0</v>
      </c>
      <c r="BL5" s="29">
        <f t="shared" si="1"/>
        <v>5850.7599999999993</v>
      </c>
      <c r="BM5" s="29">
        <f t="shared" si="1"/>
        <v>5400.9</v>
      </c>
      <c r="BN5" s="29">
        <f t="shared" si="1"/>
        <v>0</v>
      </c>
      <c r="BO5" s="29">
        <f t="shared" si="1"/>
        <v>135.66</v>
      </c>
      <c r="BP5" s="29">
        <f t="shared" si="1"/>
        <v>0</v>
      </c>
      <c r="BQ5" s="29">
        <f t="shared" si="1"/>
        <v>314.2</v>
      </c>
      <c r="BR5" s="29">
        <f t="shared" si="1"/>
        <v>0</v>
      </c>
      <c r="BS5" s="29">
        <f t="shared" si="1"/>
        <v>0</v>
      </c>
      <c r="BT5" s="30">
        <f t="shared" si="1"/>
        <v>0</v>
      </c>
    </row>
    <row r="6" spans="1:72" s="37" customFormat="1" ht="12.75">
      <c r="A6" s="26" t="s">
        <v>169</v>
      </c>
      <c r="B6" s="31"/>
      <c r="C6" s="31"/>
      <c r="D6" s="32"/>
      <c r="E6" s="27">
        <f>H6+AC6+AT6</f>
        <v>55432.240000000005</v>
      </c>
      <c r="F6" s="27" t="s">
        <v>1</v>
      </c>
      <c r="G6" s="27" t="s">
        <v>2</v>
      </c>
      <c r="H6" s="33">
        <f>SUMIF(I$12:AB$12,"总值",I6:AB6)</f>
        <v>50642.62</v>
      </c>
      <c r="I6" s="27">
        <f t="shared" ref="I6:AB6" si="2">ROUND($A$3*I5/$B$3,2)</f>
        <v>33320.93</v>
      </c>
      <c r="J6" s="27">
        <f t="shared" si="2"/>
        <v>0</v>
      </c>
      <c r="K6" s="27">
        <f t="shared" si="2"/>
        <v>2468.0500000000002</v>
      </c>
      <c r="L6" s="27">
        <f t="shared" si="2"/>
        <v>0</v>
      </c>
      <c r="M6" s="27">
        <f t="shared" si="2"/>
        <v>14853.64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4789.6200000000008</v>
      </c>
      <c r="AD6" s="27">
        <f t="shared" ref="AD6:AS6" si="3">ROUND($A$3*AD5/$B$3,2)</f>
        <v>4421.3500000000004</v>
      </c>
      <c r="AE6" s="27">
        <f t="shared" si="3"/>
        <v>0</v>
      </c>
      <c r="AF6" s="27">
        <f t="shared" si="3"/>
        <v>0</v>
      </c>
      <c r="AG6" s="27">
        <f t="shared" si="3"/>
        <v>0</v>
      </c>
      <c r="AH6" s="27">
        <f t="shared" si="3"/>
        <v>111.06</v>
      </c>
      <c r="AI6" s="27">
        <f t="shared" si="3"/>
        <v>0</v>
      </c>
      <c r="AJ6" s="27">
        <f t="shared" si="3"/>
        <v>0</v>
      </c>
      <c r="AK6" s="27">
        <f t="shared" si="3"/>
        <v>0</v>
      </c>
      <c r="AL6" s="27">
        <f t="shared" si="3"/>
        <v>257.20999999999998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55432.25</v>
      </c>
      <c r="AZ6" s="27" t="s">
        <v>3</v>
      </c>
      <c r="BA6" s="27">
        <f>ROUND($AY$6*BA5/$AZ$5,2)</f>
        <v>50642.63</v>
      </c>
      <c r="BB6" s="27">
        <f>ROUND($AY$6*BB5/$AZ$5,2)</f>
        <v>33320.93</v>
      </c>
      <c r="BC6" s="27">
        <f t="shared" ref="BC6:BH6" si="4">ROUND($AY$6*BC5/$AZ$5,2)</f>
        <v>2468.0500000000002</v>
      </c>
      <c r="BD6" s="27">
        <f t="shared" si="4"/>
        <v>14853.64</v>
      </c>
      <c r="BE6" s="27">
        <f t="shared" si="4"/>
        <v>0</v>
      </c>
      <c r="BF6" s="27">
        <f t="shared" si="4"/>
        <v>0</v>
      </c>
      <c r="BG6" s="27">
        <f t="shared" si="4"/>
        <v>0</v>
      </c>
      <c r="BH6" s="27">
        <f t="shared" si="4"/>
        <v>0</v>
      </c>
      <c r="BI6" s="27">
        <f t="shared" ref="BI6:BT6" si="5">ROUND($AY$6*BI5/$AZ$5,2)</f>
        <v>0</v>
      </c>
      <c r="BJ6" s="27">
        <f t="shared" si="5"/>
        <v>0</v>
      </c>
      <c r="BK6" s="27">
        <f t="shared" si="5"/>
        <v>0</v>
      </c>
      <c r="BL6" s="27">
        <f t="shared" si="5"/>
        <v>4789.62</v>
      </c>
      <c r="BM6" s="27">
        <f t="shared" si="5"/>
        <v>4421.3500000000004</v>
      </c>
      <c r="BN6" s="27">
        <f t="shared" si="5"/>
        <v>0</v>
      </c>
      <c r="BO6" s="27">
        <f t="shared" si="5"/>
        <v>111.06</v>
      </c>
      <c r="BP6" s="27">
        <f t="shared" si="5"/>
        <v>0</v>
      </c>
      <c r="BQ6" s="27">
        <f t="shared" si="5"/>
        <v>257.20999999999998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2999</v>
      </c>
      <c r="J9" s="51"/>
      <c r="K9" s="2970" t="s">
        <v>2999</v>
      </c>
      <c r="L9" s="51"/>
      <c r="M9" s="2970" t="s">
        <v>3000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2996</v>
      </c>
      <c r="L10" s="51"/>
      <c r="M10" s="2972" t="s">
        <v>2997</v>
      </c>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55432.25</v>
      </c>
      <c r="F13" s="81"/>
      <c r="G13" s="82">
        <f t="shared" ref="G13:G20" si="7">H13+AC13+AT13</f>
        <v>67713.23</v>
      </c>
      <c r="H13" s="33">
        <f t="shared" ref="H13:H20" si="8">SUMIF(I$12:AB$12,"总值",I13:AB13)</f>
        <v>61862.47</v>
      </c>
      <c r="I13" s="2969">
        <f>面积表!F16</f>
        <v>40703.160000000003</v>
      </c>
      <c r="J13" s="2969"/>
      <c r="K13" s="2969">
        <f>面积表!F18</f>
        <v>3014.85</v>
      </c>
      <c r="L13" s="2969"/>
      <c r="M13" s="2969">
        <f>面积表!E22</f>
        <v>18144.46</v>
      </c>
      <c r="N13" s="83"/>
      <c r="O13" s="83"/>
      <c r="P13" s="83"/>
      <c r="Q13" s="83"/>
      <c r="R13" s="83"/>
      <c r="S13" s="83"/>
      <c r="T13" s="83"/>
      <c r="U13" s="83"/>
      <c r="V13" s="83"/>
      <c r="W13" s="83"/>
      <c r="X13" s="83"/>
      <c r="Y13" s="83"/>
      <c r="Z13" s="83"/>
      <c r="AA13" s="83"/>
      <c r="AB13" s="83"/>
      <c r="AC13" s="27">
        <f t="shared" ref="AC13:AC20" si="9">SUMIF(AD$12:AS$12,"总值",AD13:AS13)</f>
        <v>5850.7599999999993</v>
      </c>
      <c r="AD13" s="2973">
        <f>面积表!H21</f>
        <v>5400.9</v>
      </c>
      <c r="AE13" s="2973"/>
      <c r="AF13" s="2973"/>
      <c r="AG13" s="2973"/>
      <c r="AH13" s="2973">
        <f>C28+面积表!H19</f>
        <v>135.66</v>
      </c>
      <c r="AI13" s="2973"/>
      <c r="AJ13" s="2973"/>
      <c r="AK13" s="2973"/>
      <c r="AL13" s="2973">
        <f>面积表!H17</f>
        <v>314.2</v>
      </c>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55432.25</v>
      </c>
      <c r="AZ13" s="27">
        <f t="shared" ref="AZ13:AZ20" si="12">BA13+BL13</f>
        <v>67713.23</v>
      </c>
      <c r="BA13" s="27">
        <f t="shared" ref="BA13:BA20" si="13">SUM(BB13:BK13)</f>
        <v>61862.47</v>
      </c>
      <c r="BB13" s="27">
        <f t="shared" ref="BB13:BB20" si="14">IF($D13="是",I13-J13,0)</f>
        <v>40703.160000000003</v>
      </c>
      <c r="BC13" s="27">
        <f t="shared" ref="BC13:BC20" si="15">IF($D13="是",K13-L13,0)</f>
        <v>3014.85</v>
      </c>
      <c r="BD13" s="27">
        <f t="shared" ref="BD13:BD20" si="16">IF($D13="是",M13-N13,0)</f>
        <v>18144.46</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5850.7599999999993</v>
      </c>
      <c r="BM13" s="27">
        <f t="shared" ref="BM13:BM20" si="25">IF($D13="是",AD13-AE13,0)</f>
        <v>5400.9</v>
      </c>
      <c r="BN13" s="27">
        <f t="shared" ref="BN13:BN20" si="26">IF($D13="是",AF13-AG13,0)</f>
        <v>0</v>
      </c>
      <c r="BO13" s="27">
        <f t="shared" ref="BO13:BO20" si="27">IF($D13="是",AH13-AI13,0)</f>
        <v>135.66</v>
      </c>
      <c r="BP13" s="27">
        <f t="shared" ref="BP13:BP20" si="28">IF($D13="是",AJ13-AK13,0)</f>
        <v>0</v>
      </c>
      <c r="BQ13" s="27">
        <f t="shared" ref="BQ13:BQ20" si="29">IF($D13="是",AL13-AM13,0)</f>
        <v>314.2</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125" t="s">
        <v>0</v>
      </c>
      <c r="B1" s="4125" t="s">
        <v>4</v>
      </c>
      <c r="C1" s="4125" t="s">
        <v>5</v>
      </c>
      <c r="D1" s="4126" t="s">
        <v>40</v>
      </c>
      <c r="E1" s="4126" t="s">
        <v>41</v>
      </c>
      <c r="F1" s="4126"/>
      <c r="G1" s="4126"/>
      <c r="H1" s="4126"/>
      <c r="I1" s="4126"/>
      <c r="J1" s="4126"/>
      <c r="K1" s="4126"/>
      <c r="L1" s="4126"/>
      <c r="M1" s="4126"/>
    </row>
    <row r="2" spans="1:13" ht="27" customHeight="1">
      <c r="A2" s="4125"/>
      <c r="B2" s="4125"/>
      <c r="C2" s="4125"/>
      <c r="D2" s="4126"/>
      <c r="E2" s="4126" t="s">
        <v>24</v>
      </c>
      <c r="F2" s="4126" t="s">
        <v>25</v>
      </c>
      <c r="G2" s="4126"/>
      <c r="H2" s="4126"/>
      <c r="I2" s="4126"/>
      <c r="J2" s="4126" t="s">
        <v>26</v>
      </c>
      <c r="K2" s="4126"/>
      <c r="L2" s="4126"/>
      <c r="M2" s="4126"/>
    </row>
    <row r="3" spans="1:13" ht="28.5">
      <c r="A3" s="4125"/>
      <c r="B3" s="4125"/>
      <c r="C3" s="4125"/>
      <c r="D3" s="4126"/>
      <c r="E3" s="412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126" t="s">
        <v>42</v>
      </c>
      <c r="B9" s="4126"/>
      <c r="C9" s="41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2"/>
  <sheetViews>
    <sheetView topLeftCell="B174" workbookViewId="0">
      <selection activeCell="K230" sqref="K230"/>
    </sheetView>
  </sheetViews>
  <sheetFormatPr defaultRowHeight="13.5"/>
  <cols>
    <col min="9" max="9" width="15" customWidth="1"/>
    <col min="12" max="16" width="0" hidden="1" customWidth="1"/>
    <col min="17" max="17" width="11.75" customWidth="1"/>
    <col min="19" max="19" width="0" hidden="1" customWidth="1"/>
    <col min="21" max="21" width="10.5" bestFit="1" customWidth="1"/>
  </cols>
  <sheetData>
    <row r="1" spans="1:21" ht="18.75">
      <c r="A1" s="4173" t="s">
        <v>3140</v>
      </c>
      <c r="B1" s="4173"/>
      <c r="C1" s="4173"/>
      <c r="D1" s="4173"/>
      <c r="E1" s="4173"/>
      <c r="F1" s="4173"/>
      <c r="G1" s="4173"/>
      <c r="H1" s="4173"/>
      <c r="I1" s="4173"/>
      <c r="J1" s="4173"/>
      <c r="K1" s="4173"/>
      <c r="L1" s="3200"/>
      <c r="M1" s="3200"/>
      <c r="N1" s="3201"/>
      <c r="O1" s="3201"/>
      <c r="P1" s="3201"/>
      <c r="Q1" s="3201"/>
      <c r="R1" s="3201"/>
      <c r="S1" s="3201"/>
      <c r="T1" s="3201"/>
      <c r="U1" s="3201"/>
    </row>
    <row r="2" spans="1:21" ht="14.25">
      <c r="A2" s="4174" t="s">
        <v>3141</v>
      </c>
      <c r="B2" s="4175" t="s">
        <v>3142</v>
      </c>
      <c r="C2" s="4175" t="s">
        <v>3143</v>
      </c>
      <c r="D2" s="4175" t="s">
        <v>3144</v>
      </c>
      <c r="E2" s="4175" t="s">
        <v>3145</v>
      </c>
      <c r="F2" s="4175" t="s">
        <v>3146</v>
      </c>
      <c r="G2" s="4174" t="s">
        <v>3147</v>
      </c>
      <c r="H2" s="4175" t="s">
        <v>3148</v>
      </c>
      <c r="I2" s="4176" t="s">
        <v>3149</v>
      </c>
      <c r="J2" s="4175" t="s">
        <v>3150</v>
      </c>
      <c r="K2" s="4175" t="s">
        <v>3151</v>
      </c>
      <c r="L2" s="3202"/>
      <c r="M2" s="3202"/>
      <c r="N2" s="3203" t="s">
        <v>3152</v>
      </c>
      <c r="O2" s="3201"/>
      <c r="P2" s="3203"/>
      <c r="Q2" s="3201"/>
      <c r="R2" s="3201"/>
      <c r="S2" s="3201"/>
      <c r="T2" s="3201"/>
      <c r="U2" s="3201"/>
    </row>
    <row r="3" spans="1:21" ht="14.25">
      <c r="A3" s="4174"/>
      <c r="B3" s="4175"/>
      <c r="C3" s="4175"/>
      <c r="D3" s="4175"/>
      <c r="E3" s="4175"/>
      <c r="F3" s="4175"/>
      <c r="G3" s="4174"/>
      <c r="H3" s="4175"/>
      <c r="I3" s="4176"/>
      <c r="J3" s="4175"/>
      <c r="K3" s="4175"/>
      <c r="L3" s="3202"/>
      <c r="M3" s="3202"/>
      <c r="N3" s="3201"/>
      <c r="O3" s="3201"/>
      <c r="P3" s="3201"/>
      <c r="Q3" s="3201"/>
      <c r="R3" s="3201"/>
      <c r="S3" s="3201"/>
      <c r="T3" s="3201"/>
      <c r="U3" s="3201"/>
    </row>
    <row r="4" spans="1:21" ht="14.25">
      <c r="A4" s="4174"/>
      <c r="B4" s="4175"/>
      <c r="C4" s="4175"/>
      <c r="D4" s="4175"/>
      <c r="E4" s="4175"/>
      <c r="F4" s="4175"/>
      <c r="G4" s="4174"/>
      <c r="H4" s="4175"/>
      <c r="I4" s="4176"/>
      <c r="J4" s="4175"/>
      <c r="K4" s="4175"/>
      <c r="L4" s="3202"/>
      <c r="M4" s="3202"/>
      <c r="N4" s="3201"/>
      <c r="O4" s="3201"/>
      <c r="P4" s="3203"/>
      <c r="Q4" s="3203"/>
      <c r="R4" s="3203"/>
      <c r="S4" s="3204"/>
      <c r="T4" s="3204"/>
      <c r="U4" s="3204"/>
    </row>
    <row r="5" spans="1:21" ht="14.25">
      <c r="A5" s="4140" t="s">
        <v>3153</v>
      </c>
      <c r="B5" s="4150" t="s">
        <v>3154</v>
      </c>
      <c r="C5" s="4172" t="s">
        <v>3155</v>
      </c>
      <c r="D5" s="3205" t="s">
        <v>2996</v>
      </c>
      <c r="E5" s="3205" t="s">
        <v>3156</v>
      </c>
      <c r="F5" s="4172">
        <v>1</v>
      </c>
      <c r="G5" s="3206">
        <v>1075.07</v>
      </c>
      <c r="H5" s="3205">
        <f>G5</f>
        <v>1075.07</v>
      </c>
      <c r="I5" s="3207">
        <f>G5</f>
        <v>1075.07</v>
      </c>
      <c r="J5" s="3205">
        <f>H5</f>
        <v>1075.07</v>
      </c>
      <c r="K5" s="3208"/>
      <c r="L5" s="3209">
        <f>I9+I10+I13+I15+I17</f>
        <v>3359.12</v>
      </c>
      <c r="M5" s="3210" t="s">
        <v>1949</v>
      </c>
      <c r="N5" s="3211"/>
      <c r="O5" s="3211"/>
      <c r="P5" s="3211"/>
      <c r="Q5" s="3212" t="s">
        <v>923</v>
      </c>
      <c r="R5" s="3213">
        <f>I10+I13+I15+I17</f>
        <v>3199.96</v>
      </c>
      <c r="S5" s="3214"/>
      <c r="T5" s="3214"/>
      <c r="U5" s="3211"/>
    </row>
    <row r="6" spans="1:21" ht="14.25">
      <c r="A6" s="4140"/>
      <c r="B6" s="4171"/>
      <c r="C6" s="4172"/>
      <c r="D6" s="3205" t="s">
        <v>3157</v>
      </c>
      <c r="E6" s="3205">
        <v>3</v>
      </c>
      <c r="F6" s="4172"/>
      <c r="G6" s="3206">
        <v>67.83</v>
      </c>
      <c r="H6" s="3205">
        <f>G6</f>
        <v>67.83</v>
      </c>
      <c r="I6" s="3207">
        <f>G6</f>
        <v>67.83</v>
      </c>
      <c r="J6" s="3205">
        <f>H6</f>
        <v>67.83</v>
      </c>
      <c r="K6" s="3208"/>
      <c r="L6" s="3210">
        <f>I5+I7+I12+I14+I16+I18</f>
        <v>1099.5499999999997</v>
      </c>
      <c r="M6" s="3210" t="s">
        <v>3158</v>
      </c>
      <c r="N6" s="3211"/>
      <c r="O6" s="3211"/>
      <c r="P6" s="3211"/>
      <c r="Q6" s="3212" t="s">
        <v>2996</v>
      </c>
      <c r="R6" s="3212">
        <f>I5</f>
        <v>1075.07</v>
      </c>
      <c r="S6" s="3214"/>
      <c r="T6" s="3214"/>
      <c r="U6" s="3211"/>
    </row>
    <row r="7" spans="1:21" ht="14.25">
      <c r="A7" s="4140"/>
      <c r="B7" s="4171"/>
      <c r="C7" s="4172"/>
      <c r="D7" s="3205" t="s">
        <v>3159</v>
      </c>
      <c r="E7" s="3205">
        <v>3</v>
      </c>
      <c r="F7" s="4172"/>
      <c r="G7" s="3206">
        <v>3.06</v>
      </c>
      <c r="H7" s="3205">
        <f>G7</f>
        <v>3.06</v>
      </c>
      <c r="I7" s="3207">
        <f t="shared" ref="I7:I14" si="0">G7</f>
        <v>3.06</v>
      </c>
      <c r="J7" s="3205">
        <f>G7</f>
        <v>3.06</v>
      </c>
      <c r="K7" s="3208"/>
      <c r="L7" s="3210">
        <f>I6+I8+I11</f>
        <v>309.82</v>
      </c>
      <c r="M7" s="3215" t="s">
        <v>3160</v>
      </c>
      <c r="N7" s="3211"/>
      <c r="O7" s="3211"/>
      <c r="P7" s="3211"/>
      <c r="Q7" s="3212" t="s">
        <v>3161</v>
      </c>
      <c r="R7" s="3212">
        <f>I7+I8+I9+I12+I14+I16+I18</f>
        <v>357.8</v>
      </c>
      <c r="S7" s="3214"/>
      <c r="T7" s="3214"/>
      <c r="U7" s="3211"/>
    </row>
    <row r="8" spans="1:21" ht="14.25">
      <c r="A8" s="4140"/>
      <c r="B8" s="4171"/>
      <c r="C8" s="4172"/>
      <c r="D8" s="3205" t="s">
        <v>3162</v>
      </c>
      <c r="E8" s="3205">
        <v>6</v>
      </c>
      <c r="F8" s="4172"/>
      <c r="G8" s="3206">
        <v>174.16</v>
      </c>
      <c r="H8" s="3205">
        <v>0</v>
      </c>
      <c r="I8" s="3207">
        <f t="shared" si="0"/>
        <v>174.16</v>
      </c>
      <c r="J8" s="3205">
        <f>H8</f>
        <v>0</v>
      </c>
      <c r="K8" s="3208"/>
      <c r="L8" s="3210"/>
      <c r="M8" s="3210"/>
      <c r="N8" s="3211"/>
      <c r="O8" s="3211">
        <f>I19-J19</f>
        <v>174.15999999999985</v>
      </c>
      <c r="P8" s="3211"/>
      <c r="Q8" s="3213" t="s">
        <v>3163</v>
      </c>
      <c r="R8" s="3212">
        <f>I6+I11</f>
        <v>135.66</v>
      </c>
      <c r="S8" s="3214"/>
      <c r="T8" s="3214"/>
      <c r="U8" s="3211"/>
    </row>
    <row r="9" spans="1:21" ht="14.25">
      <c r="A9" s="4140"/>
      <c r="B9" s="4171"/>
      <c r="C9" s="4172"/>
      <c r="D9" s="3205" t="s">
        <v>3164</v>
      </c>
      <c r="E9" s="3205">
        <v>4.5</v>
      </c>
      <c r="F9" s="4172"/>
      <c r="G9" s="3206">
        <v>159.16</v>
      </c>
      <c r="H9" s="3205">
        <v>159.16</v>
      </c>
      <c r="I9" s="3207">
        <f t="shared" si="0"/>
        <v>159.16</v>
      </c>
      <c r="J9" s="3205">
        <f>H9</f>
        <v>159.16</v>
      </c>
      <c r="K9" s="3208"/>
      <c r="L9" s="3210"/>
      <c r="M9" s="3210"/>
      <c r="N9" s="3211">
        <v>0</v>
      </c>
      <c r="O9" s="3211"/>
      <c r="P9" s="3211"/>
      <c r="Q9" s="3301" t="s">
        <v>3367</v>
      </c>
      <c r="R9" s="3211"/>
      <c r="S9" s="3211"/>
      <c r="T9" s="3211"/>
      <c r="U9" s="3211"/>
    </row>
    <row r="10" spans="1:21" ht="14.25">
      <c r="A10" s="4140"/>
      <c r="B10" s="4171"/>
      <c r="C10" s="4136" t="s">
        <v>3165</v>
      </c>
      <c r="D10" s="3216" t="s">
        <v>3166</v>
      </c>
      <c r="E10" s="4136">
        <v>3</v>
      </c>
      <c r="F10" s="4136">
        <v>1</v>
      </c>
      <c r="G10" s="3217">
        <v>73.16</v>
      </c>
      <c r="H10" s="3216">
        <v>73.16</v>
      </c>
      <c r="I10" s="3218">
        <f t="shared" si="0"/>
        <v>73.16</v>
      </c>
      <c r="J10" s="3216">
        <f>H10</f>
        <v>73.16</v>
      </c>
      <c r="K10" s="3208"/>
      <c r="L10" s="3210"/>
      <c r="M10" s="3210"/>
      <c r="N10" s="3211"/>
      <c r="O10" s="3211"/>
      <c r="P10" s="3211"/>
      <c r="Q10" s="3211"/>
      <c r="R10" s="3211"/>
      <c r="S10" s="3211"/>
      <c r="T10" s="3211"/>
      <c r="U10" s="3211"/>
    </row>
    <row r="11" spans="1:21" ht="14.25">
      <c r="A11" s="4140"/>
      <c r="B11" s="4171"/>
      <c r="C11" s="4141"/>
      <c r="D11" s="3216" t="s">
        <v>3167</v>
      </c>
      <c r="E11" s="4141"/>
      <c r="F11" s="4141"/>
      <c r="G11" s="3217">
        <v>67.83</v>
      </c>
      <c r="H11" s="3216">
        <f t="shared" ref="H11:H18" si="1">G11</f>
        <v>67.83</v>
      </c>
      <c r="I11" s="3218">
        <f>G11</f>
        <v>67.83</v>
      </c>
      <c r="J11" s="3216">
        <f>H11</f>
        <v>67.83</v>
      </c>
      <c r="K11" s="3208"/>
      <c r="L11" s="3210"/>
      <c r="M11" s="3210"/>
      <c r="N11" s="3211"/>
      <c r="O11" s="3211"/>
      <c r="P11" s="3211"/>
      <c r="Q11" s="3211"/>
      <c r="R11" s="3211"/>
      <c r="S11" s="3211"/>
      <c r="T11" s="3211"/>
      <c r="U11" s="3211"/>
    </row>
    <row r="12" spans="1:21" ht="14.25">
      <c r="A12" s="4140"/>
      <c r="B12" s="4171"/>
      <c r="C12" s="4137"/>
      <c r="D12" s="3216" t="s">
        <v>3159</v>
      </c>
      <c r="E12" s="4137"/>
      <c r="F12" s="4137"/>
      <c r="G12" s="3217">
        <v>3.06</v>
      </c>
      <c r="H12" s="3205">
        <f t="shared" si="1"/>
        <v>3.06</v>
      </c>
      <c r="I12" s="3207">
        <f t="shared" si="0"/>
        <v>3.06</v>
      </c>
      <c r="J12" s="3205">
        <f>G12</f>
        <v>3.06</v>
      </c>
      <c r="K12" s="3208"/>
      <c r="L12" s="3210"/>
      <c r="M12" s="3210"/>
      <c r="N12" s="3211">
        <v>0</v>
      </c>
      <c r="O12" s="3211"/>
      <c r="P12" s="3219"/>
      <c r="Q12" s="3219"/>
      <c r="R12" s="3219"/>
      <c r="S12" s="3211"/>
      <c r="T12" s="3211"/>
      <c r="U12" s="3211"/>
    </row>
    <row r="13" spans="1:21" ht="14.25">
      <c r="A13" s="4140"/>
      <c r="B13" s="4171"/>
      <c r="C13" s="4136" t="s">
        <v>3168</v>
      </c>
      <c r="D13" s="3216" t="s">
        <v>3166</v>
      </c>
      <c r="E13" s="4136">
        <v>3</v>
      </c>
      <c r="F13" s="4136">
        <v>1</v>
      </c>
      <c r="G13" s="3217">
        <v>523.32000000000005</v>
      </c>
      <c r="H13" s="3216">
        <f t="shared" si="1"/>
        <v>523.32000000000005</v>
      </c>
      <c r="I13" s="3218">
        <f t="shared" si="0"/>
        <v>523.32000000000005</v>
      </c>
      <c r="J13" s="3216">
        <f>H13</f>
        <v>523.32000000000005</v>
      </c>
      <c r="K13" s="3208"/>
      <c r="L13" s="3210"/>
      <c r="M13" s="3210"/>
      <c r="N13" s="3211">
        <v>4</v>
      </c>
      <c r="O13" s="3211"/>
      <c r="P13" s="3219"/>
      <c r="Q13" s="3219"/>
      <c r="R13" s="3220"/>
      <c r="S13" s="3211"/>
      <c r="T13" s="3211"/>
      <c r="U13" s="3211"/>
    </row>
    <row r="14" spans="1:21" ht="14.25">
      <c r="A14" s="4140"/>
      <c r="B14" s="4171"/>
      <c r="C14" s="4137"/>
      <c r="D14" s="3216" t="s">
        <v>3159</v>
      </c>
      <c r="E14" s="4137"/>
      <c r="F14" s="4137"/>
      <c r="G14" s="3217">
        <v>3.06</v>
      </c>
      <c r="H14" s="3216">
        <f t="shared" si="1"/>
        <v>3.06</v>
      </c>
      <c r="I14" s="3218">
        <f t="shared" si="0"/>
        <v>3.06</v>
      </c>
      <c r="J14" s="3216">
        <f>H14</f>
        <v>3.06</v>
      </c>
      <c r="K14" s="3208"/>
      <c r="L14" s="3210"/>
      <c r="M14" s="3210"/>
      <c r="N14" s="3211"/>
      <c r="O14" s="3211"/>
      <c r="P14" s="3219"/>
      <c r="Q14" s="3219"/>
      <c r="R14" s="3220"/>
      <c r="S14" s="3211"/>
      <c r="T14" s="3211"/>
      <c r="U14" s="3211"/>
    </row>
    <row r="15" spans="1:21" ht="14.25">
      <c r="A15" s="4140"/>
      <c r="B15" s="4171"/>
      <c r="C15" s="4136" t="s">
        <v>3169</v>
      </c>
      <c r="D15" s="3216" t="s">
        <v>923</v>
      </c>
      <c r="E15" s="4136">
        <v>3</v>
      </c>
      <c r="F15" s="4136">
        <v>4</v>
      </c>
      <c r="G15" s="3217">
        <v>523.32000000000005</v>
      </c>
      <c r="H15" s="3216">
        <f t="shared" si="1"/>
        <v>523.32000000000005</v>
      </c>
      <c r="I15" s="3218">
        <f>F15*H15</f>
        <v>2093.2800000000002</v>
      </c>
      <c r="J15" s="3216">
        <f>F15*H15</f>
        <v>2093.2800000000002</v>
      </c>
      <c r="K15" s="3208"/>
      <c r="L15" s="3210"/>
      <c r="M15" s="3210"/>
      <c r="N15" s="3211">
        <f>F15*4</f>
        <v>16</v>
      </c>
      <c r="O15" s="3211"/>
      <c r="P15" s="3219"/>
      <c r="Q15" s="3219"/>
      <c r="R15" s="3220"/>
      <c r="S15" s="3211"/>
      <c r="T15" s="3211"/>
      <c r="U15" s="3211"/>
    </row>
    <row r="16" spans="1:21" ht="14.25">
      <c r="A16" s="4140"/>
      <c r="B16" s="4171"/>
      <c r="C16" s="4137"/>
      <c r="D16" s="3216" t="s">
        <v>3159</v>
      </c>
      <c r="E16" s="4137"/>
      <c r="F16" s="4137"/>
      <c r="G16" s="3217">
        <v>3.06</v>
      </c>
      <c r="H16" s="3216">
        <f t="shared" si="1"/>
        <v>3.06</v>
      </c>
      <c r="I16" s="3218">
        <f>G16*F15</f>
        <v>12.24</v>
      </c>
      <c r="J16" s="3216">
        <f>H16*F15</f>
        <v>12.24</v>
      </c>
      <c r="K16" s="3208"/>
      <c r="L16" s="3210"/>
      <c r="M16" s="3210"/>
      <c r="N16" s="3211"/>
      <c r="O16" s="3211"/>
      <c r="P16" s="3219"/>
      <c r="Q16" s="3219"/>
      <c r="R16" s="3219"/>
      <c r="S16" s="3211"/>
      <c r="T16" s="3211"/>
      <c r="U16" s="3211"/>
    </row>
    <row r="17" spans="1:21" ht="14.25">
      <c r="A17" s="4140"/>
      <c r="B17" s="4171"/>
      <c r="C17" s="4136" t="s">
        <v>3170</v>
      </c>
      <c r="D17" s="3216" t="s">
        <v>923</v>
      </c>
      <c r="E17" s="4136">
        <v>3</v>
      </c>
      <c r="F17" s="4136">
        <v>1</v>
      </c>
      <c r="G17" s="3217">
        <v>510.2</v>
      </c>
      <c r="H17" s="3216">
        <f t="shared" si="1"/>
        <v>510.2</v>
      </c>
      <c r="I17" s="3218">
        <f>G17*F17</f>
        <v>510.2</v>
      </c>
      <c r="J17" s="3216">
        <f>H17*F17</f>
        <v>510.2</v>
      </c>
      <c r="K17" s="3208"/>
      <c r="L17" s="3210"/>
      <c r="M17" s="3210"/>
      <c r="N17" s="3211">
        <v>4</v>
      </c>
      <c r="O17" s="3211"/>
      <c r="P17" s="3211"/>
      <c r="Q17" s="3211"/>
      <c r="R17" s="3211"/>
      <c r="S17" s="3211"/>
      <c r="T17" s="3211"/>
      <c r="U17" s="3211"/>
    </row>
    <row r="18" spans="1:21" ht="14.25">
      <c r="A18" s="4140"/>
      <c r="B18" s="4151"/>
      <c r="C18" s="4137"/>
      <c r="D18" s="3216" t="s">
        <v>3159</v>
      </c>
      <c r="E18" s="4137"/>
      <c r="F18" s="4137"/>
      <c r="G18" s="3217">
        <v>3.06</v>
      </c>
      <c r="H18" s="3216">
        <f t="shared" si="1"/>
        <v>3.06</v>
      </c>
      <c r="I18" s="3218">
        <f>G18</f>
        <v>3.06</v>
      </c>
      <c r="J18" s="3216">
        <f>H18</f>
        <v>3.06</v>
      </c>
      <c r="K18" s="3208"/>
      <c r="L18" s="3210"/>
      <c r="M18" s="3210"/>
      <c r="N18" s="3211"/>
      <c r="O18" s="3211"/>
      <c r="P18" s="3211"/>
      <c r="Q18" s="3211"/>
      <c r="R18" s="3211"/>
      <c r="S18" s="3211"/>
      <c r="T18" s="3211"/>
      <c r="U18" s="3211"/>
    </row>
    <row r="19" spans="1:21" ht="14.25">
      <c r="A19" s="4140"/>
      <c r="B19" s="4127" t="s">
        <v>27</v>
      </c>
      <c r="C19" s="4127"/>
      <c r="D19" s="3216"/>
      <c r="E19" s="3216"/>
      <c r="F19" s="3216">
        <f>F17+F15+F13+F10+F5</f>
        <v>8</v>
      </c>
      <c r="G19" s="3217"/>
      <c r="H19" s="3216"/>
      <c r="I19" s="3218">
        <f>SUM(I5:I18)</f>
        <v>4768.49</v>
      </c>
      <c r="J19" s="3216">
        <f>SUM(J5:J18)</f>
        <v>4594.33</v>
      </c>
      <c r="K19" s="3208"/>
      <c r="L19" s="3210"/>
      <c r="M19" s="3210"/>
      <c r="N19" s="3221">
        <f>SUM(N5:N18)</f>
        <v>24</v>
      </c>
      <c r="O19" s="3211"/>
      <c r="P19" s="3211"/>
      <c r="Q19" s="3211"/>
      <c r="R19" s="3211"/>
      <c r="S19" s="3211"/>
      <c r="T19" s="3211"/>
      <c r="U19" s="3211"/>
    </row>
    <row r="20" spans="1:21" ht="14.25">
      <c r="A20" s="4167" t="s">
        <v>3171</v>
      </c>
      <c r="B20" s="4142" t="s">
        <v>3172</v>
      </c>
      <c r="C20" s="3222" t="s">
        <v>3173</v>
      </c>
      <c r="D20" s="3222" t="s">
        <v>3174</v>
      </c>
      <c r="E20" s="3223">
        <v>3</v>
      </c>
      <c r="F20" s="3222">
        <v>1</v>
      </c>
      <c r="G20" s="3224">
        <v>658.64</v>
      </c>
      <c r="H20" s="3222">
        <f>G20</f>
        <v>658.64</v>
      </c>
      <c r="I20" s="3225">
        <f>G20</f>
        <v>658.64</v>
      </c>
      <c r="J20" s="3222">
        <f>H20</f>
        <v>658.64</v>
      </c>
      <c r="K20" s="3226"/>
      <c r="L20" s="3227">
        <f>I25</f>
        <v>4332.1600000000008</v>
      </c>
      <c r="M20" s="3210" t="s">
        <v>3166</v>
      </c>
      <c r="N20" s="3211">
        <v>4</v>
      </c>
      <c r="O20" s="3228"/>
      <c r="P20" s="3228"/>
      <c r="Q20" s="3229" t="s">
        <v>923</v>
      </c>
      <c r="R20" s="3229">
        <f>I20+I21+I22+I23+I24</f>
        <v>4332.1600000000008</v>
      </c>
      <c r="S20" s="3228"/>
      <c r="T20" s="3228"/>
      <c r="U20" s="3228"/>
    </row>
    <row r="21" spans="1:21" ht="14.25">
      <c r="A21" s="4168"/>
      <c r="B21" s="4143"/>
      <c r="C21" s="3222" t="s">
        <v>3165</v>
      </c>
      <c r="D21" s="3222" t="s">
        <v>3166</v>
      </c>
      <c r="E21" s="3222">
        <v>3</v>
      </c>
      <c r="F21" s="3222">
        <v>1</v>
      </c>
      <c r="G21" s="3224">
        <v>546.72</v>
      </c>
      <c r="H21" s="3222">
        <f>G21</f>
        <v>546.72</v>
      </c>
      <c r="I21" s="3225">
        <f>G21</f>
        <v>546.72</v>
      </c>
      <c r="J21" s="3222">
        <f>H21</f>
        <v>546.72</v>
      </c>
      <c r="K21" s="3226"/>
      <c r="L21" s="3230"/>
      <c r="M21" s="3230"/>
      <c r="N21" s="3211">
        <v>4</v>
      </c>
      <c r="O21" s="3228"/>
      <c r="P21" s="3228"/>
      <c r="Q21" s="3229" t="s">
        <v>2996</v>
      </c>
      <c r="R21" s="3229">
        <v>0</v>
      </c>
      <c r="S21" s="3228"/>
      <c r="T21" s="3228"/>
      <c r="U21" s="3228"/>
    </row>
    <row r="22" spans="1:21" ht="14.25">
      <c r="A22" s="4168"/>
      <c r="B22" s="4143"/>
      <c r="C22" s="3222" t="s">
        <v>3175</v>
      </c>
      <c r="D22" s="3222" t="s">
        <v>923</v>
      </c>
      <c r="E22" s="3222">
        <v>3</v>
      </c>
      <c r="F22" s="3222">
        <v>1</v>
      </c>
      <c r="G22" s="3224">
        <v>523.32000000000005</v>
      </c>
      <c r="H22" s="3222">
        <f>G22</f>
        <v>523.32000000000005</v>
      </c>
      <c r="I22" s="3225">
        <f>G22*F22</f>
        <v>523.32000000000005</v>
      </c>
      <c r="J22" s="3222">
        <f>H22*F22</f>
        <v>523.32000000000005</v>
      </c>
      <c r="K22" s="3226"/>
      <c r="L22" s="3230"/>
      <c r="M22" s="3230"/>
      <c r="N22" s="3211">
        <v>4</v>
      </c>
      <c r="O22" s="3228"/>
      <c r="P22" s="3228"/>
      <c r="Q22" s="3229" t="s">
        <v>3161</v>
      </c>
      <c r="R22" s="3229">
        <v>0</v>
      </c>
      <c r="S22" s="3228"/>
      <c r="T22" s="3228"/>
      <c r="U22" s="3228"/>
    </row>
    <row r="23" spans="1:21" ht="14.25">
      <c r="A23" s="4168"/>
      <c r="B23" s="4143"/>
      <c r="C23" s="3222" t="s">
        <v>3169</v>
      </c>
      <c r="D23" s="3222" t="s">
        <v>923</v>
      </c>
      <c r="E23" s="3222">
        <v>3</v>
      </c>
      <c r="F23" s="3222">
        <v>4</v>
      </c>
      <c r="G23" s="3224">
        <v>523.32000000000005</v>
      </c>
      <c r="H23" s="3222">
        <f>G23</f>
        <v>523.32000000000005</v>
      </c>
      <c r="I23" s="3225">
        <f>G23*F23</f>
        <v>2093.2800000000002</v>
      </c>
      <c r="J23" s="3222">
        <f>H23*F23</f>
        <v>2093.2800000000002</v>
      </c>
      <c r="K23" s="3226"/>
      <c r="L23" s="3230"/>
      <c r="M23" s="3230"/>
      <c r="N23" s="3211">
        <f>4*F23</f>
        <v>16</v>
      </c>
      <c r="O23" s="3228"/>
      <c r="P23" s="3228"/>
      <c r="Q23" s="3229" t="s">
        <v>3176</v>
      </c>
      <c r="R23" s="3229">
        <v>0</v>
      </c>
      <c r="S23" s="3228"/>
      <c r="T23" s="3228"/>
      <c r="U23" s="3228"/>
    </row>
    <row r="24" spans="1:21" ht="14.25">
      <c r="A24" s="4168"/>
      <c r="B24" s="4144"/>
      <c r="C24" s="3222" t="s">
        <v>3170</v>
      </c>
      <c r="D24" s="3222" t="s">
        <v>923</v>
      </c>
      <c r="E24" s="3222">
        <v>3</v>
      </c>
      <c r="F24" s="3222">
        <v>1</v>
      </c>
      <c r="G24" s="3224">
        <v>510.2</v>
      </c>
      <c r="H24" s="3222">
        <f>G24</f>
        <v>510.2</v>
      </c>
      <c r="I24" s="3225">
        <f>G24*F24</f>
        <v>510.2</v>
      </c>
      <c r="J24" s="3222">
        <f>H24*F24</f>
        <v>510.2</v>
      </c>
      <c r="K24" s="3226"/>
      <c r="L24" s="3230"/>
      <c r="M24" s="3230"/>
      <c r="N24" s="3211">
        <v>4</v>
      </c>
      <c r="O24" s="3228"/>
      <c r="P24" s="3228"/>
      <c r="Q24" s="3228"/>
      <c r="R24" s="3228"/>
      <c r="S24" s="3228"/>
      <c r="T24" s="3228"/>
      <c r="U24" s="3228"/>
    </row>
    <row r="25" spans="1:21" ht="14.25">
      <c r="A25" s="4169"/>
      <c r="B25" s="4145" t="s">
        <v>3177</v>
      </c>
      <c r="C25" s="4146"/>
      <c r="D25" s="3222"/>
      <c r="E25" s="3223"/>
      <c r="F25" s="3222">
        <f>F23+F22+F21+F20+F24</f>
        <v>8</v>
      </c>
      <c r="G25" s="3224"/>
      <c r="H25" s="3222"/>
      <c r="I25" s="3225">
        <f>SUM(I20:I24)</f>
        <v>4332.1600000000008</v>
      </c>
      <c r="J25" s="3222">
        <f>SUM(J20:J24)</f>
        <v>4332.1600000000008</v>
      </c>
      <c r="K25" s="3226"/>
      <c r="L25" s="3230"/>
      <c r="M25" s="3230"/>
      <c r="N25" s="3231">
        <f>SUM(N20:N24)</f>
        <v>32</v>
      </c>
      <c r="O25" s="3228"/>
      <c r="P25" s="3228"/>
      <c r="Q25" s="3228"/>
      <c r="R25" s="3228"/>
      <c r="S25" s="3228"/>
      <c r="T25" s="3228"/>
      <c r="U25" s="3228"/>
    </row>
    <row r="26" spans="1:21" ht="14.25">
      <c r="A26" s="4161" t="s">
        <v>3178</v>
      </c>
      <c r="B26" s="4159" t="s">
        <v>3179</v>
      </c>
      <c r="C26" s="4164" t="s">
        <v>3155</v>
      </c>
      <c r="D26" s="3232" t="s">
        <v>2996</v>
      </c>
      <c r="E26" s="3232">
        <v>4.8</v>
      </c>
      <c r="F26" s="4164">
        <v>1</v>
      </c>
      <c r="G26" s="3232">
        <v>1429.45</v>
      </c>
      <c r="H26" s="3232">
        <f>G26</f>
        <v>1429.45</v>
      </c>
      <c r="I26" s="3207">
        <f t="shared" ref="I26:J29" si="2">G26</f>
        <v>1429.45</v>
      </c>
      <c r="J26" s="3232">
        <f t="shared" si="2"/>
        <v>1429.45</v>
      </c>
      <c r="K26" s="3233"/>
      <c r="L26" s="3234">
        <f>G29+G31+G33</f>
        <v>2254.44</v>
      </c>
      <c r="M26" s="3234" t="s">
        <v>3166</v>
      </c>
      <c r="N26" s="3235"/>
      <c r="O26" s="3235"/>
      <c r="P26" s="3235"/>
      <c r="Q26" s="3236" t="s">
        <v>3166</v>
      </c>
      <c r="R26" s="3237">
        <f>I29+I31+I33</f>
        <v>3757.4</v>
      </c>
      <c r="S26" s="3238"/>
      <c r="T26" s="3238"/>
      <c r="U26" s="3235"/>
    </row>
    <row r="27" spans="1:21" ht="14.25">
      <c r="A27" s="4161"/>
      <c r="B27" s="4170"/>
      <c r="C27" s="4165"/>
      <c r="D27" s="3232" t="s">
        <v>3164</v>
      </c>
      <c r="E27" s="3232">
        <v>4.5</v>
      </c>
      <c r="F27" s="4165"/>
      <c r="G27" s="3232">
        <v>189.84</v>
      </c>
      <c r="H27" s="3232">
        <f>G27</f>
        <v>189.84</v>
      </c>
      <c r="I27" s="3207">
        <f t="shared" si="2"/>
        <v>189.84</v>
      </c>
      <c r="J27" s="3232">
        <f t="shared" si="2"/>
        <v>189.84</v>
      </c>
      <c r="K27" s="3233"/>
      <c r="L27" s="3234">
        <f>G26</f>
        <v>1429.45</v>
      </c>
      <c r="M27" s="3234" t="s">
        <v>3158</v>
      </c>
      <c r="N27" s="3235">
        <v>0</v>
      </c>
      <c r="O27" s="3235"/>
      <c r="P27" s="3235"/>
      <c r="Q27" s="3236" t="s">
        <v>3158</v>
      </c>
      <c r="R27" s="3237">
        <f>J26</f>
        <v>1429.45</v>
      </c>
      <c r="S27" s="3235"/>
      <c r="T27" s="3235"/>
      <c r="U27" s="3235"/>
    </row>
    <row r="28" spans="1:21" ht="14.25">
      <c r="A28" s="4161"/>
      <c r="B28" s="4170"/>
      <c r="C28" s="4166"/>
      <c r="D28" s="3232" t="s">
        <v>3180</v>
      </c>
      <c r="E28" s="3232">
        <v>3</v>
      </c>
      <c r="F28" s="4166"/>
      <c r="G28" s="3232">
        <v>142.69</v>
      </c>
      <c r="H28" s="3232">
        <v>0</v>
      </c>
      <c r="I28" s="3207">
        <f t="shared" si="2"/>
        <v>142.69</v>
      </c>
      <c r="J28" s="3232">
        <f t="shared" si="2"/>
        <v>0</v>
      </c>
      <c r="K28" s="3233"/>
      <c r="L28" s="3234">
        <f>G27+G28+G30+G32+G34</f>
        <v>340.93</v>
      </c>
      <c r="M28" s="3239" t="s">
        <v>3181</v>
      </c>
      <c r="N28" s="3235"/>
      <c r="O28" s="3235">
        <f>I35-J35</f>
        <v>142.69000000000051</v>
      </c>
      <c r="P28" s="3235"/>
      <c r="Q28" s="3236" t="s">
        <v>3181</v>
      </c>
      <c r="R28" s="3237">
        <f>I27+I28+I30+I32+I34</f>
        <v>346.53</v>
      </c>
      <c r="S28" s="3235"/>
      <c r="T28" s="3235"/>
      <c r="U28" s="3235"/>
    </row>
    <row r="29" spans="1:21" ht="14.25">
      <c r="A29" s="4161"/>
      <c r="B29" s="4170"/>
      <c r="C29" s="4159" t="s">
        <v>3165</v>
      </c>
      <c r="D29" s="3240" t="s">
        <v>3166</v>
      </c>
      <c r="E29" s="4159">
        <v>3</v>
      </c>
      <c r="F29" s="4159">
        <v>1</v>
      </c>
      <c r="G29" s="3240">
        <v>751.48</v>
      </c>
      <c r="H29" s="3240">
        <v>751.48</v>
      </c>
      <c r="I29" s="3218">
        <f t="shared" si="2"/>
        <v>751.48</v>
      </c>
      <c r="J29" s="3240">
        <f>H29</f>
        <v>751.48</v>
      </c>
      <c r="K29" s="3233"/>
      <c r="L29" s="3234"/>
      <c r="M29" s="3234"/>
      <c r="N29" s="3235">
        <v>6</v>
      </c>
      <c r="O29" s="3235"/>
      <c r="P29" s="3235"/>
      <c r="Q29" s="3235"/>
      <c r="R29" s="3235"/>
      <c r="S29" s="3235"/>
      <c r="T29" s="3235"/>
      <c r="U29" s="3235"/>
    </row>
    <row r="30" spans="1:21" ht="14.25">
      <c r="A30" s="4161"/>
      <c r="B30" s="4170"/>
      <c r="C30" s="4160"/>
      <c r="D30" s="3240" t="s">
        <v>3159</v>
      </c>
      <c r="E30" s="4160"/>
      <c r="F30" s="4160"/>
      <c r="G30" s="3240">
        <v>2.8</v>
      </c>
      <c r="H30" s="3240">
        <f>G30</f>
        <v>2.8</v>
      </c>
      <c r="I30" s="3218">
        <f>G30*F29</f>
        <v>2.8</v>
      </c>
      <c r="J30" s="3240">
        <f>H30*F29</f>
        <v>2.8</v>
      </c>
      <c r="K30" s="3233"/>
      <c r="L30" s="3234"/>
      <c r="M30" s="3234"/>
      <c r="N30" s="3235"/>
      <c r="O30" s="3235"/>
      <c r="P30" s="3235"/>
      <c r="Q30" s="3235"/>
      <c r="R30" s="3235"/>
      <c r="S30" s="3235"/>
      <c r="T30" s="3235"/>
      <c r="U30" s="3235"/>
    </row>
    <row r="31" spans="1:21" ht="14.25">
      <c r="A31" s="4161"/>
      <c r="B31" s="4170"/>
      <c r="C31" s="4159" t="s">
        <v>3182</v>
      </c>
      <c r="D31" s="3240" t="s">
        <v>923</v>
      </c>
      <c r="E31" s="4159">
        <v>3</v>
      </c>
      <c r="F31" s="4159">
        <v>3</v>
      </c>
      <c r="G31" s="3240">
        <v>751.48</v>
      </c>
      <c r="H31" s="3240">
        <f>G31</f>
        <v>751.48</v>
      </c>
      <c r="I31" s="3218">
        <f>F31*H31</f>
        <v>2254.44</v>
      </c>
      <c r="J31" s="3240">
        <f>F31*H31</f>
        <v>2254.44</v>
      </c>
      <c r="K31" s="3233"/>
      <c r="L31" s="3234"/>
      <c r="M31" s="3234"/>
      <c r="N31" s="3235">
        <f>F31*6</f>
        <v>18</v>
      </c>
      <c r="O31" s="3235"/>
      <c r="P31" s="3235"/>
      <c r="Q31" s="3235"/>
      <c r="R31" s="3235"/>
      <c r="S31" s="3235"/>
      <c r="T31" s="3235"/>
      <c r="U31" s="3235"/>
    </row>
    <row r="32" spans="1:21" ht="14.25">
      <c r="A32" s="4161"/>
      <c r="B32" s="4170"/>
      <c r="C32" s="4160"/>
      <c r="D32" s="3240" t="s">
        <v>3159</v>
      </c>
      <c r="E32" s="4160"/>
      <c r="F32" s="4160"/>
      <c r="G32" s="3240">
        <v>2.8</v>
      </c>
      <c r="H32" s="3240">
        <f>G32</f>
        <v>2.8</v>
      </c>
      <c r="I32" s="3218">
        <f>G32*F31</f>
        <v>8.3999999999999986</v>
      </c>
      <c r="J32" s="3240">
        <f>H32*F31</f>
        <v>8.3999999999999986</v>
      </c>
      <c r="K32" s="3233"/>
      <c r="L32" s="3234"/>
      <c r="M32" s="3234"/>
      <c r="N32" s="3235"/>
      <c r="O32" s="3235"/>
      <c r="P32" s="3235"/>
      <c r="Q32" s="3235"/>
      <c r="R32" s="3235"/>
      <c r="S32" s="3235"/>
      <c r="T32" s="3235"/>
      <c r="U32" s="3235"/>
    </row>
    <row r="33" spans="1:21" ht="14.25">
      <c r="A33" s="4161"/>
      <c r="B33" s="4170"/>
      <c r="C33" s="4159" t="s">
        <v>3183</v>
      </c>
      <c r="D33" s="3240" t="s">
        <v>923</v>
      </c>
      <c r="E33" s="4159">
        <v>3</v>
      </c>
      <c r="F33" s="4159">
        <v>1</v>
      </c>
      <c r="G33" s="3240">
        <v>751.48</v>
      </c>
      <c r="H33" s="3240">
        <v>751.48</v>
      </c>
      <c r="I33" s="3218">
        <f>G33*F33</f>
        <v>751.48</v>
      </c>
      <c r="J33" s="3240">
        <f>H33*F33</f>
        <v>751.48</v>
      </c>
      <c r="K33" s="3233"/>
      <c r="L33" s="3234"/>
      <c r="M33" s="3234"/>
      <c r="N33" s="3235">
        <v>6</v>
      </c>
      <c r="O33" s="3235"/>
      <c r="P33" s="3235"/>
      <c r="Q33" s="3235"/>
      <c r="R33" s="3235"/>
      <c r="S33" s="3235"/>
      <c r="T33" s="3235"/>
      <c r="U33" s="3235"/>
    </row>
    <row r="34" spans="1:21" ht="14.25">
      <c r="A34" s="4161"/>
      <c r="B34" s="4160"/>
      <c r="C34" s="4160"/>
      <c r="D34" s="3240" t="s">
        <v>3184</v>
      </c>
      <c r="E34" s="4160"/>
      <c r="F34" s="4160"/>
      <c r="G34" s="3240">
        <v>2.8</v>
      </c>
      <c r="H34" s="3240">
        <f>G34</f>
        <v>2.8</v>
      </c>
      <c r="I34" s="3218">
        <f>G34*F33</f>
        <v>2.8</v>
      </c>
      <c r="J34" s="3240">
        <f>H34*F33</f>
        <v>2.8</v>
      </c>
      <c r="K34" s="3233"/>
      <c r="L34" s="3234"/>
      <c r="M34" s="3234"/>
      <c r="N34" s="3235"/>
      <c r="O34" s="3235"/>
      <c r="P34" s="3235"/>
      <c r="Q34" s="3235"/>
      <c r="R34" s="3235"/>
      <c r="S34" s="3235"/>
      <c r="T34" s="3235"/>
      <c r="U34" s="3235"/>
    </row>
    <row r="35" spans="1:21" ht="14.25">
      <c r="A35" s="4161"/>
      <c r="B35" s="4161" t="s">
        <v>27</v>
      </c>
      <c r="C35" s="4161"/>
      <c r="D35" s="3240"/>
      <c r="E35" s="3240"/>
      <c r="F35" s="3240">
        <f>F33+F31+F29+F26</f>
        <v>6</v>
      </c>
      <c r="G35" s="3240"/>
      <c r="H35" s="3240"/>
      <c r="I35" s="3218">
        <f>SUM(I26:I34)</f>
        <v>5533.38</v>
      </c>
      <c r="J35" s="3240">
        <f>SUM(J26:J34)</f>
        <v>5390.69</v>
      </c>
      <c r="K35" s="3233"/>
      <c r="L35" s="3234"/>
      <c r="M35" s="3234"/>
      <c r="N35" s="3235">
        <f>SUM(N27:N34)</f>
        <v>30</v>
      </c>
      <c r="O35" s="3235"/>
      <c r="P35" s="3235"/>
      <c r="Q35" s="3235"/>
      <c r="R35" s="3235"/>
      <c r="S35" s="3235"/>
      <c r="T35" s="3235"/>
      <c r="U35" s="3235"/>
    </row>
    <row r="36" spans="1:21" ht="14.25">
      <c r="A36" s="4156" t="s">
        <v>3185</v>
      </c>
      <c r="B36" s="4156" t="s">
        <v>3179</v>
      </c>
      <c r="C36" s="4156" t="s">
        <v>3186</v>
      </c>
      <c r="D36" s="3241" t="s">
        <v>3158</v>
      </c>
      <c r="E36" s="3242">
        <v>4.8</v>
      </c>
      <c r="F36" s="4156">
        <v>1</v>
      </c>
      <c r="G36" s="3241">
        <v>563.03</v>
      </c>
      <c r="H36" s="3241">
        <f>G36</f>
        <v>563.03</v>
      </c>
      <c r="I36" s="3218">
        <f t="shared" ref="I36:J40" si="3">G36</f>
        <v>563.03</v>
      </c>
      <c r="J36" s="3241">
        <f t="shared" si="3"/>
        <v>563.03</v>
      </c>
      <c r="K36" s="3243"/>
      <c r="L36" s="3244">
        <f>I37+I39+I41+I43+I45</f>
        <v>6206.18</v>
      </c>
      <c r="M36" s="3244" t="s">
        <v>3166</v>
      </c>
      <c r="N36" s="3245"/>
      <c r="O36" s="3245"/>
      <c r="P36" s="3245"/>
      <c r="Q36" s="3237" t="s">
        <v>923</v>
      </c>
      <c r="R36" s="3237">
        <f>I37+I39+I41+I43+I45</f>
        <v>6206.18</v>
      </c>
      <c r="S36" s="3245"/>
      <c r="T36" s="3246"/>
      <c r="U36" s="3246"/>
    </row>
    <row r="37" spans="1:21" ht="14.25">
      <c r="A37" s="4158"/>
      <c r="B37" s="4158"/>
      <c r="C37" s="4158"/>
      <c r="D37" s="3241" t="s">
        <v>3166</v>
      </c>
      <c r="E37" s="4162">
        <v>3</v>
      </c>
      <c r="F37" s="4158"/>
      <c r="G37" s="3241">
        <v>914.2</v>
      </c>
      <c r="H37" s="3241">
        <v>914.2</v>
      </c>
      <c r="I37" s="3218">
        <f t="shared" si="3"/>
        <v>914.2</v>
      </c>
      <c r="J37" s="3241">
        <f t="shared" si="3"/>
        <v>914.2</v>
      </c>
      <c r="K37" s="3243"/>
      <c r="L37" s="3244">
        <f>I36+I38+I40+I42+I44+I46</f>
        <v>573.26999999999987</v>
      </c>
      <c r="M37" s="3244" t="s">
        <v>3158</v>
      </c>
      <c r="N37" s="3245"/>
      <c r="O37" s="3245"/>
      <c r="P37" s="3245"/>
      <c r="Q37" s="3237" t="s">
        <v>2996</v>
      </c>
      <c r="R37" s="3237">
        <f>I36</f>
        <v>563.03</v>
      </c>
      <c r="S37" s="3245"/>
      <c r="T37" s="3246"/>
      <c r="U37" s="3246"/>
    </row>
    <row r="38" spans="1:21" ht="14.25">
      <c r="A38" s="4158"/>
      <c r="B38" s="4158"/>
      <c r="C38" s="4157"/>
      <c r="D38" s="3241" t="s">
        <v>3159</v>
      </c>
      <c r="E38" s="4163"/>
      <c r="F38" s="4157"/>
      <c r="G38" s="3241">
        <v>1.28</v>
      </c>
      <c r="H38" s="3241">
        <f>G38</f>
        <v>1.28</v>
      </c>
      <c r="I38" s="3218">
        <f t="shared" si="3"/>
        <v>1.28</v>
      </c>
      <c r="J38" s="3241">
        <f t="shared" si="3"/>
        <v>1.28</v>
      </c>
      <c r="K38" s="3243"/>
      <c r="L38" s="3244"/>
      <c r="M38" s="3244"/>
      <c r="N38" s="3245">
        <v>6</v>
      </c>
      <c r="O38" s="3246"/>
      <c r="P38" s="3246"/>
      <c r="Q38" s="3247" t="s">
        <v>3161</v>
      </c>
      <c r="R38" s="3247">
        <f>I38+I40+I42+I44+I46</f>
        <v>10.24</v>
      </c>
      <c r="S38" s="3246"/>
      <c r="T38" s="3246"/>
      <c r="U38" s="3246"/>
    </row>
    <row r="39" spans="1:21" ht="14.25">
      <c r="A39" s="4158"/>
      <c r="B39" s="4158"/>
      <c r="C39" s="4156" t="s">
        <v>3165</v>
      </c>
      <c r="D39" s="3241" t="s">
        <v>3166</v>
      </c>
      <c r="E39" s="4156">
        <v>3</v>
      </c>
      <c r="F39" s="4156">
        <v>1</v>
      </c>
      <c r="G39" s="3241">
        <v>783.1</v>
      </c>
      <c r="H39" s="3241">
        <v>783.1</v>
      </c>
      <c r="I39" s="3218">
        <f t="shared" si="3"/>
        <v>783.1</v>
      </c>
      <c r="J39" s="3241">
        <f t="shared" si="3"/>
        <v>783.1</v>
      </c>
      <c r="K39" s="3243"/>
      <c r="L39" s="3244"/>
      <c r="M39" s="3244"/>
      <c r="N39" s="3245"/>
      <c r="O39" s="3246"/>
      <c r="P39" s="3246"/>
      <c r="Q39" s="3246"/>
      <c r="R39" s="3246"/>
      <c r="S39" s="3246"/>
      <c r="T39" s="3246"/>
      <c r="U39" s="3246"/>
    </row>
    <row r="40" spans="1:21" ht="14.25">
      <c r="A40" s="4158"/>
      <c r="B40" s="4158"/>
      <c r="C40" s="4157"/>
      <c r="D40" s="3241" t="s">
        <v>3159</v>
      </c>
      <c r="E40" s="4157"/>
      <c r="F40" s="4157"/>
      <c r="G40" s="3241">
        <v>1.28</v>
      </c>
      <c r="H40" s="3241">
        <f>G40</f>
        <v>1.28</v>
      </c>
      <c r="I40" s="3218">
        <f t="shared" si="3"/>
        <v>1.28</v>
      </c>
      <c r="J40" s="3241">
        <f t="shared" si="3"/>
        <v>1.28</v>
      </c>
      <c r="K40" s="3243"/>
      <c r="L40" s="3244"/>
      <c r="M40" s="3244"/>
      <c r="N40" s="3245">
        <v>6</v>
      </c>
      <c r="O40" s="3246"/>
      <c r="P40" s="3246"/>
      <c r="Q40" s="3246"/>
      <c r="R40" s="3246"/>
      <c r="S40" s="3246"/>
      <c r="T40" s="3246"/>
      <c r="U40" s="3246"/>
    </row>
    <row r="41" spans="1:21" ht="14.25">
      <c r="A41" s="4158"/>
      <c r="B41" s="4158"/>
      <c r="C41" s="4156" t="s">
        <v>3175</v>
      </c>
      <c r="D41" s="3241" t="s">
        <v>923</v>
      </c>
      <c r="E41" s="4156">
        <v>3</v>
      </c>
      <c r="F41" s="4156">
        <v>1</v>
      </c>
      <c r="G41" s="3241">
        <v>751.48</v>
      </c>
      <c r="H41" s="3241">
        <v>751.48</v>
      </c>
      <c r="I41" s="3218">
        <f>G41</f>
        <v>751.48</v>
      </c>
      <c r="J41" s="3241">
        <f>H41*F41</f>
        <v>751.48</v>
      </c>
      <c r="K41" s="3243"/>
      <c r="L41" s="3244"/>
      <c r="M41" s="3244"/>
      <c r="N41" s="3246"/>
      <c r="O41" s="3245"/>
      <c r="P41" s="3246"/>
      <c r="Q41" s="3246"/>
      <c r="R41" s="3246"/>
      <c r="S41" s="3246"/>
      <c r="T41" s="3246"/>
      <c r="U41" s="3246"/>
    </row>
    <row r="42" spans="1:21" ht="14.25">
      <c r="A42" s="4158"/>
      <c r="B42" s="4158"/>
      <c r="C42" s="4157"/>
      <c r="D42" s="3241" t="s">
        <v>3187</v>
      </c>
      <c r="E42" s="4157"/>
      <c r="F42" s="4157"/>
      <c r="G42" s="3241">
        <v>1.28</v>
      </c>
      <c r="H42" s="3241">
        <f>G42</f>
        <v>1.28</v>
      </c>
      <c r="I42" s="3218">
        <f>G42</f>
        <v>1.28</v>
      </c>
      <c r="J42" s="3241">
        <f>H42</f>
        <v>1.28</v>
      </c>
      <c r="K42" s="3243"/>
      <c r="L42" s="3244"/>
      <c r="M42" s="3244"/>
      <c r="N42" s="3246">
        <v>6</v>
      </c>
      <c r="O42" s="3245"/>
      <c r="P42" s="3246"/>
      <c r="Q42" s="3246"/>
      <c r="R42" s="3246"/>
      <c r="S42" s="3246"/>
      <c r="T42" s="3246"/>
      <c r="U42" s="3246"/>
    </row>
    <row r="43" spans="1:21" ht="14.25">
      <c r="A43" s="4158"/>
      <c r="B43" s="4158"/>
      <c r="C43" s="4156" t="s">
        <v>3188</v>
      </c>
      <c r="D43" s="3241" t="s">
        <v>923</v>
      </c>
      <c r="E43" s="4156">
        <v>3</v>
      </c>
      <c r="F43" s="4156">
        <v>4</v>
      </c>
      <c r="G43" s="3241">
        <v>751.48</v>
      </c>
      <c r="H43" s="3241">
        <v>751.48</v>
      </c>
      <c r="I43" s="3218">
        <f>G43*F43</f>
        <v>3005.92</v>
      </c>
      <c r="J43" s="3241">
        <f>H43*F43</f>
        <v>3005.92</v>
      </c>
      <c r="K43" s="3243"/>
      <c r="L43" s="3244"/>
      <c r="M43" s="3244"/>
      <c r="N43" s="3246"/>
      <c r="O43" s="3245"/>
      <c r="P43" s="3246"/>
      <c r="Q43" s="3246"/>
      <c r="R43" s="3246"/>
      <c r="S43" s="3246"/>
      <c r="T43" s="3246"/>
      <c r="U43" s="3246"/>
    </row>
    <row r="44" spans="1:21" ht="14.25">
      <c r="A44" s="4158"/>
      <c r="B44" s="4158"/>
      <c r="C44" s="4157"/>
      <c r="D44" s="3241" t="s">
        <v>3189</v>
      </c>
      <c r="E44" s="4157"/>
      <c r="F44" s="4157"/>
      <c r="G44" s="3241">
        <v>1.28</v>
      </c>
      <c r="H44" s="3241">
        <f>G44</f>
        <v>1.28</v>
      </c>
      <c r="I44" s="3218">
        <f>G44*F43</f>
        <v>5.12</v>
      </c>
      <c r="J44" s="3241">
        <f>H44*F43</f>
        <v>5.12</v>
      </c>
      <c r="K44" s="3243"/>
      <c r="L44" s="3244"/>
      <c r="M44" s="3244"/>
      <c r="N44" s="3246">
        <f>6*F43</f>
        <v>24</v>
      </c>
      <c r="O44" s="3245"/>
      <c r="P44" s="3246"/>
      <c r="Q44" s="3246"/>
      <c r="R44" s="3246"/>
      <c r="S44" s="3246"/>
      <c r="T44" s="3246"/>
      <c r="U44" s="3246"/>
    </row>
    <row r="45" spans="1:21" ht="14.25">
      <c r="A45" s="4158"/>
      <c r="B45" s="4158"/>
      <c r="C45" s="4156" t="s">
        <v>3190</v>
      </c>
      <c r="D45" s="3241" t="s">
        <v>923</v>
      </c>
      <c r="E45" s="4156">
        <v>3</v>
      </c>
      <c r="F45" s="4156">
        <v>1</v>
      </c>
      <c r="G45" s="3241">
        <v>751.48</v>
      </c>
      <c r="H45" s="3241">
        <v>751.48</v>
      </c>
      <c r="I45" s="3218">
        <f>G45*F45</f>
        <v>751.48</v>
      </c>
      <c r="J45" s="3241">
        <f>H45*1</f>
        <v>751.48</v>
      </c>
      <c r="K45" s="3243"/>
      <c r="L45" s="3244"/>
      <c r="M45" s="3244"/>
      <c r="N45" s="3246"/>
      <c r="O45" s="3245"/>
      <c r="P45" s="3246"/>
      <c r="Q45" s="3246"/>
      <c r="R45" s="3246"/>
      <c r="S45" s="3246"/>
      <c r="T45" s="3246"/>
      <c r="U45" s="3246"/>
    </row>
    <row r="46" spans="1:21" ht="14.25">
      <c r="A46" s="4158"/>
      <c r="B46" s="4157"/>
      <c r="C46" s="4157"/>
      <c r="D46" s="3241" t="s">
        <v>3191</v>
      </c>
      <c r="E46" s="4157"/>
      <c r="F46" s="4157"/>
      <c r="G46" s="3241">
        <v>1.28</v>
      </c>
      <c r="H46" s="3241">
        <f>G46</f>
        <v>1.28</v>
      </c>
      <c r="I46" s="3218">
        <f>G46*F45</f>
        <v>1.28</v>
      </c>
      <c r="J46" s="3241">
        <f>H46*F45</f>
        <v>1.28</v>
      </c>
      <c r="K46" s="3243"/>
      <c r="L46" s="3244"/>
      <c r="M46" s="3244"/>
      <c r="N46" s="3246">
        <v>6</v>
      </c>
      <c r="O46" s="3245"/>
      <c r="P46" s="3246"/>
      <c r="Q46" s="3246"/>
      <c r="R46" s="3246"/>
      <c r="S46" s="3246"/>
      <c r="T46" s="3246"/>
      <c r="U46" s="3246"/>
    </row>
    <row r="47" spans="1:21" ht="14.25">
      <c r="A47" s="4157"/>
      <c r="B47" s="4154" t="s">
        <v>27</v>
      </c>
      <c r="C47" s="4154"/>
      <c r="D47" s="3241"/>
      <c r="E47" s="3241"/>
      <c r="F47" s="3241">
        <f>F36+F39+F41+F43+F45</f>
        <v>8</v>
      </c>
      <c r="G47" s="3241"/>
      <c r="H47" s="3241"/>
      <c r="I47" s="3218">
        <f>SUM(I36:I46)</f>
        <v>6779.45</v>
      </c>
      <c r="J47" s="3241">
        <f>SUM(J36:J46)</f>
        <v>6779.45</v>
      </c>
      <c r="K47" s="3243"/>
      <c r="L47" s="3244"/>
      <c r="M47" s="3244"/>
      <c r="N47" s="3246">
        <f>SUM(N38:N46)</f>
        <v>48</v>
      </c>
      <c r="O47" s="3245"/>
      <c r="P47" s="3246"/>
      <c r="Q47" s="3246"/>
      <c r="R47" s="3246"/>
      <c r="S47" s="3246"/>
      <c r="T47" s="3246"/>
      <c r="U47" s="3246"/>
    </row>
    <row r="48" spans="1:21" ht="14.25">
      <c r="A48" s="4152" t="s">
        <v>3192</v>
      </c>
      <c r="B48" s="4152" t="s">
        <v>3193</v>
      </c>
      <c r="C48" s="4152" t="s">
        <v>3194</v>
      </c>
      <c r="D48" s="3248" t="s">
        <v>3195</v>
      </c>
      <c r="E48" s="3249">
        <v>4.8</v>
      </c>
      <c r="F48" s="4152">
        <v>1</v>
      </c>
      <c r="G48" s="3248">
        <v>316.02</v>
      </c>
      <c r="H48" s="3248">
        <f>G48</f>
        <v>316.02</v>
      </c>
      <c r="I48" s="3218">
        <f t="shared" ref="I48:J52" si="4">G48</f>
        <v>316.02</v>
      </c>
      <c r="J48" s="3248">
        <f t="shared" si="4"/>
        <v>316.02</v>
      </c>
      <c r="K48" s="3250"/>
      <c r="L48" s="3251">
        <f>I49+I51+I53+I55+I57</f>
        <v>6206.18</v>
      </c>
      <c r="M48" s="3251" t="s">
        <v>3196</v>
      </c>
      <c r="N48" s="3252"/>
      <c r="O48" s="3253"/>
      <c r="P48" s="3253"/>
      <c r="Q48" s="3247" t="s">
        <v>923</v>
      </c>
      <c r="R48" s="3247">
        <f>I49+I51+I53+I55+I57</f>
        <v>6206.18</v>
      </c>
      <c r="S48" s="3253"/>
      <c r="T48" s="3253"/>
      <c r="U48" s="3253"/>
    </row>
    <row r="49" spans="1:21" ht="14.25">
      <c r="A49" s="4155"/>
      <c r="B49" s="4155"/>
      <c r="C49" s="4155"/>
      <c r="D49" s="3248" t="s">
        <v>3196</v>
      </c>
      <c r="E49" s="3254">
        <v>3</v>
      </c>
      <c r="F49" s="4155"/>
      <c r="G49" s="3248">
        <v>914.2</v>
      </c>
      <c r="H49" s="3248">
        <v>914.2</v>
      </c>
      <c r="I49" s="3218">
        <f t="shared" si="4"/>
        <v>914.2</v>
      </c>
      <c r="J49" s="3248">
        <f t="shared" si="4"/>
        <v>914.2</v>
      </c>
      <c r="K49" s="3250"/>
      <c r="L49" s="3251">
        <f>I48+I50+I52+I54+I56+I58</f>
        <v>326.25999999999988</v>
      </c>
      <c r="M49" s="3251" t="s">
        <v>3197</v>
      </c>
      <c r="N49" s="3252">
        <v>6</v>
      </c>
      <c r="O49" s="3253"/>
      <c r="P49" s="3253"/>
      <c r="Q49" s="3247" t="s">
        <v>2996</v>
      </c>
      <c r="R49" s="3247">
        <f>I48</f>
        <v>316.02</v>
      </c>
      <c r="S49" s="3253"/>
      <c r="T49" s="3253"/>
      <c r="U49" s="3253"/>
    </row>
    <row r="50" spans="1:21" ht="14.25">
      <c r="A50" s="4155"/>
      <c r="B50" s="4155"/>
      <c r="C50" s="4153"/>
      <c r="D50" s="3248" t="s">
        <v>3198</v>
      </c>
      <c r="E50" s="3254"/>
      <c r="F50" s="4153"/>
      <c r="G50" s="3248">
        <v>1.28</v>
      </c>
      <c r="H50" s="3248">
        <f>G50</f>
        <v>1.28</v>
      </c>
      <c r="I50" s="3218">
        <f t="shared" si="4"/>
        <v>1.28</v>
      </c>
      <c r="J50" s="3248">
        <f t="shared" si="4"/>
        <v>1.28</v>
      </c>
      <c r="K50" s="3250"/>
      <c r="L50" s="3251"/>
      <c r="M50" s="3251"/>
      <c r="N50" s="3252"/>
      <c r="O50" s="3253"/>
      <c r="P50" s="3253"/>
      <c r="Q50" s="3247" t="s">
        <v>3161</v>
      </c>
      <c r="R50" s="3247">
        <f>I50+I52+I54+I56+I58</f>
        <v>10.24</v>
      </c>
      <c r="S50" s="3253"/>
      <c r="T50" s="3253"/>
      <c r="U50" s="3253"/>
    </row>
    <row r="51" spans="1:21" ht="14.25">
      <c r="A51" s="4155"/>
      <c r="B51" s="4155"/>
      <c r="C51" s="4152" t="s">
        <v>3199</v>
      </c>
      <c r="D51" s="3248" t="s">
        <v>3200</v>
      </c>
      <c r="E51" s="4152">
        <v>3</v>
      </c>
      <c r="F51" s="4152">
        <v>1</v>
      </c>
      <c r="G51" s="3248">
        <v>783.1</v>
      </c>
      <c r="H51" s="3248">
        <v>783.1</v>
      </c>
      <c r="I51" s="3218">
        <f t="shared" si="4"/>
        <v>783.1</v>
      </c>
      <c r="J51" s="3248">
        <f t="shared" si="4"/>
        <v>783.1</v>
      </c>
      <c r="K51" s="3250"/>
      <c r="L51" s="3251"/>
      <c r="M51" s="3251"/>
      <c r="N51" s="3252"/>
      <c r="O51" s="3253"/>
      <c r="P51" s="3253"/>
      <c r="Q51" s="3253"/>
      <c r="R51" s="3253"/>
      <c r="S51" s="3253"/>
      <c r="T51" s="3253"/>
      <c r="U51" s="3253"/>
    </row>
    <row r="52" spans="1:21" ht="14.25">
      <c r="A52" s="4155"/>
      <c r="B52" s="4155"/>
      <c r="C52" s="4153"/>
      <c r="D52" s="3248" t="s">
        <v>3201</v>
      </c>
      <c r="E52" s="4153"/>
      <c r="F52" s="4153"/>
      <c r="G52" s="3248">
        <v>1.28</v>
      </c>
      <c r="H52" s="3248">
        <f>G52</f>
        <v>1.28</v>
      </c>
      <c r="I52" s="3218">
        <f t="shared" si="4"/>
        <v>1.28</v>
      </c>
      <c r="J52" s="3248">
        <f t="shared" si="4"/>
        <v>1.28</v>
      </c>
      <c r="K52" s="3250"/>
      <c r="L52" s="3251"/>
      <c r="M52" s="3251"/>
      <c r="N52" s="3252">
        <v>6</v>
      </c>
      <c r="O52" s="3253"/>
      <c r="P52" s="3253"/>
      <c r="Q52" s="3253"/>
      <c r="R52" s="3253"/>
      <c r="S52" s="3253"/>
      <c r="T52" s="3253"/>
      <c r="U52" s="3253"/>
    </row>
    <row r="53" spans="1:21" ht="14.25">
      <c r="A53" s="4155"/>
      <c r="B53" s="4155"/>
      <c r="C53" s="4152" t="s">
        <v>3202</v>
      </c>
      <c r="D53" s="3248" t="s">
        <v>923</v>
      </c>
      <c r="E53" s="4152">
        <v>3</v>
      </c>
      <c r="F53" s="4152">
        <v>1</v>
      </c>
      <c r="G53" s="3248">
        <v>751.48</v>
      </c>
      <c r="H53" s="3248">
        <v>751.48</v>
      </c>
      <c r="I53" s="3218">
        <f>G53</f>
        <v>751.48</v>
      </c>
      <c r="J53" s="3248">
        <f>H53*F53</f>
        <v>751.48</v>
      </c>
      <c r="K53" s="3250"/>
      <c r="L53" s="3251"/>
      <c r="M53" s="3251"/>
      <c r="N53" s="3253"/>
      <c r="O53" s="3252"/>
      <c r="P53" s="3253"/>
      <c r="Q53" s="3253"/>
      <c r="R53" s="3253"/>
      <c r="S53" s="3253"/>
      <c r="T53" s="3253"/>
      <c r="U53" s="3253"/>
    </row>
    <row r="54" spans="1:21" ht="14.25">
      <c r="A54" s="4155"/>
      <c r="B54" s="4155"/>
      <c r="C54" s="4153"/>
      <c r="D54" s="3248" t="s">
        <v>3198</v>
      </c>
      <c r="E54" s="4153"/>
      <c r="F54" s="4153"/>
      <c r="G54" s="3248">
        <v>1.28</v>
      </c>
      <c r="H54" s="3248">
        <f>G54</f>
        <v>1.28</v>
      </c>
      <c r="I54" s="3218">
        <f>G54</f>
        <v>1.28</v>
      </c>
      <c r="J54" s="3248">
        <f>H54</f>
        <v>1.28</v>
      </c>
      <c r="K54" s="3250"/>
      <c r="L54" s="3251"/>
      <c r="M54" s="3251"/>
      <c r="N54" s="3253">
        <v>6</v>
      </c>
      <c r="O54" s="3252"/>
      <c r="P54" s="3253"/>
      <c r="Q54" s="3253"/>
      <c r="R54" s="3253"/>
      <c r="S54" s="3253"/>
      <c r="T54" s="3253"/>
      <c r="U54" s="3253"/>
    </row>
    <row r="55" spans="1:21" ht="14.25">
      <c r="A55" s="4155"/>
      <c r="B55" s="4155"/>
      <c r="C55" s="4152" t="s">
        <v>3203</v>
      </c>
      <c r="D55" s="3248" t="s">
        <v>923</v>
      </c>
      <c r="E55" s="4152">
        <v>3</v>
      </c>
      <c r="F55" s="4152">
        <v>4</v>
      </c>
      <c r="G55" s="3248">
        <v>751.48</v>
      </c>
      <c r="H55" s="3248">
        <v>751.48</v>
      </c>
      <c r="I55" s="3218">
        <f>G55*F55</f>
        <v>3005.92</v>
      </c>
      <c r="J55" s="3248">
        <f>H55*F55</f>
        <v>3005.92</v>
      </c>
      <c r="K55" s="3250"/>
      <c r="L55" s="3251"/>
      <c r="M55" s="3251"/>
      <c r="N55" s="3253"/>
      <c r="O55" s="3252"/>
      <c r="P55" s="3253"/>
      <c r="Q55" s="3253"/>
      <c r="R55" s="3253"/>
      <c r="S55" s="3253"/>
      <c r="T55" s="3253"/>
      <c r="U55" s="3253"/>
    </row>
    <row r="56" spans="1:21" ht="14.25">
      <c r="A56" s="4155"/>
      <c r="B56" s="4155"/>
      <c r="C56" s="4153"/>
      <c r="D56" s="3248" t="s">
        <v>3204</v>
      </c>
      <c r="E56" s="4153"/>
      <c r="F56" s="4153"/>
      <c r="G56" s="3248">
        <v>1.28</v>
      </c>
      <c r="H56" s="3248">
        <f>G56</f>
        <v>1.28</v>
      </c>
      <c r="I56" s="3218">
        <f>G56*F55</f>
        <v>5.12</v>
      </c>
      <c r="J56" s="3248">
        <f>H56*F55</f>
        <v>5.12</v>
      </c>
      <c r="K56" s="3250"/>
      <c r="L56" s="3251"/>
      <c r="M56" s="3251"/>
      <c r="N56" s="3253">
        <f>6*F55</f>
        <v>24</v>
      </c>
      <c r="O56" s="3252"/>
      <c r="P56" s="3253"/>
      <c r="Q56" s="3253"/>
      <c r="R56" s="3253"/>
      <c r="S56" s="3253"/>
      <c r="T56" s="3253"/>
      <c r="U56" s="3253"/>
    </row>
    <row r="57" spans="1:21" ht="14.25">
      <c r="A57" s="4155"/>
      <c r="B57" s="4155"/>
      <c r="C57" s="4152" t="s">
        <v>3205</v>
      </c>
      <c r="D57" s="3248" t="s">
        <v>923</v>
      </c>
      <c r="E57" s="4152">
        <v>3</v>
      </c>
      <c r="F57" s="4152">
        <v>1</v>
      </c>
      <c r="G57" s="3248">
        <v>751.48</v>
      </c>
      <c r="H57" s="3248">
        <v>751.48</v>
      </c>
      <c r="I57" s="3218">
        <f>G57*F57</f>
        <v>751.48</v>
      </c>
      <c r="J57" s="3248">
        <f>H57*1</f>
        <v>751.48</v>
      </c>
      <c r="K57" s="3250"/>
      <c r="L57" s="3251"/>
      <c r="M57" s="3251"/>
      <c r="N57" s="3253"/>
      <c r="O57" s="3252"/>
      <c r="P57" s="3253"/>
      <c r="Q57" s="3253"/>
      <c r="R57" s="3253"/>
      <c r="S57" s="3253"/>
      <c r="T57" s="3253"/>
      <c r="U57" s="3253"/>
    </row>
    <row r="58" spans="1:21" ht="14.25">
      <c r="A58" s="4155"/>
      <c r="B58" s="4153"/>
      <c r="C58" s="4153"/>
      <c r="D58" s="3248" t="s">
        <v>3206</v>
      </c>
      <c r="E58" s="4153"/>
      <c r="F58" s="4153"/>
      <c r="G58" s="3248">
        <v>1.28</v>
      </c>
      <c r="H58" s="3248">
        <f>G58</f>
        <v>1.28</v>
      </c>
      <c r="I58" s="3218">
        <f>G58*F57</f>
        <v>1.28</v>
      </c>
      <c r="J58" s="3248">
        <f>H58*F57</f>
        <v>1.28</v>
      </c>
      <c r="K58" s="3250"/>
      <c r="L58" s="3251"/>
      <c r="M58" s="3251"/>
      <c r="N58" s="3253">
        <v>6</v>
      </c>
      <c r="O58" s="3252"/>
      <c r="P58" s="3253"/>
      <c r="Q58" s="3253"/>
      <c r="R58" s="3253"/>
      <c r="S58" s="3253"/>
      <c r="T58" s="3253"/>
      <c r="U58" s="3253"/>
    </row>
    <row r="59" spans="1:21" ht="14.25">
      <c r="A59" s="4153"/>
      <c r="B59" s="4149" t="s">
        <v>27</v>
      </c>
      <c r="C59" s="4149"/>
      <c r="D59" s="3248"/>
      <c r="E59" s="3248"/>
      <c r="F59" s="3248">
        <f>F48+F51+F53+F55+F57</f>
        <v>8</v>
      </c>
      <c r="G59" s="3248"/>
      <c r="H59" s="3248"/>
      <c r="I59" s="3218">
        <f>SUM(I48:I58)</f>
        <v>6532.44</v>
      </c>
      <c r="J59" s="3248">
        <f>SUM(J48:J58)</f>
        <v>6532.44</v>
      </c>
      <c r="K59" s="3250"/>
      <c r="L59" s="3251"/>
      <c r="M59" s="3251"/>
      <c r="N59" s="3253">
        <f>SUM(N49:N58)</f>
        <v>48</v>
      </c>
      <c r="O59" s="3252"/>
      <c r="P59" s="3253"/>
      <c r="Q59" s="3253"/>
      <c r="R59" s="3253"/>
      <c r="S59" s="3253"/>
      <c r="T59" s="3253"/>
      <c r="U59" s="3253"/>
    </row>
    <row r="60" spans="1:21" ht="14.25">
      <c r="A60" s="4133" t="s">
        <v>3207</v>
      </c>
      <c r="B60" s="4142" t="s">
        <v>3208</v>
      </c>
      <c r="C60" s="3222" t="s">
        <v>3209</v>
      </c>
      <c r="D60" s="3222" t="s">
        <v>3210</v>
      </c>
      <c r="E60" s="3223">
        <v>3</v>
      </c>
      <c r="F60" s="3222">
        <v>1</v>
      </c>
      <c r="G60" s="3224">
        <v>658.64</v>
      </c>
      <c r="H60" s="3222">
        <f>G60</f>
        <v>658.64</v>
      </c>
      <c r="I60" s="3225">
        <f>G60</f>
        <v>658.64</v>
      </c>
      <c r="J60" s="3222">
        <f>H60</f>
        <v>658.64</v>
      </c>
      <c r="K60" s="3208"/>
      <c r="L60" s="3209">
        <f>I65</f>
        <v>4332.1600000000008</v>
      </c>
      <c r="M60" s="3210" t="s">
        <v>3166</v>
      </c>
      <c r="N60" s="3211">
        <v>4</v>
      </c>
      <c r="O60" s="3228"/>
      <c r="P60" s="3228"/>
      <c r="Q60" s="3229" t="s">
        <v>923</v>
      </c>
      <c r="R60" s="3229">
        <f>I60+I61+I62+I63+I64</f>
        <v>4332.1600000000008</v>
      </c>
      <c r="S60" s="3228"/>
      <c r="T60" s="3228"/>
      <c r="U60" s="3228"/>
    </row>
    <row r="61" spans="1:21" ht="14.25">
      <c r="A61" s="4134"/>
      <c r="B61" s="4143"/>
      <c r="C61" s="3222" t="s">
        <v>3165</v>
      </c>
      <c r="D61" s="3222" t="s">
        <v>3166</v>
      </c>
      <c r="E61" s="3222">
        <v>3</v>
      </c>
      <c r="F61" s="3222">
        <v>1</v>
      </c>
      <c r="G61" s="3224">
        <v>546.72</v>
      </c>
      <c r="H61" s="3222">
        <f>G61</f>
        <v>546.72</v>
      </c>
      <c r="I61" s="3225">
        <f>G61</f>
        <v>546.72</v>
      </c>
      <c r="J61" s="3222">
        <f>H61</f>
        <v>546.72</v>
      </c>
      <c r="K61" s="3208"/>
      <c r="L61" s="3210"/>
      <c r="M61" s="3210" t="s">
        <v>3211</v>
      </c>
      <c r="N61" s="3211">
        <v>4</v>
      </c>
      <c r="O61" s="3228"/>
      <c r="P61" s="3228"/>
      <c r="Q61" s="3229" t="s">
        <v>2996</v>
      </c>
      <c r="R61" s="3229">
        <v>0</v>
      </c>
      <c r="S61" s="3228"/>
      <c r="T61" s="3228"/>
      <c r="U61" s="3228"/>
    </row>
    <row r="62" spans="1:21" ht="14.25">
      <c r="A62" s="4134"/>
      <c r="B62" s="4143"/>
      <c r="C62" s="3222" t="s">
        <v>3212</v>
      </c>
      <c r="D62" s="3222" t="s">
        <v>923</v>
      </c>
      <c r="E62" s="3222">
        <v>3</v>
      </c>
      <c r="F62" s="3222">
        <v>1</v>
      </c>
      <c r="G62" s="3224">
        <v>523.32000000000005</v>
      </c>
      <c r="H62" s="3222">
        <f>G62</f>
        <v>523.32000000000005</v>
      </c>
      <c r="I62" s="3225">
        <f>G62*F62</f>
        <v>523.32000000000005</v>
      </c>
      <c r="J62" s="3222">
        <f>H62*F62</f>
        <v>523.32000000000005</v>
      </c>
      <c r="K62" s="3208"/>
      <c r="L62" s="3210"/>
      <c r="M62" s="3210"/>
      <c r="N62" s="3211">
        <v>4</v>
      </c>
      <c r="O62" s="3228"/>
      <c r="P62" s="3228"/>
      <c r="Q62" s="3229" t="s">
        <v>3161</v>
      </c>
      <c r="R62" s="3229">
        <v>0</v>
      </c>
      <c r="S62" s="3228"/>
      <c r="T62" s="3228"/>
      <c r="U62" s="3228"/>
    </row>
    <row r="63" spans="1:21" ht="14.25">
      <c r="A63" s="4134"/>
      <c r="B63" s="4143"/>
      <c r="C63" s="3222" t="s">
        <v>3213</v>
      </c>
      <c r="D63" s="3222" t="s">
        <v>923</v>
      </c>
      <c r="E63" s="3222">
        <v>3</v>
      </c>
      <c r="F63" s="3222">
        <v>4</v>
      </c>
      <c r="G63" s="3224">
        <v>523.32000000000005</v>
      </c>
      <c r="H63" s="3222">
        <f>G63</f>
        <v>523.32000000000005</v>
      </c>
      <c r="I63" s="3225">
        <f>G63*F63</f>
        <v>2093.2800000000002</v>
      </c>
      <c r="J63" s="3222">
        <f>H63*F63</f>
        <v>2093.2800000000002</v>
      </c>
      <c r="K63" s="3208"/>
      <c r="L63" s="3210"/>
      <c r="M63" s="3210"/>
      <c r="N63" s="3211">
        <f>4*F63</f>
        <v>16</v>
      </c>
      <c r="O63" s="3228"/>
      <c r="P63" s="3228"/>
      <c r="Q63" s="3228"/>
      <c r="R63" s="3228"/>
      <c r="S63" s="3228"/>
      <c r="T63" s="3228"/>
      <c r="U63" s="3228"/>
    </row>
    <row r="64" spans="1:21" ht="14.25">
      <c r="A64" s="4134"/>
      <c r="B64" s="4144"/>
      <c r="C64" s="3222" t="s">
        <v>3205</v>
      </c>
      <c r="D64" s="3222" t="s">
        <v>923</v>
      </c>
      <c r="E64" s="3222">
        <v>3</v>
      </c>
      <c r="F64" s="3222">
        <v>1</v>
      </c>
      <c r="G64" s="3224">
        <v>510.2</v>
      </c>
      <c r="H64" s="3222">
        <f>G64</f>
        <v>510.2</v>
      </c>
      <c r="I64" s="3225">
        <f>G64*F64</f>
        <v>510.2</v>
      </c>
      <c r="J64" s="3222">
        <f>H64*F64</f>
        <v>510.2</v>
      </c>
      <c r="K64" s="3208"/>
      <c r="L64" s="3210"/>
      <c r="M64" s="3210"/>
      <c r="N64" s="3211">
        <v>4</v>
      </c>
      <c r="O64" s="3228"/>
      <c r="P64" s="3228"/>
      <c r="Q64" s="3228"/>
      <c r="R64" s="3228"/>
      <c r="S64" s="3228"/>
      <c r="T64" s="3228"/>
      <c r="U64" s="3228"/>
    </row>
    <row r="65" spans="1:21" ht="14.25">
      <c r="A65" s="4135"/>
      <c r="B65" s="4145" t="s">
        <v>3214</v>
      </c>
      <c r="C65" s="4146"/>
      <c r="D65" s="3222"/>
      <c r="E65" s="3223"/>
      <c r="F65" s="3222">
        <f>F63+F62+F61+F60+F64</f>
        <v>8</v>
      </c>
      <c r="G65" s="3224"/>
      <c r="H65" s="3222"/>
      <c r="I65" s="3225">
        <f>SUM(I60:I64)</f>
        <v>4332.1600000000008</v>
      </c>
      <c r="J65" s="3222">
        <f>SUM(J60:J64)</f>
        <v>4332.1600000000008</v>
      </c>
      <c r="K65" s="3208"/>
      <c r="L65" s="3210"/>
      <c r="M65" s="3210"/>
      <c r="N65" s="3231">
        <f>SUM(N60:N64)</f>
        <v>32</v>
      </c>
      <c r="O65" s="3228"/>
      <c r="P65" s="3228"/>
      <c r="Q65" s="3228"/>
      <c r="R65" s="3228"/>
      <c r="S65" s="3228"/>
      <c r="T65" s="3228"/>
      <c r="U65" s="3228"/>
    </row>
    <row r="66" spans="1:21" ht="14.25">
      <c r="A66" s="4152" t="s">
        <v>3215</v>
      </c>
      <c r="B66" s="4152" t="s">
        <v>3216</v>
      </c>
      <c r="C66" s="4152" t="s">
        <v>3217</v>
      </c>
      <c r="D66" s="3248" t="s">
        <v>3211</v>
      </c>
      <c r="E66" s="3249">
        <v>4.8</v>
      </c>
      <c r="F66" s="4152">
        <v>1</v>
      </c>
      <c r="G66" s="3248">
        <v>451.96</v>
      </c>
      <c r="H66" s="3248">
        <f>G66</f>
        <v>451.96</v>
      </c>
      <c r="I66" s="3218">
        <f t="shared" ref="I66:J69" si="5">G66</f>
        <v>451.96</v>
      </c>
      <c r="J66" s="3248">
        <f t="shared" si="5"/>
        <v>451.96</v>
      </c>
      <c r="K66" s="3250"/>
      <c r="L66" s="3251">
        <f>I67+I68+I70+I72+I74</f>
        <v>6206.18</v>
      </c>
      <c r="M66" s="3251" t="s">
        <v>3218</v>
      </c>
      <c r="N66" s="3252"/>
      <c r="O66" s="3253"/>
      <c r="P66" s="3253"/>
      <c r="Q66" s="3247" t="s">
        <v>923</v>
      </c>
      <c r="R66" s="3247">
        <f>I67+I68+I70+I72+I74</f>
        <v>6206.18</v>
      </c>
      <c r="S66" s="3253"/>
      <c r="T66" s="3253"/>
      <c r="U66" s="3253"/>
    </row>
    <row r="67" spans="1:21" ht="14.25">
      <c r="A67" s="4155"/>
      <c r="B67" s="4155"/>
      <c r="C67" s="4155"/>
      <c r="D67" s="3248" t="s">
        <v>3218</v>
      </c>
      <c r="E67" s="3254">
        <v>3</v>
      </c>
      <c r="F67" s="4155"/>
      <c r="G67" s="3248">
        <v>914.2</v>
      </c>
      <c r="H67" s="3248">
        <v>914.2</v>
      </c>
      <c r="I67" s="3218">
        <f t="shared" si="5"/>
        <v>914.2</v>
      </c>
      <c r="J67" s="3248">
        <f t="shared" si="5"/>
        <v>914.2</v>
      </c>
      <c r="K67" s="3250"/>
      <c r="L67" s="3251">
        <f>I66+I69+I71+I73+I75</f>
        <v>460.9199999999999</v>
      </c>
      <c r="M67" s="3251" t="s">
        <v>3211</v>
      </c>
      <c r="N67" s="3252">
        <v>6</v>
      </c>
      <c r="O67" s="3253"/>
      <c r="P67" s="3253"/>
      <c r="Q67" s="3247" t="s">
        <v>2996</v>
      </c>
      <c r="R67" s="3247">
        <f>I66</f>
        <v>451.96</v>
      </c>
      <c r="S67" s="3253"/>
      <c r="T67" s="3253"/>
      <c r="U67" s="3253"/>
    </row>
    <row r="68" spans="1:21" ht="14.25">
      <c r="A68" s="4155"/>
      <c r="B68" s="4155"/>
      <c r="C68" s="4152" t="s">
        <v>3219</v>
      </c>
      <c r="D68" s="3248" t="s">
        <v>1949</v>
      </c>
      <c r="E68" s="4152">
        <v>3</v>
      </c>
      <c r="F68" s="4152">
        <v>1</v>
      </c>
      <c r="G68" s="3248">
        <v>783.1</v>
      </c>
      <c r="H68" s="3248">
        <v>783.1</v>
      </c>
      <c r="I68" s="3218">
        <f t="shared" si="5"/>
        <v>783.1</v>
      </c>
      <c r="J68" s="3248">
        <f t="shared" si="5"/>
        <v>783.1</v>
      </c>
      <c r="K68" s="3250"/>
      <c r="L68" s="3251"/>
      <c r="M68" s="3251"/>
      <c r="N68" s="3252"/>
      <c r="O68" s="3253"/>
      <c r="P68" s="3253"/>
      <c r="Q68" s="3247" t="s">
        <v>3161</v>
      </c>
      <c r="R68" s="3247">
        <f>I69+I71+I73+I75</f>
        <v>8.9599999999999991</v>
      </c>
      <c r="S68" s="3253"/>
      <c r="T68" s="3253"/>
      <c r="U68" s="3253"/>
    </row>
    <row r="69" spans="1:21" ht="14.25">
      <c r="A69" s="4155"/>
      <c r="B69" s="4155"/>
      <c r="C69" s="4153"/>
      <c r="D69" s="3248" t="s">
        <v>3220</v>
      </c>
      <c r="E69" s="4153"/>
      <c r="F69" s="4153"/>
      <c r="G69" s="3248">
        <v>1.28</v>
      </c>
      <c r="H69" s="3248">
        <f>G69</f>
        <v>1.28</v>
      </c>
      <c r="I69" s="3218">
        <f t="shared" si="5"/>
        <v>1.28</v>
      </c>
      <c r="J69" s="3248">
        <f t="shared" si="5"/>
        <v>1.28</v>
      </c>
      <c r="K69" s="3250"/>
      <c r="L69" s="3251"/>
      <c r="M69" s="3251"/>
      <c r="N69" s="3252">
        <v>6</v>
      </c>
      <c r="O69" s="3253"/>
      <c r="P69" s="3253"/>
      <c r="Q69" s="3253"/>
      <c r="R69" s="3253"/>
      <c r="S69" s="3253"/>
      <c r="T69" s="3253"/>
      <c r="U69" s="3253"/>
    </row>
    <row r="70" spans="1:21" ht="14.25">
      <c r="A70" s="4155"/>
      <c r="B70" s="4155"/>
      <c r="C70" s="4152" t="s">
        <v>3212</v>
      </c>
      <c r="D70" s="3248" t="s">
        <v>923</v>
      </c>
      <c r="E70" s="4152">
        <v>3</v>
      </c>
      <c r="F70" s="4152">
        <v>1</v>
      </c>
      <c r="G70" s="3248">
        <v>751.48</v>
      </c>
      <c r="H70" s="3248">
        <v>751.48</v>
      </c>
      <c r="I70" s="3218">
        <f>G70</f>
        <v>751.48</v>
      </c>
      <c r="J70" s="3248">
        <f>H70*F70</f>
        <v>751.48</v>
      </c>
      <c r="K70" s="3250"/>
      <c r="L70" s="3251"/>
      <c r="M70" s="3251"/>
      <c r="N70" s="3253"/>
      <c r="O70" s="3252"/>
      <c r="P70" s="3253"/>
      <c r="Q70" s="3253"/>
      <c r="R70" s="3253"/>
      <c r="S70" s="3253"/>
      <c r="T70" s="3253"/>
      <c r="U70" s="3253"/>
    </row>
    <row r="71" spans="1:21" ht="14.25">
      <c r="A71" s="4155"/>
      <c r="B71" s="4155"/>
      <c r="C71" s="4153"/>
      <c r="D71" s="3248" t="s">
        <v>3221</v>
      </c>
      <c r="E71" s="4153"/>
      <c r="F71" s="4153"/>
      <c r="G71" s="3248">
        <v>1.28</v>
      </c>
      <c r="H71" s="3248">
        <f>G71</f>
        <v>1.28</v>
      </c>
      <c r="I71" s="3218">
        <f>G71</f>
        <v>1.28</v>
      </c>
      <c r="J71" s="3248">
        <f>H71</f>
        <v>1.28</v>
      </c>
      <c r="K71" s="3250"/>
      <c r="L71" s="3251"/>
      <c r="M71" s="3251"/>
      <c r="N71" s="3253">
        <v>6</v>
      </c>
      <c r="O71" s="3252"/>
      <c r="P71" s="3253"/>
      <c r="Q71" s="3253"/>
      <c r="R71" s="3253"/>
      <c r="S71" s="3253"/>
      <c r="T71" s="3253"/>
      <c r="U71" s="3253"/>
    </row>
    <row r="72" spans="1:21" ht="14.25">
      <c r="A72" s="4155"/>
      <c r="B72" s="4155"/>
      <c r="C72" s="4152" t="s">
        <v>3213</v>
      </c>
      <c r="D72" s="3248" t="s">
        <v>923</v>
      </c>
      <c r="E72" s="4152">
        <v>3</v>
      </c>
      <c r="F72" s="4152">
        <v>4</v>
      </c>
      <c r="G72" s="3248">
        <v>751.48</v>
      </c>
      <c r="H72" s="3248">
        <v>751.48</v>
      </c>
      <c r="I72" s="3218">
        <f>G72*F72</f>
        <v>3005.92</v>
      </c>
      <c r="J72" s="3248">
        <f>H72*F72</f>
        <v>3005.92</v>
      </c>
      <c r="K72" s="3250"/>
      <c r="L72" s="3251"/>
      <c r="M72" s="3251"/>
      <c r="N72" s="3253"/>
      <c r="O72" s="3252"/>
      <c r="P72" s="3253"/>
      <c r="Q72" s="3253"/>
      <c r="R72" s="3253"/>
      <c r="S72" s="3253"/>
      <c r="T72" s="3253"/>
      <c r="U72" s="3253"/>
    </row>
    <row r="73" spans="1:21" ht="14.25">
      <c r="A73" s="4155"/>
      <c r="B73" s="4155"/>
      <c r="C73" s="4153"/>
      <c r="D73" s="3248" t="s">
        <v>3221</v>
      </c>
      <c r="E73" s="4153"/>
      <c r="F73" s="4153"/>
      <c r="G73" s="3248">
        <v>1.28</v>
      </c>
      <c r="H73" s="3248">
        <f>G73</f>
        <v>1.28</v>
      </c>
      <c r="I73" s="3218">
        <f>G73*F72</f>
        <v>5.12</v>
      </c>
      <c r="J73" s="3248">
        <f>H73*F72</f>
        <v>5.12</v>
      </c>
      <c r="K73" s="3250"/>
      <c r="L73" s="3251"/>
      <c r="M73" s="3251"/>
      <c r="N73" s="3253">
        <f>6*F72</f>
        <v>24</v>
      </c>
      <c r="O73" s="3252"/>
      <c r="P73" s="3253"/>
      <c r="Q73" s="3253"/>
      <c r="R73" s="3253"/>
      <c r="S73" s="3253"/>
      <c r="T73" s="3253"/>
      <c r="U73" s="3253"/>
    </row>
    <row r="74" spans="1:21" ht="14.25">
      <c r="A74" s="4155"/>
      <c r="B74" s="4155"/>
      <c r="C74" s="4152" t="s">
        <v>3205</v>
      </c>
      <c r="D74" s="3248" t="s">
        <v>923</v>
      </c>
      <c r="E74" s="4152">
        <v>3</v>
      </c>
      <c r="F74" s="4152">
        <v>1</v>
      </c>
      <c r="G74" s="3248">
        <v>751.48</v>
      </c>
      <c r="H74" s="3248">
        <v>751.48</v>
      </c>
      <c r="I74" s="3218">
        <f>G74*F74</f>
        <v>751.48</v>
      </c>
      <c r="J74" s="3248">
        <f>H74*1</f>
        <v>751.48</v>
      </c>
      <c r="K74" s="3250"/>
      <c r="L74" s="3251"/>
      <c r="M74" s="3251"/>
      <c r="N74" s="3253"/>
      <c r="O74" s="3252"/>
      <c r="P74" s="3253"/>
      <c r="Q74" s="3253"/>
      <c r="R74" s="3253"/>
      <c r="S74" s="3253"/>
      <c r="T74" s="3253"/>
      <c r="U74" s="3253"/>
    </row>
    <row r="75" spans="1:21" ht="14.25">
      <c r="A75" s="4155"/>
      <c r="B75" s="4153"/>
      <c r="C75" s="4153"/>
      <c r="D75" s="3248" t="s">
        <v>3221</v>
      </c>
      <c r="E75" s="4153"/>
      <c r="F75" s="4153"/>
      <c r="G75" s="3248">
        <v>1.28</v>
      </c>
      <c r="H75" s="3248">
        <f>G75</f>
        <v>1.28</v>
      </c>
      <c r="I75" s="3218">
        <f>G75*F74</f>
        <v>1.28</v>
      </c>
      <c r="J75" s="3248">
        <f>H75*F74</f>
        <v>1.28</v>
      </c>
      <c r="K75" s="3250"/>
      <c r="L75" s="3251"/>
      <c r="M75" s="3251"/>
      <c r="N75" s="3253">
        <v>6</v>
      </c>
      <c r="O75" s="3252"/>
      <c r="P75" s="3253"/>
      <c r="Q75" s="3253"/>
      <c r="R75" s="3253"/>
      <c r="S75" s="3253"/>
      <c r="T75" s="3253"/>
      <c r="U75" s="3253"/>
    </row>
    <row r="76" spans="1:21" ht="14.25">
      <c r="A76" s="4153"/>
      <c r="B76" s="4149" t="s">
        <v>27</v>
      </c>
      <c r="C76" s="4149"/>
      <c r="D76" s="3248"/>
      <c r="E76" s="3248"/>
      <c r="F76" s="3248">
        <f>F66+F68+F70+F72+F74</f>
        <v>8</v>
      </c>
      <c r="G76" s="3248"/>
      <c r="H76" s="3248"/>
      <c r="I76" s="3218">
        <f>SUM(I66:I75)</f>
        <v>6667.1000000000013</v>
      </c>
      <c r="J76" s="3248">
        <f>SUM(J66:J75)</f>
        <v>6667.1000000000013</v>
      </c>
      <c r="K76" s="3250"/>
      <c r="L76" s="3251"/>
      <c r="M76" s="3251"/>
      <c r="N76" s="3253">
        <f>SUM(N67:N75)</f>
        <v>48</v>
      </c>
      <c r="O76" s="3252"/>
      <c r="P76" s="3253"/>
      <c r="Q76" s="3253"/>
      <c r="R76" s="3253"/>
      <c r="S76" s="3253"/>
      <c r="T76" s="3253"/>
      <c r="U76" s="3253"/>
    </row>
    <row r="77" spans="1:21" ht="14.25">
      <c r="A77" s="4156" t="s">
        <v>3222</v>
      </c>
      <c r="B77" s="4156" t="s">
        <v>3223</v>
      </c>
      <c r="C77" s="4156" t="s">
        <v>3224</v>
      </c>
      <c r="D77" s="3241" t="s">
        <v>1950</v>
      </c>
      <c r="E77" s="3242">
        <v>4.8</v>
      </c>
      <c r="F77" s="4156">
        <v>1</v>
      </c>
      <c r="G77" s="3241">
        <v>368.29</v>
      </c>
      <c r="H77" s="3241">
        <f>G77</f>
        <v>368.29</v>
      </c>
      <c r="I77" s="3218">
        <f t="shared" ref="I77:J81" si="6">G77</f>
        <v>368.29</v>
      </c>
      <c r="J77" s="3241">
        <f t="shared" si="6"/>
        <v>368.29</v>
      </c>
      <c r="K77" s="3243"/>
      <c r="L77" s="3244">
        <f>I78+I80+I82+I84+I86</f>
        <v>6206.18</v>
      </c>
      <c r="M77" s="3244" t="s">
        <v>3218</v>
      </c>
      <c r="N77" s="3245"/>
      <c r="O77" s="3246"/>
      <c r="P77" s="3246"/>
      <c r="Q77" s="3247" t="s">
        <v>923</v>
      </c>
      <c r="R77" s="3247">
        <f>I78+I80+I82+I84+I86</f>
        <v>6206.18</v>
      </c>
      <c r="S77" s="3246"/>
      <c r="T77" s="3246"/>
      <c r="U77" s="3246"/>
    </row>
    <row r="78" spans="1:21" ht="14.25">
      <c r="A78" s="4158"/>
      <c r="B78" s="4158"/>
      <c r="C78" s="4158"/>
      <c r="D78" s="3241" t="s">
        <v>3218</v>
      </c>
      <c r="E78" s="3255">
        <v>3</v>
      </c>
      <c r="F78" s="4158"/>
      <c r="G78" s="3241">
        <v>914.2</v>
      </c>
      <c r="H78" s="3241">
        <v>914.2</v>
      </c>
      <c r="I78" s="3218">
        <f t="shared" si="6"/>
        <v>914.2</v>
      </c>
      <c r="J78" s="3241">
        <f t="shared" si="6"/>
        <v>914.2</v>
      </c>
      <c r="K78" s="3243"/>
      <c r="L78" s="3244">
        <f>I77+I79+I81+I83+I85+I87</f>
        <v>378.52999999999992</v>
      </c>
      <c r="M78" s="3244" t="s">
        <v>3211</v>
      </c>
      <c r="N78" s="3245">
        <v>6</v>
      </c>
      <c r="O78" s="3246"/>
      <c r="P78" s="3246"/>
      <c r="Q78" s="3247" t="s">
        <v>2996</v>
      </c>
      <c r="R78" s="3247">
        <f>I77</f>
        <v>368.29</v>
      </c>
      <c r="S78" s="3246"/>
      <c r="T78" s="3246"/>
      <c r="U78" s="3246"/>
    </row>
    <row r="79" spans="1:21" ht="14.25">
      <c r="A79" s="4158"/>
      <c r="B79" s="4158"/>
      <c r="C79" s="4157"/>
      <c r="D79" s="3241" t="s">
        <v>3221</v>
      </c>
      <c r="E79" s="3255"/>
      <c r="F79" s="4157"/>
      <c r="G79" s="3241">
        <v>1.28</v>
      </c>
      <c r="H79" s="3241">
        <f>G79</f>
        <v>1.28</v>
      </c>
      <c r="I79" s="3218">
        <f t="shared" si="6"/>
        <v>1.28</v>
      </c>
      <c r="J79" s="3241">
        <f t="shared" si="6"/>
        <v>1.28</v>
      </c>
      <c r="K79" s="3243"/>
      <c r="L79" s="3244"/>
      <c r="M79" s="3244"/>
      <c r="N79" s="3245"/>
      <c r="O79" s="3246"/>
      <c r="P79" s="3246"/>
      <c r="Q79" s="3247" t="s">
        <v>3161</v>
      </c>
      <c r="R79" s="3247">
        <f>I79+I81+I83+I85+I87</f>
        <v>10.24</v>
      </c>
      <c r="S79" s="3246"/>
      <c r="T79" s="3246"/>
      <c r="U79" s="3246"/>
    </row>
    <row r="80" spans="1:21" ht="14.25">
      <c r="A80" s="4158"/>
      <c r="B80" s="4158"/>
      <c r="C80" s="4156" t="s">
        <v>3225</v>
      </c>
      <c r="D80" s="3241" t="s">
        <v>3218</v>
      </c>
      <c r="E80" s="4156">
        <v>3</v>
      </c>
      <c r="F80" s="4156">
        <v>1</v>
      </c>
      <c r="G80" s="3241">
        <v>783.1</v>
      </c>
      <c r="H80" s="3241">
        <v>783.1</v>
      </c>
      <c r="I80" s="3218">
        <f t="shared" si="6"/>
        <v>783.1</v>
      </c>
      <c r="J80" s="3241">
        <f t="shared" si="6"/>
        <v>783.1</v>
      </c>
      <c r="K80" s="3243"/>
      <c r="L80" s="3244"/>
      <c r="M80" s="3244"/>
      <c r="N80" s="3245"/>
      <c r="O80" s="3246"/>
      <c r="P80" s="3246"/>
      <c r="Q80" s="3246"/>
      <c r="R80" s="3246"/>
      <c r="S80" s="3246"/>
      <c r="T80" s="3246"/>
      <c r="U80" s="3246"/>
    </row>
    <row r="81" spans="1:21" ht="14.25">
      <c r="A81" s="4158"/>
      <c r="B81" s="4158"/>
      <c r="C81" s="4157"/>
      <c r="D81" s="3241" t="s">
        <v>3221</v>
      </c>
      <c r="E81" s="4157"/>
      <c r="F81" s="4157"/>
      <c r="G81" s="3241">
        <v>1.28</v>
      </c>
      <c r="H81" s="3241">
        <f>G81</f>
        <v>1.28</v>
      </c>
      <c r="I81" s="3218">
        <f t="shared" si="6"/>
        <v>1.28</v>
      </c>
      <c r="J81" s="3241">
        <f t="shared" si="6"/>
        <v>1.28</v>
      </c>
      <c r="K81" s="3243"/>
      <c r="L81" s="3244"/>
      <c r="M81" s="3244"/>
      <c r="N81" s="3245">
        <v>6</v>
      </c>
      <c r="O81" s="3246"/>
      <c r="P81" s="3246"/>
      <c r="Q81" s="3246"/>
      <c r="R81" s="3246"/>
      <c r="S81" s="3246"/>
      <c r="T81" s="3246"/>
      <c r="U81" s="3246"/>
    </row>
    <row r="82" spans="1:21" ht="14.25">
      <c r="A82" s="4158"/>
      <c r="B82" s="4158"/>
      <c r="C82" s="4156" t="s">
        <v>3212</v>
      </c>
      <c r="D82" s="3241" t="s">
        <v>923</v>
      </c>
      <c r="E82" s="4156">
        <v>3</v>
      </c>
      <c r="F82" s="4156">
        <v>1</v>
      </c>
      <c r="G82" s="3241">
        <v>751.48</v>
      </c>
      <c r="H82" s="3241">
        <v>751.48</v>
      </c>
      <c r="I82" s="3218">
        <f>G82</f>
        <v>751.48</v>
      </c>
      <c r="J82" s="3241">
        <f>H82*F82</f>
        <v>751.48</v>
      </c>
      <c r="K82" s="3243"/>
      <c r="L82" s="3244"/>
      <c r="M82" s="3244"/>
      <c r="N82" s="3246"/>
      <c r="O82" s="3245"/>
      <c r="P82" s="3246"/>
      <c r="Q82" s="3246"/>
      <c r="R82" s="3246"/>
      <c r="S82" s="3246"/>
      <c r="T82" s="3246"/>
      <c r="U82" s="3246"/>
    </row>
    <row r="83" spans="1:21" ht="14.25">
      <c r="A83" s="4158"/>
      <c r="B83" s="4158"/>
      <c r="C83" s="4157"/>
      <c r="D83" s="3241" t="s">
        <v>3221</v>
      </c>
      <c r="E83" s="4157"/>
      <c r="F83" s="4157"/>
      <c r="G83" s="3241">
        <v>1.28</v>
      </c>
      <c r="H83" s="3241">
        <f>G83</f>
        <v>1.28</v>
      </c>
      <c r="I83" s="3218">
        <f>G83</f>
        <v>1.28</v>
      </c>
      <c r="J83" s="3241">
        <f>H83</f>
        <v>1.28</v>
      </c>
      <c r="K83" s="3243"/>
      <c r="L83" s="3244"/>
      <c r="M83" s="3244"/>
      <c r="N83" s="3246">
        <v>6</v>
      </c>
      <c r="O83" s="3245"/>
      <c r="P83" s="3246"/>
      <c r="Q83" s="3246"/>
      <c r="R83" s="3246"/>
      <c r="S83" s="3246"/>
      <c r="T83" s="3246"/>
      <c r="U83" s="3246"/>
    </row>
    <row r="84" spans="1:21" ht="14.25">
      <c r="A84" s="4158"/>
      <c r="B84" s="4158"/>
      <c r="C84" s="4156" t="s">
        <v>3213</v>
      </c>
      <c r="D84" s="3241" t="s">
        <v>923</v>
      </c>
      <c r="E84" s="4156">
        <v>3</v>
      </c>
      <c r="F84" s="4156">
        <v>4</v>
      </c>
      <c r="G84" s="3241">
        <v>751.48</v>
      </c>
      <c r="H84" s="3241">
        <v>751.48</v>
      </c>
      <c r="I84" s="3218">
        <f>G84*F84</f>
        <v>3005.92</v>
      </c>
      <c r="J84" s="3241">
        <f>H84*F84</f>
        <v>3005.92</v>
      </c>
      <c r="K84" s="3243"/>
      <c r="L84" s="3244"/>
      <c r="M84" s="3244"/>
      <c r="N84" s="3246"/>
      <c r="O84" s="3245"/>
      <c r="P84" s="3246"/>
      <c r="Q84" s="3246"/>
      <c r="R84" s="3246"/>
      <c r="S84" s="3246"/>
      <c r="T84" s="3246"/>
      <c r="U84" s="3246"/>
    </row>
    <row r="85" spans="1:21" ht="14.25">
      <c r="A85" s="4158"/>
      <c r="B85" s="4158"/>
      <c r="C85" s="4157"/>
      <c r="D85" s="3241" t="s">
        <v>3221</v>
      </c>
      <c r="E85" s="4157"/>
      <c r="F85" s="4157"/>
      <c r="G85" s="3241">
        <v>1.28</v>
      </c>
      <c r="H85" s="3241">
        <f>G85</f>
        <v>1.28</v>
      </c>
      <c r="I85" s="3218">
        <f>G85*F84</f>
        <v>5.12</v>
      </c>
      <c r="J85" s="3241">
        <f>H85*F84</f>
        <v>5.12</v>
      </c>
      <c r="K85" s="3243"/>
      <c r="L85" s="3244"/>
      <c r="M85" s="3244"/>
      <c r="N85" s="3246">
        <f>6*F84</f>
        <v>24</v>
      </c>
      <c r="O85" s="3245"/>
      <c r="P85" s="3246"/>
      <c r="Q85" s="3246"/>
      <c r="R85" s="3246"/>
      <c r="S85" s="3246"/>
      <c r="T85" s="3246"/>
      <c r="U85" s="3246"/>
    </row>
    <row r="86" spans="1:21" ht="14.25">
      <c r="A86" s="4158"/>
      <c r="B86" s="4158"/>
      <c r="C86" s="4156" t="s">
        <v>3205</v>
      </c>
      <c r="D86" s="3241" t="s">
        <v>923</v>
      </c>
      <c r="E86" s="4156">
        <v>3</v>
      </c>
      <c r="F86" s="4156">
        <v>1</v>
      </c>
      <c r="G86" s="3241">
        <v>751.48</v>
      </c>
      <c r="H86" s="3241">
        <v>751.48</v>
      </c>
      <c r="I86" s="3218">
        <f>G86*F86</f>
        <v>751.48</v>
      </c>
      <c r="J86" s="3241">
        <f>H86*1</f>
        <v>751.48</v>
      </c>
      <c r="K86" s="3243"/>
      <c r="L86" s="3244"/>
      <c r="M86" s="3244"/>
      <c r="N86" s="3246"/>
      <c r="O86" s="3245"/>
      <c r="P86" s="3246"/>
      <c r="Q86" s="3246"/>
      <c r="R86" s="3246"/>
      <c r="S86" s="3246"/>
      <c r="T86" s="3246"/>
      <c r="U86" s="3246"/>
    </row>
    <row r="87" spans="1:21" ht="14.25">
      <c r="A87" s="4158"/>
      <c r="B87" s="4157"/>
      <c r="C87" s="4157"/>
      <c r="D87" s="3241" t="s">
        <v>3221</v>
      </c>
      <c r="E87" s="4157"/>
      <c r="F87" s="4157"/>
      <c r="G87" s="3241">
        <v>1.28</v>
      </c>
      <c r="H87" s="3241">
        <f>G87</f>
        <v>1.28</v>
      </c>
      <c r="I87" s="3218">
        <f>G87*F86</f>
        <v>1.28</v>
      </c>
      <c r="J87" s="3241">
        <f>H87*F86</f>
        <v>1.28</v>
      </c>
      <c r="K87" s="3243"/>
      <c r="L87" s="3244"/>
      <c r="M87" s="3244"/>
      <c r="N87" s="3246">
        <v>6</v>
      </c>
      <c r="O87" s="3245"/>
      <c r="P87" s="3246"/>
      <c r="Q87" s="3246"/>
      <c r="R87" s="3246"/>
      <c r="S87" s="3246"/>
      <c r="T87" s="3246"/>
      <c r="U87" s="3246"/>
    </row>
    <row r="88" spans="1:21" ht="14.25">
      <c r="A88" s="4157"/>
      <c r="B88" s="4154" t="s">
        <v>27</v>
      </c>
      <c r="C88" s="4154"/>
      <c r="D88" s="3241"/>
      <c r="E88" s="3241"/>
      <c r="F88" s="3241">
        <f>F77+F80+F82+F84+F86</f>
        <v>8</v>
      </c>
      <c r="G88" s="3241"/>
      <c r="H88" s="3241"/>
      <c r="I88" s="3218">
        <f>SUM(I77:I87)</f>
        <v>6584.71</v>
      </c>
      <c r="J88" s="3241">
        <f>SUM(J77:J87)</f>
        <v>6584.71</v>
      </c>
      <c r="K88" s="3243"/>
      <c r="L88" s="3244"/>
      <c r="M88" s="3244"/>
      <c r="N88" s="3246">
        <f>SUM(N78:N87)</f>
        <v>48</v>
      </c>
      <c r="O88" s="3245"/>
      <c r="P88" s="3246"/>
      <c r="Q88" s="3246"/>
      <c r="R88" s="3246"/>
      <c r="S88" s="3246"/>
      <c r="T88" s="3246"/>
      <c r="U88" s="3246"/>
    </row>
    <row r="89" spans="1:21" ht="14.25">
      <c r="A89" s="4133" t="s">
        <v>3226</v>
      </c>
      <c r="B89" s="4142" t="s">
        <v>3216</v>
      </c>
      <c r="C89" s="3222" t="s">
        <v>3217</v>
      </c>
      <c r="D89" s="3222" t="s">
        <v>3218</v>
      </c>
      <c r="E89" s="3223">
        <v>3</v>
      </c>
      <c r="F89" s="3222">
        <v>1</v>
      </c>
      <c r="G89" s="3224">
        <v>658.64</v>
      </c>
      <c r="H89" s="3222">
        <f>G89</f>
        <v>658.64</v>
      </c>
      <c r="I89" s="3225">
        <f>G89</f>
        <v>658.64</v>
      </c>
      <c r="J89" s="3222">
        <f>H89</f>
        <v>658.64</v>
      </c>
      <c r="K89" s="3208"/>
      <c r="L89" s="3209">
        <f>I94</f>
        <v>4332.1600000000008</v>
      </c>
      <c r="M89" s="3210" t="s">
        <v>3227</v>
      </c>
      <c r="N89" s="3211">
        <v>4</v>
      </c>
      <c r="O89" s="3228"/>
      <c r="P89" s="3228"/>
      <c r="Q89" s="3229" t="s">
        <v>923</v>
      </c>
      <c r="R89" s="3229">
        <f>I94</f>
        <v>4332.1600000000008</v>
      </c>
      <c r="S89" s="3228"/>
      <c r="T89" s="3228"/>
      <c r="U89" s="3228"/>
    </row>
    <row r="90" spans="1:21" ht="14.25">
      <c r="A90" s="4134"/>
      <c r="B90" s="4143"/>
      <c r="C90" s="3222" t="s">
        <v>3228</v>
      </c>
      <c r="D90" s="3222" t="s">
        <v>3229</v>
      </c>
      <c r="E90" s="3222">
        <v>3</v>
      </c>
      <c r="F90" s="3222">
        <v>1</v>
      </c>
      <c r="G90" s="3224">
        <v>546.72</v>
      </c>
      <c r="H90" s="3222">
        <f>G90</f>
        <v>546.72</v>
      </c>
      <c r="I90" s="3225">
        <f>G90</f>
        <v>546.72</v>
      </c>
      <c r="J90" s="3222">
        <f>H90</f>
        <v>546.72</v>
      </c>
      <c r="K90" s="3208"/>
      <c r="L90" s="3210"/>
      <c r="M90" s="3210" t="s">
        <v>3230</v>
      </c>
      <c r="N90" s="3211">
        <v>4</v>
      </c>
      <c r="O90" s="3228"/>
      <c r="P90" s="3228"/>
      <c r="Q90" s="3229" t="s">
        <v>2996</v>
      </c>
      <c r="R90" s="3229">
        <v>0</v>
      </c>
      <c r="S90" s="3228"/>
      <c r="T90" s="3228"/>
      <c r="U90" s="3228"/>
    </row>
    <row r="91" spans="1:21" ht="14.25">
      <c r="A91" s="4134"/>
      <c r="B91" s="4143"/>
      <c r="C91" s="3222" t="s">
        <v>3231</v>
      </c>
      <c r="D91" s="3222" t="s">
        <v>923</v>
      </c>
      <c r="E91" s="3222">
        <v>3</v>
      </c>
      <c r="F91" s="3222">
        <v>1</v>
      </c>
      <c r="G91" s="3224">
        <v>523.32000000000005</v>
      </c>
      <c r="H91" s="3222">
        <f>G91</f>
        <v>523.32000000000005</v>
      </c>
      <c r="I91" s="3225">
        <f>G91*F91</f>
        <v>523.32000000000005</v>
      </c>
      <c r="J91" s="3222">
        <f>H91*F91</f>
        <v>523.32000000000005</v>
      </c>
      <c r="K91" s="3208"/>
      <c r="L91" s="3210"/>
      <c r="M91" s="3210"/>
      <c r="N91" s="3211">
        <v>4</v>
      </c>
      <c r="O91" s="3228"/>
      <c r="P91" s="3228"/>
      <c r="Q91" s="3229" t="s">
        <v>3161</v>
      </c>
      <c r="R91" s="3229">
        <v>0</v>
      </c>
      <c r="S91" s="3228"/>
      <c r="T91" s="3228"/>
      <c r="U91" s="3228"/>
    </row>
    <row r="92" spans="1:21" ht="14.25">
      <c r="A92" s="4134"/>
      <c r="B92" s="4143"/>
      <c r="C92" s="3222" t="s">
        <v>3232</v>
      </c>
      <c r="D92" s="3222" t="s">
        <v>923</v>
      </c>
      <c r="E92" s="3222">
        <v>3</v>
      </c>
      <c r="F92" s="3222">
        <v>4</v>
      </c>
      <c r="G92" s="3224">
        <v>523.32000000000005</v>
      </c>
      <c r="H92" s="3222">
        <f>G92</f>
        <v>523.32000000000005</v>
      </c>
      <c r="I92" s="3225">
        <f>G92*F92</f>
        <v>2093.2800000000002</v>
      </c>
      <c r="J92" s="3222">
        <f>H92*F92</f>
        <v>2093.2800000000002</v>
      </c>
      <c r="K92" s="3208"/>
      <c r="L92" s="3210"/>
      <c r="M92" s="3210"/>
      <c r="N92" s="3211">
        <f>4*F92</f>
        <v>16</v>
      </c>
      <c r="O92" s="3228"/>
      <c r="P92" s="3228"/>
      <c r="Q92" s="3228"/>
      <c r="R92" s="3228"/>
      <c r="S92" s="3228"/>
      <c r="T92" s="3228"/>
      <c r="U92" s="3228"/>
    </row>
    <row r="93" spans="1:21" ht="14.25">
      <c r="A93" s="4134"/>
      <c r="B93" s="4144"/>
      <c r="C93" s="3222" t="s">
        <v>3233</v>
      </c>
      <c r="D93" s="3222" t="s">
        <v>923</v>
      </c>
      <c r="E93" s="3222">
        <v>3</v>
      </c>
      <c r="F93" s="3222">
        <v>1</v>
      </c>
      <c r="G93" s="3224">
        <v>510.2</v>
      </c>
      <c r="H93" s="3222">
        <f>G93</f>
        <v>510.2</v>
      </c>
      <c r="I93" s="3225">
        <f>G93*F93</f>
        <v>510.2</v>
      </c>
      <c r="J93" s="3222">
        <f>H93*F93</f>
        <v>510.2</v>
      </c>
      <c r="K93" s="3208"/>
      <c r="L93" s="3210"/>
      <c r="M93" s="3210"/>
      <c r="N93" s="3211">
        <v>4</v>
      </c>
      <c r="O93" s="3228"/>
      <c r="P93" s="3228"/>
      <c r="Q93" s="3228"/>
      <c r="R93" s="3228"/>
      <c r="S93" s="3228"/>
      <c r="T93" s="3228"/>
      <c r="U93" s="3228"/>
    </row>
    <row r="94" spans="1:21" ht="14.25">
      <c r="A94" s="4135"/>
      <c r="B94" s="4145" t="s">
        <v>3234</v>
      </c>
      <c r="C94" s="4146"/>
      <c r="D94" s="3222"/>
      <c r="E94" s="3223"/>
      <c r="F94" s="3222">
        <f>F92+F91+F90+F89+F93</f>
        <v>8</v>
      </c>
      <c r="G94" s="3224"/>
      <c r="H94" s="3222"/>
      <c r="I94" s="3225">
        <f>SUM(I89:I93)</f>
        <v>4332.1600000000008</v>
      </c>
      <c r="J94" s="3222">
        <f>SUM(J89:J93)</f>
        <v>4332.1600000000008</v>
      </c>
      <c r="K94" s="3208"/>
      <c r="L94" s="3210"/>
      <c r="M94" s="3210"/>
      <c r="N94" s="3231">
        <f>SUM(N89:N93)</f>
        <v>32</v>
      </c>
      <c r="O94" s="3228"/>
      <c r="P94" s="3228"/>
      <c r="Q94" s="3228"/>
      <c r="R94" s="3228"/>
      <c r="S94" s="3228"/>
      <c r="T94" s="3228"/>
      <c r="U94" s="3228"/>
    </row>
    <row r="95" spans="1:21" ht="14.25">
      <c r="A95" s="4133" t="s">
        <v>3235</v>
      </c>
      <c r="B95" s="4142" t="s">
        <v>3236</v>
      </c>
      <c r="C95" s="3222" t="s">
        <v>3237</v>
      </c>
      <c r="D95" s="3222" t="s">
        <v>3229</v>
      </c>
      <c r="E95" s="3223">
        <v>3</v>
      </c>
      <c r="F95" s="3222">
        <v>1</v>
      </c>
      <c r="G95" s="3224">
        <v>658.64</v>
      </c>
      <c r="H95" s="3222">
        <f>G95</f>
        <v>658.64</v>
      </c>
      <c r="I95" s="3225">
        <f>G95</f>
        <v>658.64</v>
      </c>
      <c r="J95" s="3222">
        <f>H95</f>
        <v>658.64</v>
      </c>
      <c r="K95" s="3208"/>
      <c r="L95" s="3209">
        <f>I100</f>
        <v>4332.1600000000008</v>
      </c>
      <c r="M95" s="3210" t="s">
        <v>3238</v>
      </c>
      <c r="N95" s="3211">
        <v>4</v>
      </c>
      <c r="O95" s="3228"/>
      <c r="P95" s="3228"/>
      <c r="Q95" s="3229" t="s">
        <v>923</v>
      </c>
      <c r="R95" s="3229">
        <f>I100</f>
        <v>4332.1600000000008</v>
      </c>
      <c r="S95" s="3228"/>
      <c r="T95" s="3228"/>
      <c r="U95" s="3228"/>
    </row>
    <row r="96" spans="1:21" ht="14.25">
      <c r="A96" s="4134"/>
      <c r="B96" s="4143"/>
      <c r="C96" s="3222" t="s">
        <v>3225</v>
      </c>
      <c r="D96" s="3222" t="s">
        <v>3218</v>
      </c>
      <c r="E96" s="3222">
        <v>3</v>
      </c>
      <c r="F96" s="3222">
        <v>1</v>
      </c>
      <c r="G96" s="3224">
        <v>546.72</v>
      </c>
      <c r="H96" s="3222">
        <f>G96</f>
        <v>546.72</v>
      </c>
      <c r="I96" s="3225">
        <f>G96</f>
        <v>546.72</v>
      </c>
      <c r="J96" s="3222">
        <f>H96</f>
        <v>546.72</v>
      </c>
      <c r="K96" s="3208"/>
      <c r="L96" s="3210"/>
      <c r="M96" s="3210" t="s">
        <v>3239</v>
      </c>
      <c r="N96" s="3211">
        <v>4</v>
      </c>
      <c r="O96" s="3228"/>
      <c r="P96" s="3228"/>
      <c r="Q96" s="3229" t="s">
        <v>2996</v>
      </c>
      <c r="R96" s="3229">
        <v>0</v>
      </c>
      <c r="S96" s="3228"/>
      <c r="T96" s="3228"/>
      <c r="U96" s="3228"/>
    </row>
    <row r="97" spans="1:21" ht="14.25">
      <c r="A97" s="4134"/>
      <c r="B97" s="4143"/>
      <c r="C97" s="3222" t="s">
        <v>3240</v>
      </c>
      <c r="D97" s="3222" t="s">
        <v>923</v>
      </c>
      <c r="E97" s="3222">
        <v>3</v>
      </c>
      <c r="F97" s="3222">
        <v>1</v>
      </c>
      <c r="G97" s="3224">
        <v>523.32000000000005</v>
      </c>
      <c r="H97" s="3222">
        <f>G97</f>
        <v>523.32000000000005</v>
      </c>
      <c r="I97" s="3225">
        <f>G97*F97</f>
        <v>523.32000000000005</v>
      </c>
      <c r="J97" s="3222">
        <f>H97*F97</f>
        <v>523.32000000000005</v>
      </c>
      <c r="K97" s="3208"/>
      <c r="L97" s="3210"/>
      <c r="M97" s="3210"/>
      <c r="N97" s="3211">
        <v>4</v>
      </c>
      <c r="O97" s="3228"/>
      <c r="P97" s="3228"/>
      <c r="Q97" s="3229" t="s">
        <v>3161</v>
      </c>
      <c r="R97" s="3229">
        <v>0</v>
      </c>
      <c r="S97" s="3228"/>
      <c r="T97" s="3228"/>
      <c r="U97" s="3228"/>
    </row>
    <row r="98" spans="1:21" ht="14.25">
      <c r="A98" s="4134"/>
      <c r="B98" s="4143"/>
      <c r="C98" s="3222" t="s">
        <v>3241</v>
      </c>
      <c r="D98" s="3222" t="s">
        <v>923</v>
      </c>
      <c r="E98" s="3222">
        <v>3</v>
      </c>
      <c r="F98" s="3222">
        <v>4</v>
      </c>
      <c r="G98" s="3224">
        <v>523.32000000000005</v>
      </c>
      <c r="H98" s="3222">
        <f>G98</f>
        <v>523.32000000000005</v>
      </c>
      <c r="I98" s="3225">
        <f>G98*F98</f>
        <v>2093.2800000000002</v>
      </c>
      <c r="J98" s="3222">
        <f>H98*F98</f>
        <v>2093.2800000000002</v>
      </c>
      <c r="K98" s="3208"/>
      <c r="L98" s="3210"/>
      <c r="M98" s="3210"/>
      <c r="N98" s="3211">
        <f>4*F98</f>
        <v>16</v>
      </c>
      <c r="O98" s="3228"/>
      <c r="P98" s="3228"/>
      <c r="Q98" s="3228"/>
      <c r="R98" s="3228"/>
      <c r="S98" s="3228"/>
      <c r="T98" s="3228"/>
      <c r="U98" s="3228"/>
    </row>
    <row r="99" spans="1:21" ht="14.25">
      <c r="A99" s="4134"/>
      <c r="B99" s="4144"/>
      <c r="C99" s="3222" t="s">
        <v>3242</v>
      </c>
      <c r="D99" s="3222" t="s">
        <v>923</v>
      </c>
      <c r="E99" s="3222">
        <v>3</v>
      </c>
      <c r="F99" s="3222">
        <v>1</v>
      </c>
      <c r="G99" s="3224">
        <v>510.2</v>
      </c>
      <c r="H99" s="3222">
        <f>G99</f>
        <v>510.2</v>
      </c>
      <c r="I99" s="3225">
        <f>G99*F99</f>
        <v>510.2</v>
      </c>
      <c r="J99" s="3222">
        <f>H99*F99</f>
        <v>510.2</v>
      </c>
      <c r="K99" s="3208"/>
      <c r="L99" s="3210"/>
      <c r="M99" s="3210"/>
      <c r="N99" s="3211">
        <v>4</v>
      </c>
      <c r="O99" s="3228"/>
      <c r="P99" s="3228"/>
      <c r="Q99" s="3228"/>
      <c r="R99" s="3228"/>
      <c r="S99" s="3228"/>
      <c r="T99" s="3228"/>
      <c r="U99" s="3228"/>
    </row>
    <row r="100" spans="1:21" ht="14.25">
      <c r="A100" s="4135"/>
      <c r="B100" s="4145" t="s">
        <v>3243</v>
      </c>
      <c r="C100" s="4146"/>
      <c r="D100" s="3222"/>
      <c r="E100" s="3223"/>
      <c r="F100" s="3222">
        <f>F98+F97+F96+F95+F99</f>
        <v>8</v>
      </c>
      <c r="G100" s="3224"/>
      <c r="H100" s="3222"/>
      <c r="I100" s="3225">
        <f>SUM(I95:I99)</f>
        <v>4332.1600000000008</v>
      </c>
      <c r="J100" s="3222">
        <f>SUM(J95:J99)</f>
        <v>4332.1600000000008</v>
      </c>
      <c r="K100" s="3208"/>
      <c r="L100" s="3210"/>
      <c r="M100" s="3210"/>
      <c r="N100" s="3231">
        <f>SUM(N95:N99)</f>
        <v>32</v>
      </c>
      <c r="O100" s="3228"/>
      <c r="P100" s="3228"/>
      <c r="Q100" s="3228"/>
      <c r="R100" s="3228"/>
      <c r="S100" s="3228"/>
      <c r="T100" s="3228"/>
      <c r="U100" s="3228"/>
    </row>
    <row r="101" spans="1:21" ht="14.25">
      <c r="A101" s="4156" t="s">
        <v>3244</v>
      </c>
      <c r="B101" s="4156" t="s">
        <v>3245</v>
      </c>
      <c r="C101" s="4156" t="s">
        <v>3246</v>
      </c>
      <c r="D101" s="3241" t="s">
        <v>3247</v>
      </c>
      <c r="E101" s="3242">
        <v>4.8</v>
      </c>
      <c r="F101" s="4156">
        <v>1</v>
      </c>
      <c r="G101" s="3241">
        <v>572.5</v>
      </c>
      <c r="H101" s="3241">
        <f>G101</f>
        <v>572.5</v>
      </c>
      <c r="I101" s="3218">
        <f t="shared" ref="I101:J105" si="7">G101</f>
        <v>572.5</v>
      </c>
      <c r="J101" s="3241">
        <f t="shared" si="7"/>
        <v>572.5</v>
      </c>
      <c r="K101" s="3243"/>
      <c r="L101" s="3244">
        <f>I102+I104+I106+I108+I110</f>
        <v>6206.18</v>
      </c>
      <c r="M101" s="3244" t="s">
        <v>3227</v>
      </c>
      <c r="N101" s="3245"/>
      <c r="O101" s="3246"/>
      <c r="P101" s="3246"/>
      <c r="Q101" s="3247" t="s">
        <v>923</v>
      </c>
      <c r="R101" s="3247">
        <f>I102+I104+I106+I108+I110</f>
        <v>6206.18</v>
      </c>
      <c r="S101" s="3246"/>
      <c r="T101" s="3246"/>
      <c r="U101" s="3246"/>
    </row>
    <row r="102" spans="1:21" ht="14.25">
      <c r="A102" s="4158"/>
      <c r="B102" s="4158"/>
      <c r="C102" s="4158"/>
      <c r="D102" s="3241" t="s">
        <v>3227</v>
      </c>
      <c r="E102" s="3255">
        <v>3</v>
      </c>
      <c r="F102" s="4158"/>
      <c r="G102" s="3241">
        <v>914.2</v>
      </c>
      <c r="H102" s="3241">
        <v>914.2</v>
      </c>
      <c r="I102" s="3218">
        <f t="shared" si="7"/>
        <v>914.2</v>
      </c>
      <c r="J102" s="3241">
        <f t="shared" si="7"/>
        <v>914.2</v>
      </c>
      <c r="K102" s="3243"/>
      <c r="L102" s="3244">
        <f>I101+I103+I105+I107+I109+I111</f>
        <v>582.7399999999999</v>
      </c>
      <c r="M102" s="3244" t="s">
        <v>3230</v>
      </c>
      <c r="N102" s="3245">
        <v>6</v>
      </c>
      <c r="O102" s="3246"/>
      <c r="P102" s="3246"/>
      <c r="Q102" s="3247" t="s">
        <v>2996</v>
      </c>
      <c r="R102" s="3247">
        <f>I101</f>
        <v>572.5</v>
      </c>
      <c r="S102" s="3246"/>
      <c r="T102" s="3246"/>
      <c r="U102" s="3246"/>
    </row>
    <row r="103" spans="1:21" ht="14.25">
      <c r="A103" s="4158"/>
      <c r="B103" s="4158"/>
      <c r="C103" s="4157"/>
      <c r="D103" s="3241" t="s">
        <v>3248</v>
      </c>
      <c r="E103" s="3255"/>
      <c r="F103" s="4157"/>
      <c r="G103" s="3241">
        <v>1.28</v>
      </c>
      <c r="H103" s="3241">
        <f>G103</f>
        <v>1.28</v>
      </c>
      <c r="I103" s="3218">
        <f t="shared" si="7"/>
        <v>1.28</v>
      </c>
      <c r="J103" s="3241">
        <f t="shared" si="7"/>
        <v>1.28</v>
      </c>
      <c r="K103" s="3243"/>
      <c r="L103" s="3244"/>
      <c r="M103" s="3244"/>
      <c r="N103" s="3245"/>
      <c r="O103" s="3246"/>
      <c r="P103" s="3246"/>
      <c r="Q103" s="3247" t="s">
        <v>3161</v>
      </c>
      <c r="R103" s="3247">
        <f>I103+I105+I107+I109+I111</f>
        <v>10.24</v>
      </c>
      <c r="S103" s="3246"/>
      <c r="T103" s="3246"/>
      <c r="U103" s="3246"/>
    </row>
    <row r="104" spans="1:21" ht="14.25">
      <c r="A104" s="4158"/>
      <c r="B104" s="4158"/>
      <c r="C104" s="4156" t="s">
        <v>3249</v>
      </c>
      <c r="D104" s="3241" t="s">
        <v>3250</v>
      </c>
      <c r="E104" s="4156">
        <v>3</v>
      </c>
      <c r="F104" s="4156">
        <v>1</v>
      </c>
      <c r="G104" s="3241">
        <v>783.1</v>
      </c>
      <c r="H104" s="3241">
        <v>783.1</v>
      </c>
      <c r="I104" s="3218">
        <f t="shared" si="7"/>
        <v>783.1</v>
      </c>
      <c r="J104" s="3241">
        <f t="shared" si="7"/>
        <v>783.1</v>
      </c>
      <c r="K104" s="3243"/>
      <c r="L104" s="3244"/>
      <c r="M104" s="3244"/>
      <c r="N104" s="3245"/>
      <c r="O104" s="3246"/>
      <c r="P104" s="3246"/>
      <c r="Q104" s="3246"/>
      <c r="R104" s="3246"/>
      <c r="S104" s="3246"/>
      <c r="T104" s="3246"/>
      <c r="U104" s="3246"/>
    </row>
    <row r="105" spans="1:21" ht="14.25">
      <c r="A105" s="4158"/>
      <c r="B105" s="4158"/>
      <c r="C105" s="4157"/>
      <c r="D105" s="3241" t="s">
        <v>3251</v>
      </c>
      <c r="E105" s="4157"/>
      <c r="F105" s="4157"/>
      <c r="G105" s="3241">
        <v>1.28</v>
      </c>
      <c r="H105" s="3241">
        <f>G105</f>
        <v>1.28</v>
      </c>
      <c r="I105" s="3218">
        <f t="shared" si="7"/>
        <v>1.28</v>
      </c>
      <c r="J105" s="3241">
        <f t="shared" si="7"/>
        <v>1.28</v>
      </c>
      <c r="K105" s="3243"/>
      <c r="L105" s="3244"/>
      <c r="M105" s="3244"/>
      <c r="N105" s="3245">
        <v>6</v>
      </c>
      <c r="O105" s="3246"/>
      <c r="P105" s="3246"/>
      <c r="Q105" s="3246"/>
      <c r="R105" s="3246"/>
      <c r="S105" s="3246"/>
      <c r="T105" s="3246"/>
      <c r="U105" s="3246"/>
    </row>
    <row r="106" spans="1:21" ht="14.25">
      <c r="A106" s="4158"/>
      <c r="B106" s="4158"/>
      <c r="C106" s="4156" t="s">
        <v>3252</v>
      </c>
      <c r="D106" s="3241" t="s">
        <v>923</v>
      </c>
      <c r="E106" s="4156">
        <v>3</v>
      </c>
      <c r="F106" s="4156">
        <v>1</v>
      </c>
      <c r="G106" s="3241">
        <v>751.48</v>
      </c>
      <c r="H106" s="3241">
        <v>751.48</v>
      </c>
      <c r="I106" s="3218">
        <f>G106</f>
        <v>751.48</v>
      </c>
      <c r="J106" s="3241">
        <f>H106*F106</f>
        <v>751.48</v>
      </c>
      <c r="K106" s="3243"/>
      <c r="L106" s="3244"/>
      <c r="M106" s="3244"/>
      <c r="N106" s="3246"/>
      <c r="O106" s="3245"/>
      <c r="P106" s="3246"/>
      <c r="Q106" s="3246"/>
      <c r="R106" s="3246"/>
      <c r="S106" s="3246"/>
      <c r="T106" s="3246"/>
      <c r="U106" s="3246"/>
    </row>
    <row r="107" spans="1:21" ht="14.25">
      <c r="A107" s="4158"/>
      <c r="B107" s="4158"/>
      <c r="C107" s="4157"/>
      <c r="D107" s="3241" t="s">
        <v>3253</v>
      </c>
      <c r="E107" s="4157"/>
      <c r="F107" s="4157"/>
      <c r="G107" s="3241">
        <v>1.28</v>
      </c>
      <c r="H107" s="3241">
        <f>G107</f>
        <v>1.28</v>
      </c>
      <c r="I107" s="3218">
        <f>G107</f>
        <v>1.28</v>
      </c>
      <c r="J107" s="3241">
        <f>H107</f>
        <v>1.28</v>
      </c>
      <c r="K107" s="3243"/>
      <c r="L107" s="3244"/>
      <c r="M107" s="3244"/>
      <c r="N107" s="3246">
        <v>6</v>
      </c>
      <c r="O107" s="3245"/>
      <c r="P107" s="3246"/>
      <c r="Q107" s="3246"/>
      <c r="R107" s="3246"/>
      <c r="S107" s="3246"/>
      <c r="T107" s="3246"/>
      <c r="U107" s="3246"/>
    </row>
    <row r="108" spans="1:21" ht="14.25">
      <c r="A108" s="4158"/>
      <c r="B108" s="4158"/>
      <c r="C108" s="4156" t="s">
        <v>3254</v>
      </c>
      <c r="D108" s="3241" t="s">
        <v>923</v>
      </c>
      <c r="E108" s="4156">
        <v>3</v>
      </c>
      <c r="F108" s="4156">
        <v>4</v>
      </c>
      <c r="G108" s="3241">
        <v>751.48</v>
      </c>
      <c r="H108" s="3241">
        <v>751.48</v>
      </c>
      <c r="I108" s="3218">
        <f>G108*F108</f>
        <v>3005.92</v>
      </c>
      <c r="J108" s="3241">
        <f>H108*F108</f>
        <v>3005.92</v>
      </c>
      <c r="K108" s="3243"/>
      <c r="L108" s="3244"/>
      <c r="M108" s="3244"/>
      <c r="N108" s="3246"/>
      <c r="O108" s="3245"/>
      <c r="P108" s="3246"/>
      <c r="Q108" s="3246"/>
      <c r="R108" s="3246"/>
      <c r="S108" s="3246"/>
      <c r="T108" s="3246"/>
      <c r="U108" s="3246"/>
    </row>
    <row r="109" spans="1:21" ht="14.25">
      <c r="A109" s="4158"/>
      <c r="B109" s="4158"/>
      <c r="C109" s="4157"/>
      <c r="D109" s="3241" t="s">
        <v>3255</v>
      </c>
      <c r="E109" s="4157"/>
      <c r="F109" s="4157"/>
      <c r="G109" s="3241">
        <v>1.28</v>
      </c>
      <c r="H109" s="3241">
        <f>G109</f>
        <v>1.28</v>
      </c>
      <c r="I109" s="3218">
        <f>G109*F108</f>
        <v>5.12</v>
      </c>
      <c r="J109" s="3241">
        <f>H109*F108</f>
        <v>5.12</v>
      </c>
      <c r="K109" s="3243"/>
      <c r="L109" s="3244"/>
      <c r="M109" s="3244"/>
      <c r="N109" s="3246">
        <f>6*F108</f>
        <v>24</v>
      </c>
      <c r="O109" s="3245"/>
      <c r="P109" s="3246"/>
      <c r="Q109" s="3246"/>
      <c r="R109" s="3246"/>
      <c r="S109" s="3246"/>
      <c r="T109" s="3246"/>
      <c r="U109" s="3246"/>
    </row>
    <row r="110" spans="1:21" ht="14.25">
      <c r="A110" s="4158"/>
      <c r="B110" s="4158"/>
      <c r="C110" s="4156" t="s">
        <v>3256</v>
      </c>
      <c r="D110" s="3241" t="s">
        <v>923</v>
      </c>
      <c r="E110" s="4156">
        <v>3</v>
      </c>
      <c r="F110" s="4156">
        <v>1</v>
      </c>
      <c r="G110" s="3241">
        <v>751.48</v>
      </c>
      <c r="H110" s="3241">
        <v>751.48</v>
      </c>
      <c r="I110" s="3218">
        <f>G110*F110</f>
        <v>751.48</v>
      </c>
      <c r="J110" s="3241">
        <f>H110*1</f>
        <v>751.48</v>
      </c>
      <c r="K110" s="3243"/>
      <c r="L110" s="3244"/>
      <c r="M110" s="3244"/>
      <c r="N110" s="3246"/>
      <c r="O110" s="3245"/>
      <c r="P110" s="3246"/>
      <c r="Q110" s="3246"/>
      <c r="R110" s="3246"/>
      <c r="S110" s="3246"/>
      <c r="T110" s="3246"/>
      <c r="U110" s="3246"/>
    </row>
    <row r="111" spans="1:21" ht="14.25">
      <c r="A111" s="4158"/>
      <c r="B111" s="4157"/>
      <c r="C111" s="4157"/>
      <c r="D111" s="3241" t="s">
        <v>3257</v>
      </c>
      <c r="E111" s="4157"/>
      <c r="F111" s="4157"/>
      <c r="G111" s="3241">
        <v>1.28</v>
      </c>
      <c r="H111" s="3241">
        <f>G111</f>
        <v>1.28</v>
      </c>
      <c r="I111" s="3218">
        <f>G111*F110</f>
        <v>1.28</v>
      </c>
      <c r="J111" s="3241">
        <f>H111*F110</f>
        <v>1.28</v>
      </c>
      <c r="K111" s="3243"/>
      <c r="L111" s="3244"/>
      <c r="M111" s="3244"/>
      <c r="N111" s="3246">
        <v>6</v>
      </c>
      <c r="O111" s="3245"/>
      <c r="P111" s="3246"/>
      <c r="Q111" s="3246"/>
      <c r="R111" s="3246"/>
      <c r="S111" s="3246"/>
      <c r="T111" s="3246"/>
      <c r="U111" s="3246"/>
    </row>
    <row r="112" spans="1:21" ht="14.25">
      <c r="A112" s="4157"/>
      <c r="B112" s="4154" t="s">
        <v>27</v>
      </c>
      <c r="C112" s="4154"/>
      <c r="D112" s="3241"/>
      <c r="E112" s="3241"/>
      <c r="F112" s="3241">
        <f>F101+F104+F106+F108+F110</f>
        <v>8</v>
      </c>
      <c r="G112" s="3241"/>
      <c r="H112" s="3241"/>
      <c r="I112" s="3218">
        <f>SUM(I101:I111)</f>
        <v>6788.920000000001</v>
      </c>
      <c r="J112" s="3241">
        <f>SUM(J101:J111)</f>
        <v>6788.920000000001</v>
      </c>
      <c r="K112" s="3243"/>
      <c r="L112" s="3244"/>
      <c r="M112" s="3244"/>
      <c r="N112" s="3246">
        <f>SUM(N102:N111)</f>
        <v>48</v>
      </c>
      <c r="O112" s="3245"/>
      <c r="P112" s="3246"/>
      <c r="Q112" s="3246"/>
      <c r="R112" s="3246"/>
      <c r="S112" s="3246"/>
      <c r="T112" s="3246"/>
      <c r="U112" s="3246"/>
    </row>
    <row r="113" spans="1:21" ht="14.25">
      <c r="A113" s="4152" t="s">
        <v>3258</v>
      </c>
      <c r="B113" s="4152" t="s">
        <v>3259</v>
      </c>
      <c r="C113" s="4152" t="s">
        <v>3260</v>
      </c>
      <c r="D113" s="3248" t="s">
        <v>3230</v>
      </c>
      <c r="E113" s="3249">
        <v>4.8</v>
      </c>
      <c r="F113" s="4152">
        <v>1</v>
      </c>
      <c r="G113" s="3248">
        <v>1357.1</v>
      </c>
      <c r="H113" s="3248">
        <f>G113</f>
        <v>1357.1</v>
      </c>
      <c r="I113" s="3218">
        <f t="shared" ref="I113:J116" si="8">G113</f>
        <v>1357.1</v>
      </c>
      <c r="J113" s="3248">
        <f t="shared" si="8"/>
        <v>1357.1</v>
      </c>
      <c r="K113" s="3250"/>
      <c r="L113" s="3251">
        <f>I114+I116+I118+I120+I122</f>
        <v>4730.34</v>
      </c>
      <c r="M113" s="3251" t="s">
        <v>3238</v>
      </c>
      <c r="N113" s="3252"/>
      <c r="O113" s="3253"/>
      <c r="P113" s="3253"/>
      <c r="Q113" s="3247" t="s">
        <v>923</v>
      </c>
      <c r="R113" s="3247">
        <f>I116+I118+I120+I122</f>
        <v>4540.5</v>
      </c>
      <c r="S113" s="3253"/>
      <c r="T113" s="3253"/>
      <c r="U113" s="3253"/>
    </row>
    <row r="114" spans="1:21" ht="14.25">
      <c r="A114" s="4155"/>
      <c r="B114" s="4155"/>
      <c r="C114" s="4155"/>
      <c r="D114" s="3248" t="s">
        <v>3261</v>
      </c>
      <c r="E114" s="3254">
        <v>3</v>
      </c>
      <c r="F114" s="4155"/>
      <c r="G114" s="3248">
        <v>189.84</v>
      </c>
      <c r="H114" s="3248">
        <f>G114</f>
        <v>189.84</v>
      </c>
      <c r="I114" s="3218">
        <f t="shared" si="8"/>
        <v>189.84</v>
      </c>
      <c r="J114" s="3248">
        <f t="shared" si="8"/>
        <v>189.84</v>
      </c>
      <c r="K114" s="3250"/>
      <c r="L114" s="3251">
        <f>I113+I117+I119+I121+I123</f>
        <v>1364.7799999999997</v>
      </c>
      <c r="M114" s="3251" t="s">
        <v>3239</v>
      </c>
      <c r="N114" s="3252">
        <v>0</v>
      </c>
      <c r="O114" s="3253"/>
      <c r="P114" s="3253"/>
      <c r="Q114" s="3247" t="s">
        <v>2996</v>
      </c>
      <c r="R114" s="3247">
        <f>I113</f>
        <v>1357.1</v>
      </c>
      <c r="S114" s="3253"/>
      <c r="T114" s="3253"/>
      <c r="U114" s="3253"/>
    </row>
    <row r="115" spans="1:21" ht="14.25">
      <c r="A115" s="4155"/>
      <c r="B115" s="4155"/>
      <c r="C115" s="4153"/>
      <c r="D115" s="3248" t="s">
        <v>3262</v>
      </c>
      <c r="E115" s="3254">
        <v>3</v>
      </c>
      <c r="F115" s="4153"/>
      <c r="G115" s="3248">
        <v>141.87</v>
      </c>
      <c r="H115" s="3248">
        <v>0</v>
      </c>
      <c r="I115" s="3218">
        <f t="shared" si="8"/>
        <v>141.87</v>
      </c>
      <c r="J115" s="3248">
        <f t="shared" si="8"/>
        <v>0</v>
      </c>
      <c r="K115" s="3250"/>
      <c r="L115" s="3251">
        <f>I115</f>
        <v>141.87</v>
      </c>
      <c r="M115" s="3256" t="s">
        <v>3263</v>
      </c>
      <c r="N115" s="3252"/>
      <c r="O115" s="3253">
        <f>I124-J124</f>
        <v>141.8700000000008</v>
      </c>
      <c r="P115" s="3253"/>
      <c r="Q115" s="3247" t="s">
        <v>3161</v>
      </c>
      <c r="R115" s="3247">
        <f>I114+I115+I117+I119+I121+I123</f>
        <v>339.38999999999993</v>
      </c>
      <c r="S115" s="3253"/>
      <c r="T115" s="3253"/>
      <c r="U115" s="3253"/>
    </row>
    <row r="116" spans="1:21" ht="14.25">
      <c r="A116" s="4155"/>
      <c r="B116" s="4155"/>
      <c r="C116" s="4152" t="s">
        <v>3264</v>
      </c>
      <c r="D116" s="3248" t="s">
        <v>3227</v>
      </c>
      <c r="E116" s="4152">
        <v>3</v>
      </c>
      <c r="F116" s="4152">
        <v>1</v>
      </c>
      <c r="G116" s="3248">
        <v>783.1</v>
      </c>
      <c r="H116" s="3248">
        <v>783.1</v>
      </c>
      <c r="I116" s="3218">
        <f t="shared" si="8"/>
        <v>783.1</v>
      </c>
      <c r="J116" s="3248">
        <f t="shared" si="8"/>
        <v>783.1</v>
      </c>
      <c r="K116" s="3250"/>
      <c r="L116" s="3251"/>
      <c r="M116" s="3251"/>
      <c r="N116" s="3252"/>
      <c r="O116" s="3253"/>
      <c r="P116" s="3253"/>
      <c r="Q116" s="3253"/>
      <c r="R116" s="3253"/>
      <c r="S116" s="3253"/>
      <c r="T116" s="3253"/>
      <c r="U116" s="3253"/>
    </row>
    <row r="117" spans="1:21" ht="14.25">
      <c r="A117" s="4155"/>
      <c r="B117" s="4155"/>
      <c r="C117" s="4153"/>
      <c r="D117" s="3248" t="s">
        <v>3257</v>
      </c>
      <c r="E117" s="4153"/>
      <c r="F117" s="4153"/>
      <c r="G117" s="3248">
        <v>1.28</v>
      </c>
      <c r="H117" s="3248">
        <f>G117</f>
        <v>1.28</v>
      </c>
      <c r="I117" s="3218">
        <f>G117*F116</f>
        <v>1.28</v>
      </c>
      <c r="J117" s="3248">
        <f>H117*F116</f>
        <v>1.28</v>
      </c>
      <c r="K117" s="3250"/>
      <c r="L117" s="3251"/>
      <c r="M117" s="3251"/>
      <c r="N117" s="3252">
        <v>6</v>
      </c>
      <c r="O117" s="3253"/>
      <c r="P117" s="3253"/>
      <c r="Q117" s="3253"/>
      <c r="R117" s="3253"/>
      <c r="S117" s="3253"/>
      <c r="T117" s="3253"/>
      <c r="U117" s="3253"/>
    </row>
    <row r="118" spans="1:21" ht="14.25">
      <c r="A118" s="4155"/>
      <c r="B118" s="4155"/>
      <c r="C118" s="4152" t="s">
        <v>3265</v>
      </c>
      <c r="D118" s="3248" t="s">
        <v>923</v>
      </c>
      <c r="E118" s="4152">
        <v>3</v>
      </c>
      <c r="F118" s="4152">
        <v>1</v>
      </c>
      <c r="G118" s="3248">
        <v>751.48</v>
      </c>
      <c r="H118" s="3248">
        <v>751.48</v>
      </c>
      <c r="I118" s="3218">
        <f>G118</f>
        <v>751.48</v>
      </c>
      <c r="J118" s="3248">
        <f>H118*F118</f>
        <v>751.48</v>
      </c>
      <c r="K118" s="3250"/>
      <c r="L118" s="3251"/>
      <c r="M118" s="3251"/>
      <c r="N118" s="3253"/>
      <c r="O118" s="3252"/>
      <c r="P118" s="3253"/>
      <c r="Q118" s="3253"/>
      <c r="R118" s="3253"/>
      <c r="S118" s="3253"/>
      <c r="T118" s="3253"/>
      <c r="U118" s="3253"/>
    </row>
    <row r="119" spans="1:21" ht="14.25">
      <c r="A119" s="4155"/>
      <c r="B119" s="4155"/>
      <c r="C119" s="4153"/>
      <c r="D119" s="3248" t="s">
        <v>3255</v>
      </c>
      <c r="E119" s="4153"/>
      <c r="F119" s="4153"/>
      <c r="G119" s="3248">
        <v>1.28</v>
      </c>
      <c r="H119" s="3248">
        <f>G119</f>
        <v>1.28</v>
      </c>
      <c r="I119" s="3218">
        <f>G119</f>
        <v>1.28</v>
      </c>
      <c r="J119" s="3248">
        <f>H119</f>
        <v>1.28</v>
      </c>
      <c r="K119" s="3250"/>
      <c r="L119" s="3251"/>
      <c r="M119" s="3251"/>
      <c r="N119" s="3253">
        <v>6</v>
      </c>
      <c r="O119" s="3252"/>
      <c r="P119" s="3253"/>
      <c r="Q119" s="3253"/>
      <c r="R119" s="3253"/>
      <c r="S119" s="3253"/>
      <c r="T119" s="3253"/>
      <c r="U119" s="3253"/>
    </row>
    <row r="120" spans="1:21" ht="14.25">
      <c r="A120" s="4155"/>
      <c r="B120" s="4155"/>
      <c r="C120" s="4152" t="s">
        <v>3266</v>
      </c>
      <c r="D120" s="3248" t="s">
        <v>923</v>
      </c>
      <c r="E120" s="4152">
        <v>3</v>
      </c>
      <c r="F120" s="4152">
        <v>3</v>
      </c>
      <c r="G120" s="3248">
        <v>751.48</v>
      </c>
      <c r="H120" s="3248">
        <v>751.48</v>
      </c>
      <c r="I120" s="3218">
        <f>G120*F120</f>
        <v>2254.44</v>
      </c>
      <c r="J120" s="3248">
        <f>H120*F120</f>
        <v>2254.44</v>
      </c>
      <c r="K120" s="3250"/>
      <c r="L120" s="3251"/>
      <c r="M120" s="3251"/>
      <c r="N120" s="3253"/>
      <c r="O120" s="3252"/>
      <c r="P120" s="3253"/>
      <c r="Q120" s="3253"/>
      <c r="R120" s="3253"/>
      <c r="S120" s="3253"/>
      <c r="T120" s="3253"/>
      <c r="U120" s="3253"/>
    </row>
    <row r="121" spans="1:21" ht="14.25">
      <c r="A121" s="4155"/>
      <c r="B121" s="4155"/>
      <c r="C121" s="4153"/>
      <c r="D121" s="3248" t="s">
        <v>3267</v>
      </c>
      <c r="E121" s="4153"/>
      <c r="F121" s="4153"/>
      <c r="G121" s="3248">
        <v>1.28</v>
      </c>
      <c r="H121" s="3248">
        <f>G121</f>
        <v>1.28</v>
      </c>
      <c r="I121" s="3218">
        <f>G121*F120</f>
        <v>3.84</v>
      </c>
      <c r="J121" s="3248">
        <f>H121*F120</f>
        <v>3.84</v>
      </c>
      <c r="K121" s="3250"/>
      <c r="L121" s="3251"/>
      <c r="M121" s="3251"/>
      <c r="N121" s="3253">
        <f>6*F120</f>
        <v>18</v>
      </c>
      <c r="O121" s="3252"/>
      <c r="P121" s="3253"/>
      <c r="Q121" s="3253"/>
      <c r="R121" s="3253"/>
      <c r="S121" s="3253"/>
      <c r="T121" s="3253"/>
      <c r="U121" s="3253"/>
    </row>
    <row r="122" spans="1:21" ht="14.25">
      <c r="A122" s="4155"/>
      <c r="B122" s="4155"/>
      <c r="C122" s="4152" t="s">
        <v>3268</v>
      </c>
      <c r="D122" s="3248" t="s">
        <v>923</v>
      </c>
      <c r="E122" s="4152">
        <v>3</v>
      </c>
      <c r="F122" s="4152">
        <v>1</v>
      </c>
      <c r="G122" s="3248">
        <v>751.48</v>
      </c>
      <c r="H122" s="3248">
        <v>751.48</v>
      </c>
      <c r="I122" s="3218">
        <f>G122*F122</f>
        <v>751.48</v>
      </c>
      <c r="J122" s="3248">
        <f>H122*1</f>
        <v>751.48</v>
      </c>
      <c r="K122" s="3250"/>
      <c r="L122" s="3251"/>
      <c r="M122" s="3251"/>
      <c r="N122" s="3253"/>
      <c r="O122" s="3252"/>
      <c r="P122" s="3253"/>
      <c r="Q122" s="3253"/>
      <c r="R122" s="3253"/>
      <c r="S122" s="3253"/>
      <c r="T122" s="3253"/>
      <c r="U122" s="3253"/>
    </row>
    <row r="123" spans="1:21" ht="14.25">
      <c r="A123" s="4155"/>
      <c r="B123" s="4153"/>
      <c r="C123" s="4153"/>
      <c r="D123" s="3248" t="s">
        <v>3267</v>
      </c>
      <c r="E123" s="4153"/>
      <c r="F123" s="4153"/>
      <c r="G123" s="3248">
        <v>1.28</v>
      </c>
      <c r="H123" s="3248">
        <f>G123</f>
        <v>1.28</v>
      </c>
      <c r="I123" s="3218">
        <f>G123*F122</f>
        <v>1.28</v>
      </c>
      <c r="J123" s="3248">
        <f>H123*F122</f>
        <v>1.28</v>
      </c>
      <c r="K123" s="3250"/>
      <c r="L123" s="3251"/>
      <c r="M123" s="3251"/>
      <c r="N123" s="3253">
        <v>6</v>
      </c>
      <c r="O123" s="3252"/>
      <c r="P123" s="3253"/>
      <c r="Q123" s="3253"/>
      <c r="R123" s="3253"/>
      <c r="S123" s="3253"/>
      <c r="T123" s="3253"/>
      <c r="U123" s="3253"/>
    </row>
    <row r="124" spans="1:21" ht="14.25">
      <c r="A124" s="4153"/>
      <c r="B124" s="4149" t="s">
        <v>27</v>
      </c>
      <c r="C124" s="4149"/>
      <c r="D124" s="3248"/>
      <c r="E124" s="3248"/>
      <c r="F124" s="3248">
        <f>F113+F116+F118+F120+F122</f>
        <v>7</v>
      </c>
      <c r="G124" s="3248"/>
      <c r="H124" s="3248"/>
      <c r="I124" s="3218">
        <f>SUM(I113:I123)</f>
        <v>6236.9900000000007</v>
      </c>
      <c r="J124" s="3248">
        <f>SUM(J113:J123)</f>
        <v>6095.12</v>
      </c>
      <c r="K124" s="3250"/>
      <c r="L124" s="3251"/>
      <c r="M124" s="3251"/>
      <c r="N124" s="3253">
        <f>SUM(N114:N123)</f>
        <v>36</v>
      </c>
      <c r="O124" s="3252"/>
      <c r="P124" s="3253"/>
      <c r="Q124" s="3253"/>
      <c r="R124" s="3253"/>
      <c r="S124" s="3253"/>
      <c r="T124" s="3253"/>
      <c r="U124" s="3253"/>
    </row>
    <row r="125" spans="1:21" ht="14.25">
      <c r="A125" s="4133" t="s">
        <v>3269</v>
      </c>
      <c r="B125" s="4136" t="s">
        <v>3270</v>
      </c>
      <c r="C125" s="4127" t="s">
        <v>3271</v>
      </c>
      <c r="D125" s="3216" t="s">
        <v>3272</v>
      </c>
      <c r="E125" s="3257">
        <v>4.8</v>
      </c>
      <c r="F125" s="4136">
        <v>1</v>
      </c>
      <c r="G125" s="3217">
        <v>945.54</v>
      </c>
      <c r="H125" s="3216">
        <f>G125</f>
        <v>945.54</v>
      </c>
      <c r="I125" s="3218">
        <f t="shared" ref="I125:J129" si="9">G125</f>
        <v>945.54</v>
      </c>
      <c r="J125" s="3216">
        <f t="shared" si="9"/>
        <v>945.54</v>
      </c>
      <c r="K125" s="3208"/>
      <c r="L125" s="3209">
        <f>I127+I128+I130+I132+I134</f>
        <v>3656.58</v>
      </c>
      <c r="M125" s="3210" t="s">
        <v>3273</v>
      </c>
      <c r="N125" s="3211"/>
      <c r="O125" s="3228"/>
      <c r="P125" s="3228"/>
      <c r="Q125" s="3229" t="s">
        <v>923</v>
      </c>
      <c r="R125" s="3229">
        <f>I128+I130+I132+I134</f>
        <v>3529.8999999999996</v>
      </c>
      <c r="S125" s="3228"/>
      <c r="T125" s="3228"/>
      <c r="U125" s="3228"/>
    </row>
    <row r="126" spans="1:21" ht="14.25">
      <c r="A126" s="4134"/>
      <c r="B126" s="4141"/>
      <c r="C126" s="4127"/>
      <c r="D126" s="3216" t="s">
        <v>3274</v>
      </c>
      <c r="E126" s="3257">
        <v>6</v>
      </c>
      <c r="F126" s="4141"/>
      <c r="G126" s="3217">
        <v>97.49</v>
      </c>
      <c r="H126" s="3216">
        <v>0</v>
      </c>
      <c r="I126" s="3218">
        <f t="shared" si="9"/>
        <v>97.49</v>
      </c>
      <c r="J126" s="3216">
        <f t="shared" si="9"/>
        <v>0</v>
      </c>
      <c r="K126" s="3208"/>
      <c r="L126" s="3210">
        <f>I125+I129+I131+I133+I135</f>
        <v>954.49999999999989</v>
      </c>
      <c r="M126" s="3210" t="s">
        <v>3275</v>
      </c>
      <c r="N126" s="3211"/>
      <c r="O126" s="3228">
        <f>I136-J136</f>
        <v>97.489999999999782</v>
      </c>
      <c r="P126" s="3228"/>
      <c r="Q126" s="3229" t="s">
        <v>2996</v>
      </c>
      <c r="R126" s="3229">
        <f>I125</f>
        <v>945.54</v>
      </c>
      <c r="S126" s="3228"/>
      <c r="T126" s="3228"/>
      <c r="U126" s="3228"/>
    </row>
    <row r="127" spans="1:21" ht="14.25">
      <c r="A127" s="4134"/>
      <c r="B127" s="4141"/>
      <c r="C127" s="4127"/>
      <c r="D127" s="3216" t="s">
        <v>3276</v>
      </c>
      <c r="E127" s="3257">
        <v>3</v>
      </c>
      <c r="F127" s="4141"/>
      <c r="G127" s="3217">
        <v>126.68</v>
      </c>
      <c r="H127" s="3216">
        <f>G127</f>
        <v>126.68</v>
      </c>
      <c r="I127" s="3218">
        <f t="shared" si="9"/>
        <v>126.68</v>
      </c>
      <c r="J127" s="3216">
        <f t="shared" si="9"/>
        <v>126.68</v>
      </c>
      <c r="K127" s="3208"/>
      <c r="L127" s="3210">
        <f>I126</f>
        <v>97.49</v>
      </c>
      <c r="M127" s="3258" t="s">
        <v>3263</v>
      </c>
      <c r="N127" s="3211">
        <v>0</v>
      </c>
      <c r="O127" s="3228"/>
      <c r="P127" s="3228"/>
      <c r="Q127" s="3229" t="s">
        <v>3161</v>
      </c>
      <c r="R127" s="3229">
        <f>I126+I127+I129+I131+I133+I135</f>
        <v>233.13000000000002</v>
      </c>
      <c r="S127" s="3228"/>
      <c r="T127" s="3228"/>
      <c r="U127" s="3228"/>
    </row>
    <row r="128" spans="1:21" ht="14.25">
      <c r="A128" s="4134"/>
      <c r="B128" s="4141"/>
      <c r="C128" s="4141" t="s">
        <v>3264</v>
      </c>
      <c r="D128" s="3216" t="s">
        <v>3227</v>
      </c>
      <c r="E128" s="4150">
        <v>3</v>
      </c>
      <c r="F128" s="4141">
        <v>1</v>
      </c>
      <c r="G128" s="3217">
        <v>522.34</v>
      </c>
      <c r="H128" s="3216">
        <v>522.34</v>
      </c>
      <c r="I128" s="3218">
        <f t="shared" si="9"/>
        <v>522.34</v>
      </c>
      <c r="J128" s="3216">
        <f t="shared" si="9"/>
        <v>522.34</v>
      </c>
      <c r="K128" s="3208"/>
      <c r="L128" s="3210"/>
      <c r="M128" s="3210"/>
      <c r="N128" s="3211"/>
      <c r="O128" s="3228"/>
      <c r="P128" s="3228"/>
      <c r="Q128" s="3228"/>
      <c r="R128" s="3228"/>
      <c r="S128" s="3228"/>
      <c r="T128" s="3228"/>
      <c r="U128" s="3228"/>
    </row>
    <row r="129" spans="1:21" ht="14.25">
      <c r="A129" s="4134"/>
      <c r="B129" s="4141"/>
      <c r="C129" s="4137"/>
      <c r="D129" s="3216" t="s">
        <v>3257</v>
      </c>
      <c r="E129" s="4151"/>
      <c r="F129" s="4137"/>
      <c r="G129" s="3217">
        <v>1.28</v>
      </c>
      <c r="H129" s="3216">
        <v>1.28</v>
      </c>
      <c r="I129" s="3218">
        <f t="shared" si="9"/>
        <v>1.28</v>
      </c>
      <c r="J129" s="3216">
        <f t="shared" si="9"/>
        <v>1.28</v>
      </c>
      <c r="K129" s="3208"/>
      <c r="L129" s="3210"/>
      <c r="M129" s="3210"/>
      <c r="N129" s="3211">
        <v>4</v>
      </c>
      <c r="O129" s="3228"/>
      <c r="P129" s="3228"/>
      <c r="Q129" s="3228"/>
      <c r="R129" s="3228"/>
      <c r="S129" s="3228"/>
      <c r="T129" s="3228"/>
      <c r="U129" s="3228"/>
    </row>
    <row r="130" spans="1:21" ht="14.25">
      <c r="A130" s="4134"/>
      <c r="B130" s="4141"/>
      <c r="C130" s="4136" t="s">
        <v>3231</v>
      </c>
      <c r="D130" s="3216" t="s">
        <v>923</v>
      </c>
      <c r="E130" s="4136">
        <v>3</v>
      </c>
      <c r="F130" s="4136">
        <v>1</v>
      </c>
      <c r="G130" s="3217">
        <v>501.26</v>
      </c>
      <c r="H130" s="3216">
        <v>501.26</v>
      </c>
      <c r="I130" s="3218">
        <f>G130</f>
        <v>501.26</v>
      </c>
      <c r="J130" s="3216">
        <f>H130*F130</f>
        <v>501.26</v>
      </c>
      <c r="K130" s="3208"/>
      <c r="L130" s="3210"/>
      <c r="M130" s="3210"/>
      <c r="N130" s="3228"/>
      <c r="O130" s="3211"/>
      <c r="P130" s="3228"/>
      <c r="Q130" s="3228"/>
      <c r="R130" s="3228"/>
      <c r="S130" s="3228"/>
      <c r="T130" s="3228"/>
      <c r="U130" s="3228"/>
    </row>
    <row r="131" spans="1:21" ht="14.25">
      <c r="A131" s="4134"/>
      <c r="B131" s="4141"/>
      <c r="C131" s="4137"/>
      <c r="D131" s="3216" t="s">
        <v>3277</v>
      </c>
      <c r="E131" s="4137"/>
      <c r="F131" s="4137"/>
      <c r="G131" s="3217">
        <v>1.28</v>
      </c>
      <c r="H131" s="3216">
        <f>G131</f>
        <v>1.28</v>
      </c>
      <c r="I131" s="3218">
        <f>G131</f>
        <v>1.28</v>
      </c>
      <c r="J131" s="3216">
        <f>H131</f>
        <v>1.28</v>
      </c>
      <c r="K131" s="3208"/>
      <c r="L131" s="3210"/>
      <c r="M131" s="3210"/>
      <c r="N131" s="3228">
        <v>4</v>
      </c>
      <c r="O131" s="3211"/>
      <c r="P131" s="3228"/>
      <c r="Q131" s="3228"/>
      <c r="R131" s="3228"/>
      <c r="S131" s="3228"/>
      <c r="T131" s="3228"/>
      <c r="U131" s="3228"/>
    </row>
    <row r="132" spans="1:21" ht="14.25">
      <c r="A132" s="4134"/>
      <c r="B132" s="4141"/>
      <c r="C132" s="4136" t="s">
        <v>3278</v>
      </c>
      <c r="D132" s="3216" t="s">
        <v>923</v>
      </c>
      <c r="E132" s="4136">
        <v>3</v>
      </c>
      <c r="F132" s="4136">
        <v>4</v>
      </c>
      <c r="G132" s="3217">
        <v>501.26</v>
      </c>
      <c r="H132" s="3216">
        <v>501.26</v>
      </c>
      <c r="I132" s="3218">
        <f>G132*F132</f>
        <v>2005.04</v>
      </c>
      <c r="J132" s="3216">
        <f>H132*F132</f>
        <v>2005.04</v>
      </c>
      <c r="K132" s="3208"/>
      <c r="L132" s="3210"/>
      <c r="M132" s="3210"/>
      <c r="N132" s="3228"/>
      <c r="O132" s="3211"/>
      <c r="P132" s="3228"/>
      <c r="Q132" s="3228"/>
      <c r="R132" s="3228"/>
      <c r="S132" s="3228"/>
      <c r="T132" s="3228"/>
      <c r="U132" s="3228"/>
    </row>
    <row r="133" spans="1:21" ht="14.25">
      <c r="A133" s="4134"/>
      <c r="B133" s="4141"/>
      <c r="C133" s="4137"/>
      <c r="D133" s="3216" t="s">
        <v>3279</v>
      </c>
      <c r="E133" s="4137"/>
      <c r="F133" s="4137"/>
      <c r="G133" s="3217">
        <v>1.28</v>
      </c>
      <c r="H133" s="3216">
        <f>G133</f>
        <v>1.28</v>
      </c>
      <c r="I133" s="3218">
        <f>G133*F132</f>
        <v>5.12</v>
      </c>
      <c r="J133" s="3216">
        <f>H133*F132</f>
        <v>5.12</v>
      </c>
      <c r="K133" s="3208"/>
      <c r="L133" s="3210"/>
      <c r="M133" s="3210"/>
      <c r="N133" s="3228">
        <f>4*F132</f>
        <v>16</v>
      </c>
      <c r="O133" s="3211"/>
      <c r="P133" s="3259"/>
      <c r="Q133" s="3228"/>
      <c r="R133" s="3228"/>
      <c r="S133" s="3228"/>
      <c r="T133" s="3228"/>
      <c r="U133" s="3228"/>
    </row>
    <row r="134" spans="1:21" ht="14.25">
      <c r="A134" s="4134"/>
      <c r="B134" s="4141"/>
      <c r="C134" s="4136" t="s">
        <v>3242</v>
      </c>
      <c r="D134" s="3216" t="s">
        <v>923</v>
      </c>
      <c r="E134" s="4136">
        <v>3</v>
      </c>
      <c r="F134" s="4136">
        <v>1</v>
      </c>
      <c r="G134" s="3217">
        <v>501.26</v>
      </c>
      <c r="H134" s="3216">
        <v>501.26</v>
      </c>
      <c r="I134" s="3218">
        <f>G134*F134</f>
        <v>501.26</v>
      </c>
      <c r="J134" s="3216">
        <f>H134*1</f>
        <v>501.26</v>
      </c>
      <c r="K134" s="3208"/>
      <c r="L134" s="3210"/>
      <c r="M134" s="3210"/>
      <c r="N134" s="3228"/>
      <c r="O134" s="3211"/>
      <c r="P134" s="3259"/>
      <c r="Q134" s="3228"/>
      <c r="R134" s="3228"/>
      <c r="S134" s="3228"/>
      <c r="T134" s="3228"/>
      <c r="U134" s="3228"/>
    </row>
    <row r="135" spans="1:21" ht="14.25">
      <c r="A135" s="4134"/>
      <c r="B135" s="4137"/>
      <c r="C135" s="4137"/>
      <c r="D135" s="3216" t="s">
        <v>3280</v>
      </c>
      <c r="E135" s="4137"/>
      <c r="F135" s="4137"/>
      <c r="G135" s="3217">
        <v>1.28</v>
      </c>
      <c r="H135" s="3216">
        <f>G135</f>
        <v>1.28</v>
      </c>
      <c r="I135" s="3218">
        <f>G135*F134</f>
        <v>1.28</v>
      </c>
      <c r="J135" s="3216">
        <f>H135*F134</f>
        <v>1.28</v>
      </c>
      <c r="K135" s="3208"/>
      <c r="L135" s="3210"/>
      <c r="M135" s="3210"/>
      <c r="N135" s="3228">
        <v>4</v>
      </c>
      <c r="O135" s="3211"/>
      <c r="P135" s="3259"/>
      <c r="Q135" s="3228"/>
      <c r="R135" s="3228"/>
      <c r="S135" s="3228"/>
      <c r="T135" s="3228"/>
      <c r="U135" s="3228"/>
    </row>
    <row r="136" spans="1:21" ht="14.25">
      <c r="A136" s="4135"/>
      <c r="B136" s="4127" t="s">
        <v>3281</v>
      </c>
      <c r="C136" s="4127"/>
      <c r="D136" s="3216"/>
      <c r="E136" s="3216"/>
      <c r="F136" s="3216">
        <f>F125+F128+F130+F132+F134</f>
        <v>8</v>
      </c>
      <c r="G136" s="3217"/>
      <c r="H136" s="3216"/>
      <c r="I136" s="3218">
        <f>SUM(I125:I135)</f>
        <v>4708.57</v>
      </c>
      <c r="J136" s="3216">
        <f>SUM(J125:J135)</f>
        <v>4611.08</v>
      </c>
      <c r="K136" s="3208"/>
      <c r="L136" s="3210"/>
      <c r="M136" s="3210"/>
      <c r="N136" s="3231">
        <f>SUM(N127:N135)</f>
        <v>28</v>
      </c>
      <c r="O136" s="3237"/>
      <c r="P136" s="3259"/>
      <c r="Q136" s="3228"/>
      <c r="R136" s="3228"/>
      <c r="S136" s="3228"/>
      <c r="T136" s="3228"/>
      <c r="U136" s="3228"/>
    </row>
    <row r="137" spans="1:21" ht="14.25">
      <c r="A137" s="4133" t="s">
        <v>3282</v>
      </c>
      <c r="B137" s="4136" t="s">
        <v>3283</v>
      </c>
      <c r="C137" s="3216" t="s">
        <v>3260</v>
      </c>
      <c r="D137" s="3216" t="s">
        <v>3284</v>
      </c>
      <c r="E137" s="3216">
        <v>3.7</v>
      </c>
      <c r="F137" s="3216">
        <v>1</v>
      </c>
      <c r="G137" s="3217">
        <v>1907.68</v>
      </c>
      <c r="H137" s="3216">
        <f>G137</f>
        <v>1907.68</v>
      </c>
      <c r="I137" s="3218">
        <f>G137</f>
        <v>1907.68</v>
      </c>
      <c r="J137" s="3216">
        <f>G137</f>
        <v>1907.68</v>
      </c>
      <c r="K137" s="3208"/>
      <c r="L137" s="3210"/>
      <c r="M137" s="3210"/>
      <c r="N137" s="3231"/>
      <c r="O137" s="3237"/>
      <c r="P137" s="3259"/>
      <c r="Q137" s="3260" t="s">
        <v>3285</v>
      </c>
      <c r="R137" s="3229">
        <f>I140</f>
        <v>5400.9</v>
      </c>
      <c r="S137" s="3228"/>
      <c r="T137" s="3228"/>
      <c r="U137" s="3228"/>
    </row>
    <row r="138" spans="1:21" ht="14.25">
      <c r="A138" s="4134"/>
      <c r="B138" s="4141"/>
      <c r="C138" s="3216" t="s">
        <v>3286</v>
      </c>
      <c r="D138" s="3216" t="s">
        <v>3284</v>
      </c>
      <c r="E138" s="3216">
        <v>3.7</v>
      </c>
      <c r="F138" s="3216">
        <v>1</v>
      </c>
      <c r="G138" s="3217">
        <v>1746.61</v>
      </c>
      <c r="H138" s="3216">
        <f>G138</f>
        <v>1746.61</v>
      </c>
      <c r="I138" s="3218">
        <f>G138</f>
        <v>1746.61</v>
      </c>
      <c r="J138" s="3216">
        <f>G138</f>
        <v>1746.61</v>
      </c>
      <c r="K138" s="3208"/>
      <c r="L138" s="3210"/>
      <c r="M138" s="3210"/>
      <c r="N138" s="3231"/>
      <c r="O138" s="3237"/>
      <c r="P138" s="3259"/>
      <c r="Q138" s="3229"/>
      <c r="R138" s="3228"/>
      <c r="S138" s="3228"/>
      <c r="T138" s="3228"/>
      <c r="U138" s="3228"/>
    </row>
    <row r="139" spans="1:21" ht="14.25">
      <c r="A139" s="4134"/>
      <c r="B139" s="4137"/>
      <c r="C139" s="3216" t="s">
        <v>3175</v>
      </c>
      <c r="D139" s="3216" t="s">
        <v>3284</v>
      </c>
      <c r="E139" s="3216">
        <v>3.7</v>
      </c>
      <c r="F139" s="3216">
        <v>1</v>
      </c>
      <c r="G139" s="3217">
        <v>1746.61</v>
      </c>
      <c r="H139" s="3216">
        <f>G139</f>
        <v>1746.61</v>
      </c>
      <c r="I139" s="3218">
        <f>G139</f>
        <v>1746.61</v>
      </c>
      <c r="J139" s="3216">
        <f>G139</f>
        <v>1746.61</v>
      </c>
      <c r="K139" s="3208"/>
      <c r="L139" s="3210"/>
      <c r="M139" s="3210"/>
      <c r="N139" s="3231"/>
      <c r="O139" s="3237"/>
      <c r="P139" s="3259"/>
      <c r="Q139" s="3229"/>
      <c r="R139" s="3228"/>
      <c r="S139" s="3228"/>
      <c r="T139" s="3228"/>
      <c r="U139" s="3228"/>
    </row>
    <row r="140" spans="1:21" ht="14.25">
      <c r="A140" s="4135"/>
      <c r="B140" s="4147" t="s">
        <v>3281</v>
      </c>
      <c r="C140" s="4148"/>
      <c r="D140" s="3216"/>
      <c r="E140" s="3216"/>
      <c r="F140" s="3216">
        <f>F137+F138+F139</f>
        <v>3</v>
      </c>
      <c r="G140" s="3217"/>
      <c r="H140" s="3216"/>
      <c r="I140" s="3218">
        <f>SUM(I137:I139)</f>
        <v>5400.9</v>
      </c>
      <c r="J140" s="3216">
        <f>SUM(J137:J139)</f>
        <v>5400.9</v>
      </c>
      <c r="K140" s="3208"/>
      <c r="L140" s="3210"/>
      <c r="M140" s="3210"/>
      <c r="N140" s="3231"/>
      <c r="O140" s="3237"/>
      <c r="P140" s="3259"/>
      <c r="Q140" s="3228"/>
      <c r="R140" s="3228"/>
      <c r="S140" s="3228"/>
      <c r="T140" s="3228"/>
      <c r="U140" s="3228"/>
    </row>
    <row r="141" spans="1:21" ht="14.25">
      <c r="A141" s="4133" t="s">
        <v>3287</v>
      </c>
      <c r="B141" s="4142" t="s">
        <v>3259</v>
      </c>
      <c r="C141" s="3222" t="s">
        <v>3260</v>
      </c>
      <c r="D141" s="3222" t="s">
        <v>3227</v>
      </c>
      <c r="E141" s="3223">
        <v>3</v>
      </c>
      <c r="F141" s="3222">
        <v>1</v>
      </c>
      <c r="G141" s="3224">
        <v>658.64</v>
      </c>
      <c r="H141" s="3222">
        <f>G141</f>
        <v>658.64</v>
      </c>
      <c r="I141" s="3225">
        <f>G141</f>
        <v>658.64</v>
      </c>
      <c r="J141" s="3222">
        <f>H141</f>
        <v>658.64</v>
      </c>
      <c r="K141" s="3208"/>
      <c r="L141" s="3209">
        <f>I146</f>
        <v>4332.1600000000008</v>
      </c>
      <c r="M141" s="3210" t="s">
        <v>3227</v>
      </c>
      <c r="N141" s="3211">
        <v>4</v>
      </c>
      <c r="O141" s="3228"/>
      <c r="P141" s="3259"/>
      <c r="Q141" s="3229" t="s">
        <v>923</v>
      </c>
      <c r="R141" s="3229">
        <f>I146</f>
        <v>4332.1600000000008</v>
      </c>
      <c r="S141" s="3228"/>
      <c r="T141" s="3228"/>
      <c r="U141" s="3228"/>
    </row>
    <row r="142" spans="1:21" ht="14.25">
      <c r="A142" s="4134"/>
      <c r="B142" s="4143"/>
      <c r="C142" s="3222" t="s">
        <v>3288</v>
      </c>
      <c r="D142" s="3222" t="s">
        <v>3289</v>
      </c>
      <c r="E142" s="3222">
        <v>3</v>
      </c>
      <c r="F142" s="3222">
        <v>1</v>
      </c>
      <c r="G142" s="3224">
        <v>546.72</v>
      </c>
      <c r="H142" s="3222">
        <f>G142</f>
        <v>546.72</v>
      </c>
      <c r="I142" s="3225">
        <f>G142</f>
        <v>546.72</v>
      </c>
      <c r="J142" s="3222">
        <f>H142</f>
        <v>546.72</v>
      </c>
      <c r="K142" s="3208"/>
      <c r="L142" s="3210"/>
      <c r="M142" s="3210"/>
      <c r="N142" s="3211">
        <v>4</v>
      </c>
      <c r="O142" s="3228"/>
      <c r="P142" s="3228"/>
      <c r="Q142" s="3229" t="s">
        <v>2996</v>
      </c>
      <c r="R142" s="3229">
        <v>0</v>
      </c>
      <c r="S142" s="3228"/>
      <c r="T142" s="3228"/>
      <c r="U142" s="3228"/>
    </row>
    <row r="143" spans="1:21" ht="14.25">
      <c r="A143" s="4134"/>
      <c r="B143" s="4143"/>
      <c r="C143" s="3222" t="s">
        <v>3290</v>
      </c>
      <c r="D143" s="3222" t="s">
        <v>923</v>
      </c>
      <c r="E143" s="3222">
        <v>3</v>
      </c>
      <c r="F143" s="3222">
        <v>1</v>
      </c>
      <c r="G143" s="3224">
        <v>523.32000000000005</v>
      </c>
      <c r="H143" s="3222">
        <f>G143</f>
        <v>523.32000000000005</v>
      </c>
      <c r="I143" s="3225">
        <f>G143*F143</f>
        <v>523.32000000000005</v>
      </c>
      <c r="J143" s="3222">
        <f>H143*F143</f>
        <v>523.32000000000005</v>
      </c>
      <c r="K143" s="3208"/>
      <c r="L143" s="3210"/>
      <c r="M143" s="3210"/>
      <c r="N143" s="3211">
        <v>4</v>
      </c>
      <c r="O143" s="3228"/>
      <c r="P143" s="3228"/>
      <c r="Q143" s="3229" t="s">
        <v>3161</v>
      </c>
      <c r="R143" s="3229">
        <v>0</v>
      </c>
      <c r="S143" s="3228"/>
      <c r="T143" s="3228"/>
      <c r="U143" s="3228"/>
    </row>
    <row r="144" spans="1:21" ht="14.25">
      <c r="A144" s="4134"/>
      <c r="B144" s="4143"/>
      <c r="C144" s="3222" t="s">
        <v>3291</v>
      </c>
      <c r="D144" s="3222" t="s">
        <v>923</v>
      </c>
      <c r="E144" s="3222">
        <v>3</v>
      </c>
      <c r="F144" s="3222">
        <v>4</v>
      </c>
      <c r="G144" s="3224">
        <v>523.32000000000005</v>
      </c>
      <c r="H144" s="3222">
        <f>G144</f>
        <v>523.32000000000005</v>
      </c>
      <c r="I144" s="3225">
        <f>G144*F144</f>
        <v>2093.2800000000002</v>
      </c>
      <c r="J144" s="3222">
        <f>H144*F144</f>
        <v>2093.2800000000002</v>
      </c>
      <c r="K144" s="3208"/>
      <c r="L144" s="3210"/>
      <c r="M144" s="3210"/>
      <c r="N144" s="3211">
        <f>4*F144</f>
        <v>16</v>
      </c>
      <c r="O144" s="3228"/>
      <c r="P144" s="3228"/>
      <c r="Q144" s="3228"/>
      <c r="R144" s="3228"/>
      <c r="S144" s="3228"/>
      <c r="T144" s="3228"/>
      <c r="U144" s="3228"/>
    </row>
    <row r="145" spans="1:21" ht="14.25">
      <c r="A145" s="4134"/>
      <c r="B145" s="4144"/>
      <c r="C145" s="3222" t="s">
        <v>3292</v>
      </c>
      <c r="D145" s="3222" t="s">
        <v>923</v>
      </c>
      <c r="E145" s="3222">
        <v>3</v>
      </c>
      <c r="F145" s="3222">
        <v>1</v>
      </c>
      <c r="G145" s="3224">
        <v>510.2</v>
      </c>
      <c r="H145" s="3222">
        <f>G145</f>
        <v>510.2</v>
      </c>
      <c r="I145" s="3225">
        <f>G145*F145</f>
        <v>510.2</v>
      </c>
      <c r="J145" s="3222">
        <f>H145*F145</f>
        <v>510.2</v>
      </c>
      <c r="K145" s="3208"/>
      <c r="L145" s="3210"/>
      <c r="M145" s="3210"/>
      <c r="N145" s="3211">
        <v>4</v>
      </c>
      <c r="O145" s="3228"/>
      <c r="P145" s="3228"/>
      <c r="Q145" s="3228"/>
      <c r="R145" s="3228"/>
      <c r="S145" s="3228"/>
      <c r="T145" s="3228"/>
      <c r="U145" s="3228"/>
    </row>
    <row r="146" spans="1:21" ht="14.25">
      <c r="A146" s="4135"/>
      <c r="B146" s="4145" t="s">
        <v>3281</v>
      </c>
      <c r="C146" s="4146"/>
      <c r="D146" s="3222"/>
      <c r="E146" s="3223"/>
      <c r="F146" s="3222">
        <f>F144+F143+F142+F141+F145</f>
        <v>8</v>
      </c>
      <c r="G146" s="3224"/>
      <c r="H146" s="3222"/>
      <c r="I146" s="3225">
        <f>SUM(I141:I145)</f>
        <v>4332.1600000000008</v>
      </c>
      <c r="J146" s="3222">
        <f>SUM(J141:J145)</f>
        <v>4332.1600000000008</v>
      </c>
      <c r="K146" s="3208"/>
      <c r="L146" s="3210"/>
      <c r="M146" s="3210"/>
      <c r="N146" s="3231">
        <f>SUM(N141:N145)</f>
        <v>32</v>
      </c>
      <c r="O146" s="3228"/>
      <c r="P146" s="3228"/>
      <c r="Q146" s="3228"/>
      <c r="R146" s="3228"/>
      <c r="S146" s="3228"/>
      <c r="T146" s="3228"/>
      <c r="U146" s="3228"/>
    </row>
    <row r="147" spans="1:21" ht="14.25">
      <c r="A147" s="4133" t="s">
        <v>3293</v>
      </c>
      <c r="B147" s="4142" t="s">
        <v>3259</v>
      </c>
      <c r="C147" s="3222" t="s">
        <v>3260</v>
      </c>
      <c r="D147" s="3222" t="s">
        <v>3227</v>
      </c>
      <c r="E147" s="3223">
        <v>3</v>
      </c>
      <c r="F147" s="3222">
        <v>1</v>
      </c>
      <c r="G147" s="3224">
        <v>658.64</v>
      </c>
      <c r="H147" s="3222">
        <f>G147</f>
        <v>658.64</v>
      </c>
      <c r="I147" s="3225">
        <f>G147</f>
        <v>658.64</v>
      </c>
      <c r="J147" s="3222">
        <f>H147</f>
        <v>658.64</v>
      </c>
      <c r="K147" s="3208"/>
      <c r="L147" s="3209">
        <f>I152</f>
        <v>4332.1600000000008</v>
      </c>
      <c r="M147" s="3210" t="s">
        <v>3294</v>
      </c>
      <c r="N147" s="3211">
        <v>4</v>
      </c>
      <c r="O147" s="3228"/>
      <c r="P147" s="3228"/>
      <c r="Q147" s="3229" t="s">
        <v>923</v>
      </c>
      <c r="R147" s="3229">
        <f>I152</f>
        <v>4332.1600000000008</v>
      </c>
      <c r="S147" s="3228"/>
      <c r="T147" s="3228"/>
      <c r="U147" s="3228"/>
    </row>
    <row r="148" spans="1:21" ht="14.25">
      <c r="A148" s="4134"/>
      <c r="B148" s="4143"/>
      <c r="C148" s="3222" t="s">
        <v>3295</v>
      </c>
      <c r="D148" s="3222" t="s">
        <v>3296</v>
      </c>
      <c r="E148" s="3222">
        <v>3</v>
      </c>
      <c r="F148" s="3222">
        <v>1</v>
      </c>
      <c r="G148" s="3224">
        <v>546.72</v>
      </c>
      <c r="H148" s="3222">
        <f>G148</f>
        <v>546.72</v>
      </c>
      <c r="I148" s="3225">
        <f>G148</f>
        <v>546.72</v>
      </c>
      <c r="J148" s="3222">
        <f>H148</f>
        <v>546.72</v>
      </c>
      <c r="K148" s="3208"/>
      <c r="L148" s="3210"/>
      <c r="M148" s="3210"/>
      <c r="N148" s="3211">
        <v>4</v>
      </c>
      <c r="O148" s="3228"/>
      <c r="P148" s="3228"/>
      <c r="Q148" s="3229" t="s">
        <v>2996</v>
      </c>
      <c r="R148" s="3229">
        <v>0</v>
      </c>
      <c r="S148" s="3228"/>
      <c r="T148" s="3228"/>
      <c r="U148" s="3228"/>
    </row>
    <row r="149" spans="1:21" ht="14.25">
      <c r="A149" s="4134"/>
      <c r="B149" s="4143"/>
      <c r="C149" s="3222" t="s">
        <v>3297</v>
      </c>
      <c r="D149" s="3222" t="s">
        <v>923</v>
      </c>
      <c r="E149" s="3222">
        <v>3</v>
      </c>
      <c r="F149" s="3222">
        <v>1</v>
      </c>
      <c r="G149" s="3224">
        <v>523.32000000000005</v>
      </c>
      <c r="H149" s="3222">
        <f>G149</f>
        <v>523.32000000000005</v>
      </c>
      <c r="I149" s="3225">
        <f>G149*F149</f>
        <v>523.32000000000005</v>
      </c>
      <c r="J149" s="3222">
        <f>H149*F149</f>
        <v>523.32000000000005</v>
      </c>
      <c r="K149" s="3208"/>
      <c r="L149" s="3210"/>
      <c r="M149" s="3210"/>
      <c r="N149" s="3211">
        <v>4</v>
      </c>
      <c r="O149" s="3228"/>
      <c r="P149" s="3228"/>
      <c r="Q149" s="3229" t="s">
        <v>3161</v>
      </c>
      <c r="R149" s="3229">
        <v>0</v>
      </c>
      <c r="S149" s="3228"/>
      <c r="T149" s="3228"/>
      <c r="U149" s="3228"/>
    </row>
    <row r="150" spans="1:21" ht="14.25">
      <c r="A150" s="4134"/>
      <c r="B150" s="4143"/>
      <c r="C150" s="3222" t="s">
        <v>3298</v>
      </c>
      <c r="D150" s="3222" t="s">
        <v>923</v>
      </c>
      <c r="E150" s="3222">
        <v>3</v>
      </c>
      <c r="F150" s="3222">
        <v>4</v>
      </c>
      <c r="G150" s="3224">
        <v>523.32000000000005</v>
      </c>
      <c r="H150" s="3222">
        <f>G150</f>
        <v>523.32000000000005</v>
      </c>
      <c r="I150" s="3225">
        <f>G150*F150</f>
        <v>2093.2800000000002</v>
      </c>
      <c r="J150" s="3222">
        <f>H150*F150</f>
        <v>2093.2800000000002</v>
      </c>
      <c r="K150" s="3208"/>
      <c r="L150" s="3210"/>
      <c r="M150" s="3210"/>
      <c r="N150" s="3211">
        <f>4*F150</f>
        <v>16</v>
      </c>
      <c r="O150" s="3228"/>
      <c r="P150" s="3228"/>
      <c r="Q150" s="3228"/>
      <c r="R150" s="3228"/>
      <c r="S150" s="3228"/>
      <c r="T150" s="3228"/>
      <c r="U150" s="3228"/>
    </row>
    <row r="151" spans="1:21" ht="14.25">
      <c r="A151" s="4134"/>
      <c r="B151" s="4144"/>
      <c r="C151" s="3222" t="s">
        <v>3299</v>
      </c>
      <c r="D151" s="3222" t="s">
        <v>923</v>
      </c>
      <c r="E151" s="3222">
        <v>3</v>
      </c>
      <c r="F151" s="3222">
        <v>1</v>
      </c>
      <c r="G151" s="3224">
        <v>510.2</v>
      </c>
      <c r="H151" s="3222">
        <f>G151</f>
        <v>510.2</v>
      </c>
      <c r="I151" s="3225">
        <f>G151*F151</f>
        <v>510.2</v>
      </c>
      <c r="J151" s="3222">
        <f>H151*F151</f>
        <v>510.2</v>
      </c>
      <c r="K151" s="3208"/>
      <c r="L151" s="3210"/>
      <c r="M151" s="3210"/>
      <c r="N151" s="3211">
        <v>4</v>
      </c>
      <c r="O151" s="3228"/>
      <c r="P151" s="3228"/>
      <c r="Q151" s="3228"/>
      <c r="R151" s="3228"/>
      <c r="S151" s="3228"/>
      <c r="T151" s="3228"/>
      <c r="U151" s="3228"/>
    </row>
    <row r="152" spans="1:21" ht="14.25">
      <c r="A152" s="4135"/>
      <c r="B152" s="4145" t="s">
        <v>3300</v>
      </c>
      <c r="C152" s="4146"/>
      <c r="D152" s="3222"/>
      <c r="E152" s="3223"/>
      <c r="F152" s="3222">
        <f>F150+F149+F148+F147+F151</f>
        <v>8</v>
      </c>
      <c r="G152" s="3224"/>
      <c r="H152" s="3222"/>
      <c r="I152" s="3225">
        <f>SUM(I147:I151)</f>
        <v>4332.1600000000008</v>
      </c>
      <c r="J152" s="3222">
        <f>SUM(J147:J151)</f>
        <v>4332.1600000000008</v>
      </c>
      <c r="K152" s="3208"/>
      <c r="L152" s="3210"/>
      <c r="M152" s="3210"/>
      <c r="N152" s="3231">
        <f>SUM(N147:N151)</f>
        <v>32</v>
      </c>
      <c r="O152" s="3228"/>
      <c r="P152" s="3228"/>
      <c r="Q152" s="3228"/>
      <c r="R152" s="3228"/>
      <c r="S152" s="3228"/>
      <c r="T152" s="3228"/>
      <c r="U152" s="3228"/>
    </row>
    <row r="153" spans="1:21" ht="14.25">
      <c r="A153" s="4133" t="s">
        <v>3301</v>
      </c>
      <c r="B153" s="4142" t="s">
        <v>3302</v>
      </c>
      <c r="C153" s="3222" t="s">
        <v>3303</v>
      </c>
      <c r="D153" s="3222" t="s">
        <v>3304</v>
      </c>
      <c r="E153" s="3223">
        <v>3</v>
      </c>
      <c r="F153" s="3222">
        <v>1</v>
      </c>
      <c r="G153" s="3224">
        <v>658.64</v>
      </c>
      <c r="H153" s="3222">
        <f>G153</f>
        <v>658.64</v>
      </c>
      <c r="I153" s="3225">
        <f>G153</f>
        <v>658.64</v>
      </c>
      <c r="J153" s="3222">
        <f>H153</f>
        <v>658.64</v>
      </c>
      <c r="K153" s="3208"/>
      <c r="L153" s="3209">
        <f>I158</f>
        <v>4332.1600000000008</v>
      </c>
      <c r="M153" s="3210" t="s">
        <v>3305</v>
      </c>
      <c r="N153" s="3211">
        <v>4</v>
      </c>
      <c r="O153" s="3228"/>
      <c r="P153" s="3228"/>
      <c r="Q153" s="3229" t="s">
        <v>923</v>
      </c>
      <c r="R153" s="3229">
        <f>I158</f>
        <v>4332.1600000000008</v>
      </c>
      <c r="S153" s="3228"/>
      <c r="T153" s="3228"/>
      <c r="U153" s="3228"/>
    </row>
    <row r="154" spans="1:21" ht="14.25">
      <c r="A154" s="4134"/>
      <c r="B154" s="4143"/>
      <c r="C154" s="3222" t="s">
        <v>3306</v>
      </c>
      <c r="D154" s="3222" t="s">
        <v>3307</v>
      </c>
      <c r="E154" s="3222">
        <v>3</v>
      </c>
      <c r="F154" s="3222">
        <v>1</v>
      </c>
      <c r="G154" s="3224">
        <v>546.72</v>
      </c>
      <c r="H154" s="3222">
        <f>G154</f>
        <v>546.72</v>
      </c>
      <c r="I154" s="3225">
        <f>G154</f>
        <v>546.72</v>
      </c>
      <c r="J154" s="3222">
        <f>H154</f>
        <v>546.72</v>
      </c>
      <c r="K154" s="3208"/>
      <c r="L154" s="3210"/>
      <c r="M154" s="3210"/>
      <c r="N154" s="3211">
        <v>4</v>
      </c>
      <c r="O154" s="3228"/>
      <c r="P154" s="3228"/>
      <c r="Q154" s="3229" t="s">
        <v>2996</v>
      </c>
      <c r="R154" s="3229">
        <v>0</v>
      </c>
      <c r="S154" s="3228"/>
      <c r="T154" s="3228"/>
      <c r="U154" s="3228"/>
    </row>
    <row r="155" spans="1:21" ht="14.25">
      <c r="A155" s="4134"/>
      <c r="B155" s="4143"/>
      <c r="C155" s="3222" t="s">
        <v>3308</v>
      </c>
      <c r="D155" s="3222" t="s">
        <v>923</v>
      </c>
      <c r="E155" s="3222">
        <v>3</v>
      </c>
      <c r="F155" s="3222">
        <v>1</v>
      </c>
      <c r="G155" s="3224">
        <v>523.32000000000005</v>
      </c>
      <c r="H155" s="3222">
        <f>G155</f>
        <v>523.32000000000005</v>
      </c>
      <c r="I155" s="3225">
        <f>G155*F155</f>
        <v>523.32000000000005</v>
      </c>
      <c r="J155" s="3222">
        <f>H155*F155</f>
        <v>523.32000000000005</v>
      </c>
      <c r="K155" s="3208"/>
      <c r="L155" s="3210"/>
      <c r="M155" s="3210"/>
      <c r="N155" s="3211">
        <v>4</v>
      </c>
      <c r="O155" s="3228"/>
      <c r="P155" s="3228"/>
      <c r="Q155" s="3229" t="s">
        <v>3161</v>
      </c>
      <c r="R155" s="3229">
        <v>0</v>
      </c>
      <c r="S155" s="3228"/>
      <c r="T155" s="3228"/>
      <c r="U155" s="3228"/>
    </row>
    <row r="156" spans="1:21" ht="14.25">
      <c r="A156" s="4134"/>
      <c r="B156" s="4143"/>
      <c r="C156" s="3222" t="s">
        <v>3309</v>
      </c>
      <c r="D156" s="3222" t="s">
        <v>923</v>
      </c>
      <c r="E156" s="3222">
        <v>3</v>
      </c>
      <c r="F156" s="3222">
        <v>4</v>
      </c>
      <c r="G156" s="3224">
        <v>523.32000000000005</v>
      </c>
      <c r="H156" s="3222">
        <f>G156</f>
        <v>523.32000000000005</v>
      </c>
      <c r="I156" s="3225">
        <f>G156*F156</f>
        <v>2093.2800000000002</v>
      </c>
      <c r="J156" s="3222">
        <f>H156*F156</f>
        <v>2093.2800000000002</v>
      </c>
      <c r="K156" s="3208"/>
      <c r="L156" s="3210"/>
      <c r="M156" s="3210"/>
      <c r="N156" s="3211">
        <f>4*F156</f>
        <v>16</v>
      </c>
      <c r="O156" s="3228"/>
      <c r="P156" s="3228"/>
      <c r="Q156" s="3228"/>
      <c r="R156" s="3228"/>
      <c r="S156" s="3228"/>
      <c r="T156" s="3228"/>
      <c r="U156" s="3228"/>
    </row>
    <row r="157" spans="1:21" ht="14.25">
      <c r="A157" s="4134"/>
      <c r="B157" s="4144"/>
      <c r="C157" s="3222" t="s">
        <v>3310</v>
      </c>
      <c r="D157" s="3222" t="s">
        <v>923</v>
      </c>
      <c r="E157" s="3222">
        <v>3</v>
      </c>
      <c r="F157" s="3222">
        <v>1</v>
      </c>
      <c r="G157" s="3224">
        <v>510.2</v>
      </c>
      <c r="H157" s="3222">
        <f>G157</f>
        <v>510.2</v>
      </c>
      <c r="I157" s="3225">
        <f>G157*F157</f>
        <v>510.2</v>
      </c>
      <c r="J157" s="3222">
        <f>H157*F157</f>
        <v>510.2</v>
      </c>
      <c r="K157" s="3208"/>
      <c r="L157" s="3210"/>
      <c r="M157" s="3210"/>
      <c r="N157" s="3211">
        <v>4</v>
      </c>
      <c r="O157" s="3228"/>
      <c r="P157" s="3228"/>
      <c r="Q157" s="3228"/>
      <c r="R157" s="3228"/>
      <c r="S157" s="3228"/>
      <c r="T157" s="3228"/>
      <c r="U157" s="3228"/>
    </row>
    <row r="158" spans="1:21" ht="14.25">
      <c r="A158" s="4135"/>
      <c r="B158" s="4145" t="s">
        <v>3311</v>
      </c>
      <c r="C158" s="4146"/>
      <c r="D158" s="3222"/>
      <c r="E158" s="3223"/>
      <c r="F158" s="3222">
        <f>F156+F155+F154+F153+F157</f>
        <v>8</v>
      </c>
      <c r="G158" s="3224"/>
      <c r="H158" s="3222"/>
      <c r="I158" s="3225">
        <f>SUM(I153:I157)</f>
        <v>4332.1600000000008</v>
      </c>
      <c r="J158" s="3222">
        <f>SUM(J153:J157)</f>
        <v>4332.1600000000008</v>
      </c>
      <c r="K158" s="3208"/>
      <c r="L158" s="3210"/>
      <c r="M158" s="3210"/>
      <c r="N158" s="3231">
        <f>SUM(N153:N157)</f>
        <v>32</v>
      </c>
      <c r="O158" s="3228"/>
      <c r="P158" s="3228"/>
      <c r="Q158" s="3228"/>
      <c r="R158" s="3228"/>
      <c r="S158" s="3228"/>
      <c r="T158" s="3228"/>
      <c r="U158" s="3228"/>
    </row>
    <row r="159" spans="1:21" ht="14.25">
      <c r="A159" s="4133" t="s">
        <v>3312</v>
      </c>
      <c r="B159" s="4136" t="s">
        <v>3313</v>
      </c>
      <c r="C159" s="4136" t="s">
        <v>3314</v>
      </c>
      <c r="D159" s="3216" t="s">
        <v>3315</v>
      </c>
      <c r="E159" s="3205">
        <v>4.8</v>
      </c>
      <c r="F159" s="4136">
        <v>1</v>
      </c>
      <c r="G159" s="3217">
        <v>942.62</v>
      </c>
      <c r="H159" s="3216">
        <f>G159</f>
        <v>942.62</v>
      </c>
      <c r="I159" s="3218">
        <f t="shared" ref="I159:J164" si="10">G159</f>
        <v>942.62</v>
      </c>
      <c r="J159" s="3216">
        <f t="shared" si="10"/>
        <v>942.62</v>
      </c>
      <c r="K159" s="3208"/>
      <c r="L159" s="3209">
        <f>I160+I163+I165+I167+I169</f>
        <v>3362.34</v>
      </c>
      <c r="M159" s="3210" t="s">
        <v>3316</v>
      </c>
      <c r="N159" s="3211"/>
      <c r="O159" s="3228"/>
      <c r="P159" s="3228"/>
      <c r="Q159" s="3229" t="s">
        <v>923</v>
      </c>
      <c r="R159" s="3229">
        <f>I163+I165+I167+I169</f>
        <v>3201.57</v>
      </c>
      <c r="S159" s="3228"/>
      <c r="T159" s="3228"/>
      <c r="U159" s="3228"/>
    </row>
    <row r="160" spans="1:21" ht="14.25">
      <c r="A160" s="4134"/>
      <c r="B160" s="4141"/>
      <c r="C160" s="4141"/>
      <c r="D160" s="3216" t="s">
        <v>3317</v>
      </c>
      <c r="E160" s="3257">
        <v>3</v>
      </c>
      <c r="F160" s="4141"/>
      <c r="G160" s="3217">
        <v>160.77000000000001</v>
      </c>
      <c r="H160" s="3216">
        <v>160.77000000000001</v>
      </c>
      <c r="I160" s="3218">
        <f t="shared" si="10"/>
        <v>160.77000000000001</v>
      </c>
      <c r="J160" s="3216">
        <f t="shared" si="10"/>
        <v>160.77000000000001</v>
      </c>
      <c r="K160" s="3208"/>
      <c r="L160" s="3210">
        <f>I159+I161+I164+I166+I168+I170</f>
        <v>960.80000000000007</v>
      </c>
      <c r="M160" s="3210" t="s">
        <v>3247</v>
      </c>
      <c r="N160" s="3211">
        <v>0</v>
      </c>
      <c r="O160" s="3228"/>
      <c r="P160" s="3228"/>
      <c r="Q160" s="3229" t="s">
        <v>2996</v>
      </c>
      <c r="R160" s="3229">
        <f>I159</f>
        <v>942.62</v>
      </c>
      <c r="S160" s="3228"/>
      <c r="T160" s="3228"/>
      <c r="U160" s="3228"/>
    </row>
    <row r="161" spans="1:21" ht="14.25">
      <c r="A161" s="4134"/>
      <c r="B161" s="4141"/>
      <c r="C161" s="4141"/>
      <c r="D161" s="3216" t="s">
        <v>3318</v>
      </c>
      <c r="E161" s="3257">
        <v>3</v>
      </c>
      <c r="F161" s="4141"/>
      <c r="G161" s="3217">
        <v>2.16</v>
      </c>
      <c r="H161" s="3216">
        <f>G161</f>
        <v>2.16</v>
      </c>
      <c r="I161" s="3218">
        <f t="shared" si="10"/>
        <v>2.16</v>
      </c>
      <c r="J161" s="3216">
        <f t="shared" si="10"/>
        <v>2.16</v>
      </c>
      <c r="K161" s="3208"/>
      <c r="L161" s="3210">
        <f>I162</f>
        <v>42.55</v>
      </c>
      <c r="M161" s="3258" t="s">
        <v>3319</v>
      </c>
      <c r="N161" s="3211"/>
      <c r="O161" s="3228"/>
      <c r="P161" s="3228"/>
      <c r="Q161" s="3229" t="s">
        <v>3161</v>
      </c>
      <c r="R161" s="3229">
        <f>I160+I161+I162+I164+I166+I168+I170</f>
        <v>221.50000000000003</v>
      </c>
      <c r="S161" s="3228"/>
      <c r="T161" s="3228"/>
      <c r="U161" s="3228"/>
    </row>
    <row r="162" spans="1:21" ht="14.25">
      <c r="A162" s="4134"/>
      <c r="B162" s="4141"/>
      <c r="C162" s="4137"/>
      <c r="D162" s="3216" t="s">
        <v>3320</v>
      </c>
      <c r="E162" s="3257">
        <v>6</v>
      </c>
      <c r="F162" s="4137"/>
      <c r="G162" s="3217">
        <v>42.55</v>
      </c>
      <c r="H162" s="3216">
        <v>0</v>
      </c>
      <c r="I162" s="3218">
        <f>G162</f>
        <v>42.55</v>
      </c>
      <c r="J162" s="3216">
        <v>0</v>
      </c>
      <c r="K162" s="3208"/>
      <c r="L162" s="3210"/>
      <c r="M162" s="3210"/>
      <c r="N162" s="3211"/>
      <c r="O162" s="3228">
        <f>I171-J171</f>
        <v>42.549999999999272</v>
      </c>
      <c r="P162" s="3228"/>
      <c r="Q162" s="3228"/>
      <c r="R162" s="3228"/>
      <c r="S162" s="3228"/>
      <c r="T162" s="3228"/>
      <c r="U162" s="3228"/>
    </row>
    <row r="163" spans="1:21" ht="14.25">
      <c r="A163" s="4134"/>
      <c r="B163" s="4141"/>
      <c r="C163" s="4136" t="s">
        <v>3228</v>
      </c>
      <c r="D163" s="3216" t="s">
        <v>3229</v>
      </c>
      <c r="E163" s="4136">
        <v>3</v>
      </c>
      <c r="F163" s="4136">
        <v>1</v>
      </c>
      <c r="G163" s="3217">
        <v>74.77</v>
      </c>
      <c r="H163" s="3216">
        <v>74.77</v>
      </c>
      <c r="I163" s="3218">
        <f t="shared" si="10"/>
        <v>74.77</v>
      </c>
      <c r="J163" s="3216">
        <f t="shared" si="10"/>
        <v>74.77</v>
      </c>
      <c r="K163" s="3208"/>
      <c r="L163" s="3210"/>
      <c r="M163" s="3210"/>
      <c r="N163" s="3211"/>
      <c r="O163" s="3228"/>
      <c r="P163" s="3228"/>
      <c r="Q163" s="3228"/>
      <c r="R163" s="3228"/>
      <c r="S163" s="3228"/>
      <c r="T163" s="3228"/>
      <c r="U163" s="3228"/>
    </row>
    <row r="164" spans="1:21" ht="14.25">
      <c r="A164" s="4134"/>
      <c r="B164" s="4141"/>
      <c r="C164" s="4137"/>
      <c r="D164" s="3216" t="s">
        <v>3255</v>
      </c>
      <c r="E164" s="4137"/>
      <c r="F164" s="4137"/>
      <c r="G164" s="3217">
        <v>1.98</v>
      </c>
      <c r="H164" s="3216">
        <f t="shared" ref="H164:H170" si="11">G164</f>
        <v>1.98</v>
      </c>
      <c r="I164" s="3218">
        <f t="shared" si="10"/>
        <v>1.98</v>
      </c>
      <c r="J164" s="3216">
        <f t="shared" si="10"/>
        <v>1.98</v>
      </c>
      <c r="K164" s="3208"/>
      <c r="L164" s="3210"/>
      <c r="M164" s="3210"/>
      <c r="N164" s="3211">
        <v>0</v>
      </c>
      <c r="O164" s="3228"/>
      <c r="P164" s="3228"/>
      <c r="Q164" s="3228"/>
      <c r="R164" s="3228"/>
      <c r="S164" s="3228"/>
      <c r="T164" s="3228"/>
      <c r="U164" s="3228"/>
    </row>
    <row r="165" spans="1:21" ht="14.25">
      <c r="A165" s="4134"/>
      <c r="B165" s="4141"/>
      <c r="C165" s="4136" t="s">
        <v>3308</v>
      </c>
      <c r="D165" s="3216" t="s">
        <v>923</v>
      </c>
      <c r="E165" s="4136">
        <v>3</v>
      </c>
      <c r="F165" s="4136">
        <v>1</v>
      </c>
      <c r="G165" s="3217">
        <v>523.32000000000005</v>
      </c>
      <c r="H165" s="3216">
        <f t="shared" si="11"/>
        <v>523.32000000000005</v>
      </c>
      <c r="I165" s="3218">
        <f>G165</f>
        <v>523.32000000000005</v>
      </c>
      <c r="J165" s="3216">
        <f>H165*F165</f>
        <v>523.32000000000005</v>
      </c>
      <c r="K165" s="3208"/>
      <c r="L165" s="3210"/>
      <c r="M165" s="3210"/>
      <c r="N165" s="3228"/>
      <c r="O165" s="3211"/>
      <c r="P165" s="3228"/>
      <c r="Q165" s="3228"/>
      <c r="R165" s="3228"/>
      <c r="S165" s="3228"/>
      <c r="T165" s="3228"/>
      <c r="U165" s="3228"/>
    </row>
    <row r="166" spans="1:21" ht="14.25">
      <c r="A166" s="4134"/>
      <c r="B166" s="4141"/>
      <c r="C166" s="4137"/>
      <c r="D166" s="3216" t="s">
        <v>3318</v>
      </c>
      <c r="E166" s="4137"/>
      <c r="F166" s="4137"/>
      <c r="G166" s="3217">
        <v>2.34</v>
      </c>
      <c r="H166" s="3216">
        <f t="shared" si="11"/>
        <v>2.34</v>
      </c>
      <c r="I166" s="3218">
        <f>G166</f>
        <v>2.34</v>
      </c>
      <c r="J166" s="3216">
        <f>H166</f>
        <v>2.34</v>
      </c>
      <c r="K166" s="3208"/>
      <c r="L166" s="3210"/>
      <c r="M166" s="3210"/>
      <c r="N166" s="3228">
        <v>4</v>
      </c>
      <c r="O166" s="3211"/>
      <c r="P166" s="3228"/>
      <c r="Q166" s="3228"/>
      <c r="R166" s="3228"/>
      <c r="S166" s="3228"/>
      <c r="T166" s="3228"/>
      <c r="U166" s="3228"/>
    </row>
    <row r="167" spans="1:21" ht="14.25">
      <c r="A167" s="4134"/>
      <c r="B167" s="4141"/>
      <c r="C167" s="4136" t="s">
        <v>3321</v>
      </c>
      <c r="D167" s="3216" t="s">
        <v>923</v>
      </c>
      <c r="E167" s="4136">
        <v>3</v>
      </c>
      <c r="F167" s="4136">
        <v>4</v>
      </c>
      <c r="G167" s="3217">
        <v>523.32000000000005</v>
      </c>
      <c r="H167" s="3216">
        <f t="shared" si="11"/>
        <v>523.32000000000005</v>
      </c>
      <c r="I167" s="3218">
        <f>G167*F167</f>
        <v>2093.2800000000002</v>
      </c>
      <c r="J167" s="3216">
        <f>H167*F167</f>
        <v>2093.2800000000002</v>
      </c>
      <c r="K167" s="3208"/>
      <c r="L167" s="3210"/>
      <c r="M167" s="3210"/>
      <c r="N167" s="3228"/>
      <c r="O167" s="3211"/>
      <c r="P167" s="3228"/>
      <c r="Q167" s="3228"/>
      <c r="R167" s="3228"/>
      <c r="S167" s="3228"/>
      <c r="T167" s="3228"/>
      <c r="U167" s="3228"/>
    </row>
    <row r="168" spans="1:21" ht="14.25">
      <c r="A168" s="4134"/>
      <c r="B168" s="4141"/>
      <c r="C168" s="4137"/>
      <c r="D168" s="3216" t="s">
        <v>3318</v>
      </c>
      <c r="E168" s="4137"/>
      <c r="F168" s="4137"/>
      <c r="G168" s="3217">
        <v>2.34</v>
      </c>
      <c r="H168" s="3216">
        <f t="shared" si="11"/>
        <v>2.34</v>
      </c>
      <c r="I168" s="3218">
        <f>G168*F167</f>
        <v>9.36</v>
      </c>
      <c r="J168" s="3216">
        <f>H168*F167</f>
        <v>9.36</v>
      </c>
      <c r="K168" s="3208"/>
      <c r="L168" s="3210"/>
      <c r="M168" s="3210"/>
      <c r="N168" s="3228">
        <f>4*F167</f>
        <v>16</v>
      </c>
      <c r="O168" s="3211"/>
      <c r="P168" s="3228"/>
      <c r="Q168" s="3228"/>
      <c r="R168" s="3228"/>
      <c r="S168" s="3228"/>
      <c r="T168" s="3228"/>
      <c r="U168" s="3228"/>
    </row>
    <row r="169" spans="1:21" ht="14.25">
      <c r="A169" s="4134"/>
      <c r="B169" s="4141"/>
      <c r="C169" s="4136" t="s">
        <v>3310</v>
      </c>
      <c r="D169" s="3216" t="s">
        <v>923</v>
      </c>
      <c r="E169" s="4136">
        <v>3</v>
      </c>
      <c r="F169" s="4136">
        <v>1</v>
      </c>
      <c r="G169" s="3217">
        <v>510.2</v>
      </c>
      <c r="H169" s="3216">
        <f t="shared" si="11"/>
        <v>510.2</v>
      </c>
      <c r="I169" s="3218">
        <f>G169*F169</f>
        <v>510.2</v>
      </c>
      <c r="J169" s="3216">
        <f>H169*1</f>
        <v>510.2</v>
      </c>
      <c r="K169" s="3208"/>
      <c r="L169" s="3210"/>
      <c r="M169" s="3210"/>
      <c r="N169" s="3228"/>
      <c r="O169" s="3211"/>
      <c r="P169" s="3228"/>
      <c r="Q169" s="3228"/>
      <c r="R169" s="3228"/>
      <c r="S169" s="3228"/>
      <c r="T169" s="3228"/>
      <c r="U169" s="3228"/>
    </row>
    <row r="170" spans="1:21" ht="14.25">
      <c r="A170" s="4134"/>
      <c r="B170" s="4137"/>
      <c r="C170" s="4137"/>
      <c r="D170" s="3216" t="s">
        <v>3322</v>
      </c>
      <c r="E170" s="4137"/>
      <c r="F170" s="4137"/>
      <c r="G170" s="3217">
        <v>2.34</v>
      </c>
      <c r="H170" s="3216">
        <f t="shared" si="11"/>
        <v>2.34</v>
      </c>
      <c r="I170" s="3218">
        <f>G170*F169</f>
        <v>2.34</v>
      </c>
      <c r="J170" s="3216">
        <f>H170*F169</f>
        <v>2.34</v>
      </c>
      <c r="K170" s="3208"/>
      <c r="L170" s="3210"/>
      <c r="M170" s="3210"/>
      <c r="N170" s="3228">
        <v>4</v>
      </c>
      <c r="O170" s="3211"/>
      <c r="P170" s="3228"/>
      <c r="Q170" s="3228"/>
      <c r="R170" s="3228"/>
      <c r="S170" s="3228"/>
      <c r="T170" s="3228"/>
      <c r="U170" s="3228"/>
    </row>
    <row r="171" spans="1:21" ht="14.25">
      <c r="A171" s="4135"/>
      <c r="B171" s="4127" t="s">
        <v>27</v>
      </c>
      <c r="C171" s="4127"/>
      <c r="D171" s="3216"/>
      <c r="E171" s="3216"/>
      <c r="F171" s="3216">
        <f>F159+F163+F165+F167+F169</f>
        <v>8</v>
      </c>
      <c r="G171" s="3217"/>
      <c r="H171" s="3216"/>
      <c r="I171" s="3218">
        <f>SUM(I159:I170)</f>
        <v>4365.6900000000005</v>
      </c>
      <c r="J171" s="3216">
        <f>SUM(J159:J170)</f>
        <v>4323.1400000000012</v>
      </c>
      <c r="K171" s="3208"/>
      <c r="L171" s="3210"/>
      <c r="M171" s="3210"/>
      <c r="N171" s="3231">
        <f>SUM(N160:N170)</f>
        <v>24</v>
      </c>
      <c r="O171" s="3211"/>
      <c r="P171" s="3228"/>
      <c r="Q171" s="3228"/>
      <c r="R171" s="3228"/>
      <c r="S171" s="3228"/>
      <c r="T171" s="3228"/>
      <c r="U171" s="3228"/>
    </row>
    <row r="172" spans="1:21" ht="14.25">
      <c r="A172" s="4133" t="s">
        <v>3323</v>
      </c>
      <c r="B172" s="4133" t="s">
        <v>3324</v>
      </c>
      <c r="C172" s="4136" t="s">
        <v>3325</v>
      </c>
      <c r="D172" s="3216" t="s">
        <v>3326</v>
      </c>
      <c r="E172" s="3216">
        <v>4.5</v>
      </c>
      <c r="F172" s="3216">
        <v>1</v>
      </c>
      <c r="G172" s="3217">
        <v>33.619999999999997</v>
      </c>
      <c r="H172" s="3216">
        <v>33.619999999999997</v>
      </c>
      <c r="I172" s="3218">
        <v>33.619999999999997</v>
      </c>
      <c r="J172" s="3216">
        <v>33.619999999999997</v>
      </c>
      <c r="K172" s="3208"/>
      <c r="L172" s="3210"/>
      <c r="M172" s="3210"/>
      <c r="N172" s="3231"/>
      <c r="O172" s="3211"/>
      <c r="P172" s="3228"/>
      <c r="Q172" s="3260" t="s">
        <v>3327</v>
      </c>
      <c r="R172" s="3229">
        <f>I175</f>
        <v>183.85</v>
      </c>
      <c r="S172" s="3228"/>
      <c r="T172" s="3228"/>
      <c r="U172" s="3228"/>
    </row>
    <row r="173" spans="1:21" ht="14.25">
      <c r="A173" s="4134"/>
      <c r="B173" s="4135"/>
      <c r="C173" s="4137"/>
      <c r="D173" s="3216" t="s">
        <v>3262</v>
      </c>
      <c r="E173" s="3216">
        <v>4.5</v>
      </c>
      <c r="F173" s="3216">
        <v>1</v>
      </c>
      <c r="G173" s="3217">
        <v>143.97999999999999</v>
      </c>
      <c r="H173" s="3216">
        <v>0</v>
      </c>
      <c r="I173" s="3218">
        <v>143.97999999999999</v>
      </c>
      <c r="J173" s="3216">
        <v>0</v>
      </c>
      <c r="K173" s="3208"/>
      <c r="L173" s="3210"/>
      <c r="M173" s="3210"/>
      <c r="N173" s="3231"/>
      <c r="O173" s="3211">
        <v>143.97999999999999</v>
      </c>
      <c r="P173" s="3228"/>
      <c r="Q173" s="3228"/>
      <c r="R173" s="3228"/>
      <c r="S173" s="3228"/>
      <c r="T173" s="3228"/>
      <c r="U173" s="3228"/>
    </row>
    <row r="174" spans="1:21" ht="14.25">
      <c r="A174" s="4134"/>
      <c r="B174" s="3261" t="s">
        <v>3328</v>
      </c>
      <c r="C174" s="3216" t="s">
        <v>3260</v>
      </c>
      <c r="D174" s="3216" t="s">
        <v>3329</v>
      </c>
      <c r="E174" s="3216">
        <v>3</v>
      </c>
      <c r="F174" s="3216">
        <v>1</v>
      </c>
      <c r="G174" s="3217">
        <v>6.25</v>
      </c>
      <c r="H174" s="3216">
        <v>6.25</v>
      </c>
      <c r="I174" s="3218">
        <v>6.25</v>
      </c>
      <c r="J174" s="3216">
        <v>6.25</v>
      </c>
      <c r="K174" s="3208"/>
      <c r="L174" s="3210"/>
      <c r="M174" s="3210"/>
      <c r="N174" s="3231"/>
      <c r="O174" s="3211"/>
      <c r="P174" s="3228"/>
      <c r="Q174" s="3228"/>
      <c r="R174" s="3228"/>
      <c r="S174" s="3228"/>
      <c r="T174" s="3228"/>
      <c r="U174" s="3228"/>
    </row>
    <row r="175" spans="1:21" ht="14.25">
      <c r="A175" s="4135"/>
      <c r="B175" s="4138" t="s">
        <v>3281</v>
      </c>
      <c r="C175" s="4139"/>
      <c r="D175" s="3216"/>
      <c r="E175" s="3216"/>
      <c r="F175" s="3216"/>
      <c r="G175" s="3217"/>
      <c r="H175" s="3216"/>
      <c r="I175" s="3218">
        <f>I174+I172+I173</f>
        <v>183.85</v>
      </c>
      <c r="J175" s="3216">
        <f>J174+J172</f>
        <v>39.869999999999997</v>
      </c>
      <c r="K175" s="3208"/>
      <c r="L175" s="3210"/>
      <c r="M175" s="3210"/>
      <c r="N175" s="3231"/>
      <c r="O175" s="3211"/>
      <c r="P175" s="3228"/>
      <c r="Q175" s="3228"/>
      <c r="R175" s="3228"/>
      <c r="S175" s="3228"/>
      <c r="T175" s="3228"/>
      <c r="U175" s="3228"/>
    </row>
    <row r="176" spans="1:21" ht="14.25">
      <c r="A176" s="4140" t="s">
        <v>3330</v>
      </c>
      <c r="B176" s="4127" t="s">
        <v>3331</v>
      </c>
      <c r="C176" s="4127" t="s">
        <v>3332</v>
      </c>
      <c r="D176" s="3216" t="s">
        <v>2997</v>
      </c>
      <c r="E176" s="4127">
        <v>3.7</v>
      </c>
      <c r="F176" s="4127">
        <v>1</v>
      </c>
      <c r="G176" s="3262">
        <v>33731.14</v>
      </c>
      <c r="H176" s="3216">
        <v>0</v>
      </c>
      <c r="I176" s="3263">
        <f>G176</f>
        <v>33731.14</v>
      </c>
      <c r="J176" s="3216">
        <v>0</v>
      </c>
      <c r="K176" s="3264"/>
      <c r="L176" s="3204"/>
      <c r="M176" s="3204"/>
      <c r="N176" s="3265"/>
      <c r="O176" s="3266"/>
      <c r="P176" s="3266"/>
      <c r="Q176" s="3267" t="s">
        <v>3333</v>
      </c>
      <c r="R176" s="3268">
        <f>G176</f>
        <v>33731.14</v>
      </c>
      <c r="S176" s="3269"/>
      <c r="T176" s="3265"/>
      <c r="U176" s="3265"/>
    </row>
    <row r="177" spans="1:21" ht="14.25">
      <c r="A177" s="4140"/>
      <c r="B177" s="4127"/>
      <c r="C177" s="4127"/>
      <c r="D177" s="3216" t="s">
        <v>3334</v>
      </c>
      <c r="E177" s="4127"/>
      <c r="F177" s="4127"/>
      <c r="G177" s="3217">
        <v>997.71</v>
      </c>
      <c r="H177" s="3216">
        <v>0</v>
      </c>
      <c r="I177" s="3218">
        <f>G177</f>
        <v>997.71</v>
      </c>
      <c r="J177" s="3216">
        <v>0</v>
      </c>
      <c r="K177" s="3264"/>
      <c r="L177" s="3204"/>
      <c r="M177" s="3204"/>
      <c r="N177" s="3265"/>
      <c r="O177" s="3266"/>
      <c r="P177" s="3270">
        <f>O178+I177+I176</f>
        <v>35471.590000000011</v>
      </c>
      <c r="Q177" s="3267" t="s">
        <v>3335</v>
      </c>
      <c r="R177" s="3271">
        <f>I177</f>
        <v>997.71</v>
      </c>
      <c r="S177" s="3265"/>
      <c r="T177" s="3265"/>
      <c r="U177" s="3265"/>
    </row>
    <row r="178" spans="1:21" ht="14.25">
      <c r="A178" s="4140"/>
      <c r="B178" s="4127" t="s">
        <v>27</v>
      </c>
      <c r="C178" s="4127"/>
      <c r="D178" s="3216"/>
      <c r="E178" s="3216"/>
      <c r="F178" s="3216">
        <v>2</v>
      </c>
      <c r="G178" s="3217"/>
      <c r="H178" s="3216"/>
      <c r="I178" s="3263">
        <f>I176+I177</f>
        <v>34728.85</v>
      </c>
      <c r="J178" s="3216">
        <v>0</v>
      </c>
      <c r="K178" s="3272"/>
      <c r="L178" s="3273"/>
      <c r="M178" s="3273"/>
      <c r="N178" s="3265"/>
      <c r="O178" s="3270">
        <f>P179-I178</f>
        <v>742.74000000001251</v>
      </c>
      <c r="P178" s="3266"/>
      <c r="Q178" s="3266"/>
      <c r="R178" s="3266"/>
      <c r="S178" s="3266"/>
      <c r="T178" s="3266"/>
      <c r="U178" s="3266"/>
    </row>
    <row r="179" spans="1:21" ht="14.25">
      <c r="A179" s="4128" t="s">
        <v>3336</v>
      </c>
      <c r="B179" s="4128"/>
      <c r="C179" s="4128"/>
      <c r="D179" s="3274"/>
      <c r="E179" s="3274"/>
      <c r="F179" s="3274"/>
      <c r="G179" s="3275"/>
      <c r="H179" s="3274"/>
      <c r="I179" s="3276">
        <f>SUM(I5:I178)/2</f>
        <v>129604.46000000002</v>
      </c>
      <c r="J179" s="3277">
        <f>SUM(J5:J178)/2</f>
        <v>94132.87000000001</v>
      </c>
      <c r="K179" s="3208"/>
      <c r="L179" s="3208"/>
      <c r="M179" s="3208"/>
      <c r="N179" s="3278">
        <f>SUM(N5:N178)/2</f>
        <v>606</v>
      </c>
      <c r="O179" s="3278">
        <f>SUM(O5:O173)</f>
        <v>742.74000000000024</v>
      </c>
      <c r="P179" s="3279">
        <f>I179-J179</f>
        <v>35471.590000000011</v>
      </c>
      <c r="Q179" s="3270"/>
      <c r="R179" s="3266"/>
      <c r="S179" s="3265"/>
      <c r="T179" s="3266"/>
      <c r="U179" s="3266"/>
    </row>
    <row r="180" spans="1:21" ht="14.25">
      <c r="A180" s="4129" t="s">
        <v>3337</v>
      </c>
      <c r="B180" s="4129"/>
      <c r="C180" s="4129"/>
      <c r="D180" s="4129"/>
      <c r="E180" s="4129"/>
      <c r="F180" s="4129"/>
      <c r="G180" s="4129"/>
      <c r="H180" s="4129"/>
      <c r="I180" s="4129"/>
      <c r="J180" s="4129"/>
      <c r="K180" s="4129"/>
      <c r="L180" s="3280"/>
      <c r="M180" s="3280"/>
      <c r="N180" s="3265"/>
      <c r="O180" s="3266"/>
      <c r="P180" s="3266"/>
      <c r="Q180" s="3266"/>
      <c r="R180" s="3266"/>
      <c r="S180" s="3266"/>
      <c r="T180" s="3270"/>
      <c r="U180" s="3266"/>
    </row>
    <row r="181" spans="1:21" ht="14.25" hidden="1">
      <c r="A181" s="3281"/>
      <c r="B181" s="3282"/>
      <c r="C181" s="3282"/>
      <c r="D181" s="3282"/>
      <c r="E181" s="3282"/>
      <c r="F181" s="3282"/>
      <c r="G181" s="3283"/>
      <c r="H181" s="3282"/>
      <c r="I181" s="3283">
        <f>SUM(I5:I178)/2</f>
        <v>129604.46000000002</v>
      </c>
      <c r="J181" s="3282">
        <f>SUM(J5:J178)/2</f>
        <v>94132.87000000001</v>
      </c>
      <c r="K181" s="3282"/>
      <c r="L181" s="3282"/>
      <c r="M181" s="3282"/>
      <c r="N181" s="3265">
        <f>N171+N158+N152+N146+N136+N124+N112+N100+N94+N88+N76+N65+N59+N47+N35+N25+N19</f>
        <v>606</v>
      </c>
      <c r="O181" s="3266"/>
      <c r="P181" s="3266"/>
      <c r="Q181" s="3266"/>
      <c r="R181" s="3266"/>
      <c r="S181" s="3266"/>
      <c r="T181" s="3266"/>
      <c r="U181" s="3266"/>
    </row>
    <row r="182" spans="1:21" ht="14.25" hidden="1">
      <c r="A182" s="3281"/>
      <c r="B182" s="3282"/>
      <c r="C182" s="3282"/>
      <c r="D182" s="3282"/>
      <c r="E182" s="3282"/>
      <c r="F182" s="3282"/>
      <c r="G182" s="3283"/>
      <c r="H182" s="3282"/>
      <c r="I182" s="3283"/>
      <c r="J182" s="3282"/>
      <c r="K182" s="3282"/>
      <c r="L182" s="3282"/>
      <c r="M182" s="3282"/>
    </row>
    <row r="183" spans="1:21" ht="14.25" hidden="1">
      <c r="A183" s="3281"/>
      <c r="B183" s="3282"/>
      <c r="C183" s="3282"/>
      <c r="D183" s="3282"/>
      <c r="E183" s="3282"/>
      <c r="F183" s="3282"/>
      <c r="G183" s="3283"/>
      <c r="H183" s="3282"/>
      <c r="I183" s="3284"/>
      <c r="J183" s="3282"/>
      <c r="K183" s="3282"/>
      <c r="L183" s="3282"/>
      <c r="M183" s="3282"/>
      <c r="Q183" s="3285"/>
    </row>
    <row r="184" spans="1:21" ht="14.25" hidden="1">
      <c r="A184" s="3281"/>
      <c r="B184" s="3282"/>
      <c r="C184" s="3282"/>
      <c r="D184" s="3282"/>
      <c r="E184" s="3282"/>
      <c r="F184" s="3282"/>
      <c r="G184" s="3283"/>
      <c r="H184" s="3282"/>
      <c r="I184" s="3286">
        <f>SUM(I5:I175)/2</f>
        <v>94875.610000000015</v>
      </c>
      <c r="J184" s="3282"/>
      <c r="K184" s="3282"/>
      <c r="L184" s="3282"/>
      <c r="M184" s="3282"/>
    </row>
    <row r="185" spans="1:21" ht="14.25" hidden="1">
      <c r="A185" s="3281"/>
      <c r="B185" s="3282"/>
      <c r="C185" s="3282"/>
      <c r="D185" s="3282"/>
      <c r="E185" s="3282"/>
      <c r="F185" s="3282"/>
      <c r="G185" s="3283"/>
      <c r="H185" s="3282"/>
      <c r="I185" s="3283"/>
      <c r="J185" s="3282"/>
      <c r="K185" s="3282"/>
      <c r="L185" s="3282"/>
      <c r="M185" s="3282"/>
    </row>
    <row r="186" spans="1:21" ht="14.25" hidden="1">
      <c r="A186" s="3281"/>
      <c r="B186" s="3282"/>
      <c r="C186" s="3282"/>
      <c r="D186" s="3282"/>
      <c r="E186" s="3282"/>
      <c r="F186" s="3282"/>
      <c r="G186" s="3283"/>
      <c r="H186" s="3282"/>
      <c r="I186" s="3283"/>
      <c r="J186" s="3282"/>
      <c r="K186" s="3282"/>
      <c r="L186" s="3282"/>
      <c r="M186" s="3282"/>
    </row>
    <row r="187" spans="1:21" ht="14.25" hidden="1">
      <c r="A187" s="3281"/>
      <c r="B187" s="3282"/>
      <c r="C187" s="3282"/>
      <c r="D187" s="3282"/>
      <c r="E187" s="3282"/>
      <c r="F187" s="3282"/>
      <c r="G187" s="3283"/>
      <c r="H187" s="3282"/>
      <c r="I187" s="3283"/>
      <c r="J187" s="3282"/>
      <c r="K187" s="3282"/>
      <c r="L187" s="3282"/>
      <c r="M187" s="3282"/>
    </row>
    <row r="188" spans="1:21" ht="14.25" hidden="1">
      <c r="A188" s="3281"/>
      <c r="B188" s="3282"/>
      <c r="C188" s="3282"/>
      <c r="D188" s="3282"/>
      <c r="E188" s="3282"/>
      <c r="F188" s="3282"/>
      <c r="G188" s="3283"/>
      <c r="H188" s="3282"/>
      <c r="I188" s="3283"/>
      <c r="J188" s="3282"/>
      <c r="K188" s="3282"/>
      <c r="L188" s="3282"/>
      <c r="M188" s="3282"/>
    </row>
    <row r="189" spans="1:21" ht="14.25" hidden="1">
      <c r="A189" s="3281"/>
      <c r="B189" s="3282"/>
      <c r="C189" s="3282"/>
      <c r="D189" s="3282"/>
      <c r="E189" s="3282"/>
      <c r="F189" s="3282"/>
      <c r="G189" s="3283"/>
      <c r="H189" s="3282"/>
      <c r="I189" s="3283"/>
      <c r="J189" s="3282"/>
      <c r="K189" s="3282"/>
      <c r="L189" s="3282"/>
      <c r="M189" s="3282"/>
    </row>
    <row r="190" spans="1:21" ht="14.25" hidden="1">
      <c r="A190" s="3281"/>
      <c r="B190" s="3282"/>
      <c r="C190" s="3282"/>
      <c r="D190" s="3282"/>
      <c r="E190" s="3282"/>
      <c r="F190" s="3282"/>
      <c r="G190" s="3283"/>
      <c r="H190" s="3282"/>
      <c r="I190" s="3283"/>
      <c r="J190" s="3282"/>
      <c r="K190" s="3282"/>
      <c r="L190" s="3282"/>
      <c r="M190" s="3282"/>
    </row>
    <row r="191" spans="1:21" ht="14.25" hidden="1">
      <c r="A191" s="3281"/>
      <c r="B191" s="3282"/>
      <c r="C191" s="3282"/>
      <c r="D191" s="3282"/>
      <c r="E191" s="3282"/>
      <c r="F191" s="3282"/>
      <c r="G191" s="3283"/>
      <c r="H191" s="3282"/>
      <c r="I191" s="3283"/>
      <c r="J191" s="3282"/>
      <c r="K191" s="3282"/>
      <c r="L191" s="3282"/>
      <c r="M191" s="3282"/>
    </row>
    <row r="192" spans="1:21" ht="14.25" hidden="1">
      <c r="A192" s="3281"/>
      <c r="B192" s="3282"/>
      <c r="C192" s="3282"/>
      <c r="D192" s="3282"/>
      <c r="E192" s="3282"/>
      <c r="F192" s="3282"/>
      <c r="G192" s="3283"/>
      <c r="H192" s="3282"/>
      <c r="I192" s="3283"/>
      <c r="J192" s="3282"/>
      <c r="K192" s="3282"/>
      <c r="L192" s="3282"/>
      <c r="M192" s="3282"/>
      <c r="T192">
        <f>28.5</f>
        <v>28.5</v>
      </c>
    </row>
    <row r="193" spans="1:21" ht="14.25" hidden="1">
      <c r="A193" s="3281"/>
      <c r="B193" s="3282"/>
      <c r="C193" s="3282"/>
      <c r="D193" s="3282"/>
      <c r="E193" s="3282"/>
      <c r="F193" s="3282"/>
      <c r="G193" s="3283"/>
      <c r="H193" s="3282"/>
      <c r="I193" s="3283"/>
      <c r="J193" s="3282"/>
      <c r="K193" s="3282"/>
      <c r="L193" s="3282"/>
      <c r="M193" s="3282"/>
    </row>
    <row r="194" spans="1:21" ht="14.25" hidden="1">
      <c r="A194" s="3281"/>
      <c r="B194" s="3282"/>
      <c r="C194" s="3282"/>
      <c r="D194" s="3282"/>
      <c r="E194" s="3282"/>
      <c r="F194" s="3282"/>
      <c r="G194" s="3283"/>
      <c r="H194" s="3282"/>
      <c r="I194" s="3283"/>
      <c r="J194" s="3282"/>
      <c r="K194" s="3282"/>
      <c r="L194" s="3282"/>
      <c r="M194" s="3282"/>
    </row>
    <row r="195" spans="1:21" ht="14.25" hidden="1">
      <c r="A195" s="3281"/>
      <c r="B195" s="3282"/>
      <c r="C195" s="3282"/>
      <c r="D195" s="3282"/>
      <c r="E195" s="3282"/>
      <c r="F195" s="3282"/>
      <c r="G195" s="3283"/>
      <c r="H195" s="3282"/>
      <c r="I195" s="3283"/>
      <c r="J195" s="3282"/>
      <c r="K195" s="3282"/>
      <c r="L195" s="3282"/>
      <c r="M195" s="3282"/>
      <c r="U195">
        <f>S180-T192</f>
        <v>-28.5</v>
      </c>
    </row>
    <row r="196" spans="1:21" ht="14.25" hidden="1">
      <c r="A196" s="3281"/>
      <c r="B196" s="3282"/>
      <c r="C196" s="3282"/>
      <c r="D196" s="3282"/>
      <c r="E196" s="3282"/>
      <c r="F196" s="3282"/>
      <c r="G196" s="3283"/>
      <c r="H196" s="3282"/>
      <c r="I196" s="3283"/>
      <c r="J196" s="3282"/>
      <c r="K196" s="3282"/>
      <c r="L196" s="3282"/>
      <c r="M196" s="3282"/>
    </row>
    <row r="197" spans="1:21" ht="14.25" hidden="1">
      <c r="A197" s="3281"/>
      <c r="B197" s="3282"/>
      <c r="C197" s="3282"/>
      <c r="D197" s="3282"/>
      <c r="E197" s="3282"/>
      <c r="F197" s="3282"/>
      <c r="G197" s="3283"/>
      <c r="H197" s="3282"/>
      <c r="I197" s="3283"/>
      <c r="J197" s="3282"/>
      <c r="K197" s="3282"/>
      <c r="L197" s="3282"/>
      <c r="M197" s="3282"/>
    </row>
    <row r="198" spans="1:21" ht="14.25" hidden="1">
      <c r="A198" s="3281"/>
      <c r="B198" s="3282"/>
      <c r="C198" s="3282"/>
      <c r="D198" s="3282"/>
      <c r="E198" s="3282"/>
      <c r="F198" s="3282"/>
      <c r="G198" s="3283"/>
      <c r="H198" s="3282"/>
      <c r="I198" s="3283"/>
      <c r="J198" s="3282"/>
      <c r="K198" s="3282"/>
      <c r="L198" s="3282"/>
      <c r="M198" s="3282"/>
    </row>
    <row r="199" spans="1:21" ht="14.25" hidden="1">
      <c r="A199" s="3281"/>
      <c r="B199" s="3282"/>
      <c r="C199" s="3282"/>
      <c r="D199" s="3282"/>
      <c r="E199" s="3282"/>
      <c r="F199" s="3282"/>
      <c r="G199" s="3283"/>
      <c r="H199" s="3282"/>
      <c r="I199" s="3283"/>
      <c r="J199" s="3282"/>
      <c r="K199" s="3282"/>
      <c r="L199" s="3282"/>
      <c r="M199" s="3282"/>
    </row>
    <row r="200" spans="1:21" ht="14.25" hidden="1">
      <c r="A200" s="3281"/>
      <c r="B200" s="3282"/>
      <c r="C200" s="3282"/>
      <c r="D200" s="3282"/>
      <c r="E200" s="3282"/>
      <c r="F200" s="3282"/>
      <c r="G200" s="3283"/>
      <c r="H200" s="3282"/>
      <c r="I200" s="3283"/>
      <c r="J200" s="3282"/>
      <c r="K200" s="3282"/>
      <c r="L200" s="3282"/>
      <c r="M200" s="3282"/>
    </row>
    <row r="201" spans="1:21" ht="14.25" hidden="1">
      <c r="A201" s="3281"/>
      <c r="B201" s="3282"/>
      <c r="C201" s="3282"/>
      <c r="D201" s="3282"/>
      <c r="E201" s="3282"/>
      <c r="F201" s="3282"/>
      <c r="G201" s="3283"/>
      <c r="H201" s="3282"/>
      <c r="I201" s="3283"/>
      <c r="J201" s="3282"/>
      <c r="K201" s="3282"/>
      <c r="L201" s="3282"/>
      <c r="M201" s="3282"/>
      <c r="U201" s="4130" t="s">
        <v>3338</v>
      </c>
    </row>
    <row r="202" spans="1:21" ht="14.25" hidden="1">
      <c r="A202" s="3281"/>
      <c r="B202" s="3282"/>
      <c r="C202" s="3282"/>
      <c r="D202" s="3282"/>
      <c r="E202" s="3282"/>
      <c r="F202" s="3282"/>
      <c r="G202" s="3283"/>
      <c r="H202" s="3282"/>
      <c r="I202" s="3283"/>
      <c r="J202" s="3282"/>
      <c r="K202" s="3282"/>
      <c r="L202" s="3282"/>
      <c r="M202" s="3282"/>
      <c r="U202" s="4131"/>
    </row>
    <row r="203" spans="1:21" ht="14.25" hidden="1">
      <c r="A203" s="3281"/>
      <c r="B203" s="3282"/>
      <c r="C203" s="3282"/>
      <c r="D203" s="3282"/>
      <c r="E203" s="3282"/>
      <c r="F203" s="3282"/>
      <c r="G203" s="3283"/>
      <c r="H203" s="3282"/>
      <c r="I203" s="3283"/>
      <c r="J203" s="3282"/>
      <c r="K203" s="3282"/>
      <c r="L203" s="3282"/>
      <c r="M203" s="3282"/>
      <c r="U203" s="4131"/>
    </row>
    <row r="204" spans="1:21" ht="14.25" hidden="1">
      <c r="A204" s="3281"/>
      <c r="B204" s="3282"/>
      <c r="C204" s="3282"/>
      <c r="D204" s="3282"/>
      <c r="E204" s="3282"/>
      <c r="F204" s="3282"/>
      <c r="G204" s="3283"/>
      <c r="H204" s="3282"/>
      <c r="I204" s="3283"/>
      <c r="J204" s="3282"/>
      <c r="K204" s="3282"/>
      <c r="L204" s="3282"/>
      <c r="M204" s="3282"/>
      <c r="U204" s="4132"/>
    </row>
    <row r="205" spans="1:21" ht="14.25" hidden="1">
      <c r="A205" s="3281"/>
      <c r="B205" s="3282"/>
      <c r="C205" s="3282"/>
      <c r="D205" s="3282"/>
      <c r="E205" s="3282"/>
      <c r="F205" s="3282"/>
      <c r="G205" s="3283"/>
      <c r="H205" s="3282"/>
      <c r="I205" s="3283"/>
      <c r="J205" s="3282"/>
      <c r="K205" s="3282"/>
      <c r="L205" s="3282"/>
      <c r="M205" s="3282"/>
      <c r="U205" s="3287" t="s">
        <v>3339</v>
      </c>
    </row>
    <row r="206" spans="1:21" ht="14.25" hidden="1">
      <c r="A206" s="3281"/>
      <c r="B206" s="3282"/>
      <c r="C206" s="3282"/>
      <c r="D206" s="3282"/>
      <c r="E206" s="3282"/>
      <c r="F206" s="3282"/>
      <c r="G206" s="3283"/>
      <c r="H206" s="3282"/>
      <c r="I206" s="3283"/>
      <c r="J206" s="3282"/>
      <c r="K206" s="3282"/>
      <c r="L206" s="3282"/>
      <c r="M206" s="3282"/>
      <c r="U206" s="3288"/>
    </row>
    <row r="207" spans="1:21" ht="14.25">
      <c r="A207" s="3281"/>
      <c r="B207" s="3282"/>
      <c r="C207" s="3282"/>
      <c r="D207" s="3282"/>
      <c r="E207" s="3282"/>
      <c r="F207" s="3282"/>
      <c r="G207" s="3283"/>
      <c r="H207" s="3282"/>
      <c r="I207" s="3283"/>
      <c r="J207" s="3282"/>
      <c r="K207" s="3282"/>
      <c r="L207" s="3282"/>
      <c r="M207" s="3282"/>
      <c r="U207" s="3287" t="s">
        <v>3340</v>
      </c>
    </row>
    <row r="208" spans="1:21" ht="14.25">
      <c r="A208" s="3281"/>
      <c r="B208" s="3282"/>
      <c r="C208" s="3282"/>
      <c r="D208" s="3282"/>
      <c r="E208" s="3282"/>
      <c r="F208" s="3282"/>
      <c r="G208" s="3283"/>
      <c r="H208" s="3282"/>
      <c r="I208" s="3289" t="s">
        <v>3365</v>
      </c>
      <c r="J208" s="3289"/>
      <c r="K208" s="3282" t="s">
        <v>3361</v>
      </c>
      <c r="L208" s="3282"/>
      <c r="M208" s="3282" t="s">
        <v>3363</v>
      </c>
      <c r="U208" s="3288"/>
    </row>
    <row r="209" spans="1:22" ht="14.25">
      <c r="A209" s="3281"/>
      <c r="B209" s="3282"/>
      <c r="C209" s="3282"/>
      <c r="D209" s="3282"/>
      <c r="E209" s="3282"/>
      <c r="F209" s="3282"/>
      <c r="G209" s="3283"/>
      <c r="H209" s="3282"/>
      <c r="I209" s="3292" t="s">
        <v>3366</v>
      </c>
      <c r="J209" s="3292"/>
      <c r="K209" s="3282" t="s">
        <v>3362</v>
      </c>
      <c r="L209" s="3282"/>
      <c r="M209" s="3282" t="s">
        <v>3364</v>
      </c>
      <c r="P209" s="3197"/>
      <c r="Q209" s="3289"/>
      <c r="R209" s="3289" t="s">
        <v>3341</v>
      </c>
      <c r="S209" s="3289" t="s">
        <v>3342</v>
      </c>
      <c r="T209" s="3197"/>
      <c r="U209" s="3298" t="s">
        <v>3359</v>
      </c>
    </row>
    <row r="210" spans="1:22" ht="14.25">
      <c r="A210" s="3281"/>
      <c r="B210" s="3282"/>
      <c r="C210" s="3282"/>
      <c r="D210" s="3282"/>
      <c r="E210" s="3282"/>
      <c r="F210" s="3282"/>
      <c r="G210" s="3283"/>
      <c r="H210" s="3282"/>
      <c r="I210" s="3283"/>
      <c r="J210" s="3282"/>
      <c r="K210" s="3282"/>
      <c r="L210" s="3282"/>
      <c r="M210" s="3282"/>
      <c r="P210" s="3289" t="s">
        <v>3343</v>
      </c>
      <c r="Q210" s="3290" t="s">
        <v>3344</v>
      </c>
      <c r="R210" s="3197">
        <f>R26+R36+R48+R66+R77+R101+R113</f>
        <v>39328.800000000003</v>
      </c>
      <c r="S210" s="3197">
        <v>29824.79</v>
      </c>
      <c r="T210" s="3289" t="s">
        <v>3345</v>
      </c>
      <c r="U210" s="3197">
        <f>ROUND(R176*S210/(S210+S215),2)</f>
        <v>12357.24</v>
      </c>
    </row>
    <row r="211" spans="1:22" ht="14.25">
      <c r="A211" s="3281"/>
      <c r="B211" s="3282"/>
      <c r="C211" s="3282"/>
      <c r="D211" s="3282"/>
      <c r="E211" s="3282"/>
      <c r="F211" s="3282"/>
      <c r="G211" s="3283"/>
      <c r="H211" s="3282"/>
      <c r="I211" s="3283"/>
      <c r="J211" s="3282"/>
      <c r="K211" s="3282"/>
      <c r="L211" s="3282"/>
      <c r="M211" s="3282"/>
      <c r="P211" s="3197"/>
      <c r="Q211" s="3290" t="s">
        <v>3346</v>
      </c>
      <c r="R211" s="3197">
        <f>R27+R37+R49+R67+R78+R102+R114</f>
        <v>5058.3500000000004</v>
      </c>
      <c r="S211" s="3197"/>
      <c r="T211" s="3298" t="s">
        <v>3356</v>
      </c>
      <c r="U211" s="3197">
        <f>ROUND(R177*S210/(S210+S215),2)</f>
        <v>365.51</v>
      </c>
    </row>
    <row r="212" spans="1:22" ht="14.25">
      <c r="A212" s="3281"/>
      <c r="B212" s="3282"/>
      <c r="C212" s="3282"/>
      <c r="D212" s="3282"/>
      <c r="E212" s="3282"/>
      <c r="F212" s="3282"/>
      <c r="G212" s="3283"/>
      <c r="H212" s="3282"/>
      <c r="I212" s="3283"/>
      <c r="J212" s="3282"/>
      <c r="K212" s="3282"/>
      <c r="L212" s="3282"/>
      <c r="M212" s="3282"/>
      <c r="P212" s="3197"/>
      <c r="Q212" s="3291" t="s">
        <v>3347</v>
      </c>
      <c r="R212" s="3197">
        <f>R28+R38+R50+R68+R79+R103+R115</f>
        <v>735.83999999999992</v>
      </c>
      <c r="S212" s="3197"/>
      <c r="T212" s="3197"/>
      <c r="U212" s="3197"/>
    </row>
    <row r="213" spans="1:22" ht="14.25">
      <c r="A213" s="3281"/>
      <c r="B213" s="3282"/>
      <c r="C213" s="3282"/>
      <c r="D213" s="3282"/>
      <c r="E213" s="3282"/>
      <c r="F213" s="3282"/>
      <c r="G213" s="3283"/>
      <c r="H213" s="3282"/>
      <c r="I213" s="3283"/>
      <c r="J213" s="3282"/>
      <c r="K213" s="3282"/>
      <c r="L213" s="3282"/>
      <c r="M213" s="3282"/>
      <c r="P213" s="3197"/>
      <c r="Q213" s="3291" t="s">
        <v>3348</v>
      </c>
      <c r="R213" s="3197">
        <v>0</v>
      </c>
      <c r="S213" s="3197"/>
      <c r="T213" s="3298" t="s">
        <v>3357</v>
      </c>
      <c r="U213" s="3197">
        <f>R210+R211+R212+R213+U210+U211</f>
        <v>57845.74</v>
      </c>
    </row>
    <row r="214" spans="1:22" ht="14.25">
      <c r="A214" s="3281"/>
      <c r="B214" s="3282"/>
      <c r="C214" s="3282"/>
      <c r="D214" s="3282"/>
      <c r="E214" s="3282"/>
      <c r="F214" s="3282"/>
      <c r="G214" s="3283"/>
      <c r="H214" s="3282"/>
      <c r="I214" s="3283"/>
      <c r="J214" s="3282"/>
      <c r="K214" s="3282"/>
      <c r="L214" s="3282"/>
      <c r="M214" s="3282"/>
      <c r="P214" s="3293"/>
      <c r="Q214" s="3293"/>
      <c r="R214" s="3293" t="s">
        <v>2943</v>
      </c>
      <c r="S214" s="3293" t="s">
        <v>3360</v>
      </c>
      <c r="T214" s="3293"/>
      <c r="U214" s="3293" t="s">
        <v>2943</v>
      </c>
      <c r="V214" s="3199"/>
    </row>
    <row r="215" spans="1:22" ht="14.25">
      <c r="A215" s="3281"/>
      <c r="B215" s="3282"/>
      <c r="C215" s="3282"/>
      <c r="D215" s="3282"/>
      <c r="E215" s="3282"/>
      <c r="F215" s="3282"/>
      <c r="G215" s="3283"/>
      <c r="H215" s="3282"/>
      <c r="I215" s="3283"/>
      <c r="J215" s="3282"/>
      <c r="K215" s="3282"/>
      <c r="L215" s="3282"/>
      <c r="M215" s="3282"/>
      <c r="P215" s="3292" t="s">
        <v>3349</v>
      </c>
      <c r="Q215" s="3292" t="s">
        <v>3350</v>
      </c>
      <c r="R215" s="3293">
        <f>R5+R20+R60+R89+R95+R125+R141+R147+R153+R159</f>
        <v>40256.550000000003</v>
      </c>
      <c r="S215" s="3293">
        <v>51586.92</v>
      </c>
      <c r="T215" s="3294" t="s">
        <v>3351</v>
      </c>
      <c r="U215" s="3295">
        <f>R176-U210</f>
        <v>21373.9</v>
      </c>
      <c r="V215" s="3199"/>
    </row>
    <row r="216" spans="1:22" ht="14.25">
      <c r="A216" s="3281"/>
      <c r="B216" s="3282"/>
      <c r="C216" s="3282"/>
      <c r="D216" s="3282"/>
      <c r="E216" s="3282"/>
      <c r="F216" s="3282"/>
      <c r="G216" s="3283"/>
      <c r="H216" s="3282"/>
      <c r="I216" s="3283"/>
      <c r="J216" s="3282"/>
      <c r="K216" s="3282"/>
      <c r="L216" s="3282"/>
      <c r="M216" s="3282"/>
      <c r="P216" s="3293"/>
      <c r="Q216" s="3292" t="s">
        <v>3352</v>
      </c>
      <c r="R216" s="3293">
        <f>R6+R126+R160</f>
        <v>2963.23</v>
      </c>
      <c r="S216" s="3293"/>
      <c r="T216" s="3297" t="s">
        <v>3356</v>
      </c>
      <c r="U216" s="3293">
        <f>R177-U211</f>
        <v>632.20000000000005</v>
      </c>
      <c r="V216" s="3199"/>
    </row>
    <row r="217" spans="1:22" ht="14.25">
      <c r="A217" s="3281"/>
      <c r="B217" s="3282"/>
      <c r="C217" s="3282"/>
      <c r="D217" s="3282"/>
      <c r="E217" s="3282"/>
      <c r="F217" s="3282"/>
      <c r="G217" s="3283"/>
      <c r="H217" s="3282"/>
      <c r="I217" s="3283"/>
      <c r="J217" s="3282"/>
      <c r="K217" s="3282"/>
      <c r="L217" s="3282"/>
      <c r="M217" s="3282"/>
      <c r="P217" s="3293"/>
      <c r="Q217" s="3292" t="s">
        <v>3353</v>
      </c>
      <c r="R217" s="3293">
        <f>R7+R22+R62+R127+R161+R172</f>
        <v>996.28000000000009</v>
      </c>
      <c r="S217" s="3293"/>
      <c r="T217" s="3293"/>
      <c r="U217" s="3293"/>
      <c r="V217" s="3199"/>
    </row>
    <row r="218" spans="1:22" ht="14.25">
      <c r="A218" s="3281"/>
      <c r="B218" s="3282"/>
      <c r="C218" s="3282"/>
      <c r="D218" s="3282"/>
      <c r="E218" s="3282"/>
      <c r="F218" s="3282"/>
      <c r="G218" s="3283"/>
      <c r="H218" s="3282"/>
      <c r="I218" s="3283"/>
      <c r="J218" s="3282"/>
      <c r="K218" s="3282"/>
      <c r="L218" s="3282"/>
      <c r="M218" s="3282"/>
      <c r="P218" s="3293"/>
      <c r="Q218" s="3293" t="s">
        <v>3354</v>
      </c>
      <c r="R218" s="3293">
        <f>R8</f>
        <v>135.66</v>
      </c>
      <c r="S218" s="3293"/>
      <c r="T218" s="3297" t="s">
        <v>3357</v>
      </c>
      <c r="U218" s="3300">
        <f>R215+R216+R217+R218+R219+U215+U216</f>
        <v>71758.720000000016</v>
      </c>
      <c r="V218" s="3199"/>
    </row>
    <row r="219" spans="1:22" ht="14.25">
      <c r="A219" s="3281"/>
      <c r="B219" s="3282"/>
      <c r="C219" s="3282"/>
      <c r="D219" s="3282"/>
      <c r="E219" s="3282"/>
      <c r="F219" s="3282"/>
      <c r="G219" s="3283"/>
      <c r="H219" s="3282"/>
      <c r="I219" s="3283"/>
      <c r="J219" s="3282"/>
      <c r="K219" s="3282"/>
      <c r="L219" s="3282"/>
      <c r="M219" s="3282"/>
      <c r="P219" s="3293"/>
      <c r="Q219" s="3292" t="s">
        <v>3355</v>
      </c>
      <c r="R219" s="3293">
        <f>R137</f>
        <v>5400.9</v>
      </c>
      <c r="S219" s="3293"/>
      <c r="T219" s="3293"/>
      <c r="U219" s="3293"/>
    </row>
    <row r="221" spans="1:22">
      <c r="T221" s="3296" t="s">
        <v>3357</v>
      </c>
      <c r="U221" s="3299">
        <f>U213+U218</f>
        <v>129604.46000000002</v>
      </c>
    </row>
    <row r="222" spans="1:22">
      <c r="T222">
        <f>R210+R211+U210</f>
        <v>56744.39</v>
      </c>
    </row>
  </sheetData>
  <mergeCells count="217">
    <mergeCell ref="F13:F14"/>
    <mergeCell ref="C15:C16"/>
    <mergeCell ref="E15:E16"/>
    <mergeCell ref="F15:F16"/>
    <mergeCell ref="C17:C18"/>
    <mergeCell ref="E17:E18"/>
    <mergeCell ref="F17:F18"/>
    <mergeCell ref="A1:K1"/>
    <mergeCell ref="A2:A4"/>
    <mergeCell ref="B2:B4"/>
    <mergeCell ref="C2:C4"/>
    <mergeCell ref="D2:D4"/>
    <mergeCell ref="E2:E4"/>
    <mergeCell ref="F2:F4"/>
    <mergeCell ref="G2:G4"/>
    <mergeCell ref="H2:H4"/>
    <mergeCell ref="I2:I4"/>
    <mergeCell ref="K2:K4"/>
    <mergeCell ref="J2:J4"/>
    <mergeCell ref="F26:F28"/>
    <mergeCell ref="C29:C30"/>
    <mergeCell ref="E29:E30"/>
    <mergeCell ref="F29:F30"/>
    <mergeCell ref="C31:C32"/>
    <mergeCell ref="E31:E32"/>
    <mergeCell ref="F31:F32"/>
    <mergeCell ref="B19:C19"/>
    <mergeCell ref="A20:A25"/>
    <mergeCell ref="B20:B24"/>
    <mergeCell ref="B25:C25"/>
    <mergeCell ref="A26:A35"/>
    <mergeCell ref="B26:B34"/>
    <mergeCell ref="C26:C28"/>
    <mergeCell ref="C33:C34"/>
    <mergeCell ref="A5:A19"/>
    <mergeCell ref="B5:B18"/>
    <mergeCell ref="C5:C9"/>
    <mergeCell ref="F5:F9"/>
    <mergeCell ref="C10:C12"/>
    <mergeCell ref="E10:E12"/>
    <mergeCell ref="F10:F12"/>
    <mergeCell ref="C13:C14"/>
    <mergeCell ref="E13:E14"/>
    <mergeCell ref="E33:E34"/>
    <mergeCell ref="F33:F34"/>
    <mergeCell ref="B35:C35"/>
    <mergeCell ref="B36:B46"/>
    <mergeCell ref="C36:C38"/>
    <mergeCell ref="F36:F38"/>
    <mergeCell ref="E37:E38"/>
    <mergeCell ref="C39:C40"/>
    <mergeCell ref="E39:E40"/>
    <mergeCell ref="C45:C46"/>
    <mergeCell ref="E45:E46"/>
    <mergeCell ref="F45:F46"/>
    <mergeCell ref="B47:C47"/>
    <mergeCell ref="A48:A59"/>
    <mergeCell ref="B48:B58"/>
    <mergeCell ref="C48:C50"/>
    <mergeCell ref="F48:F50"/>
    <mergeCell ref="C51:C52"/>
    <mergeCell ref="E51:E52"/>
    <mergeCell ref="A36:A47"/>
    <mergeCell ref="C57:C58"/>
    <mergeCell ref="E57:E58"/>
    <mergeCell ref="F57:F58"/>
    <mergeCell ref="B59:C59"/>
    <mergeCell ref="F39:F40"/>
    <mergeCell ref="C41:C42"/>
    <mergeCell ref="E41:E42"/>
    <mergeCell ref="F41:F42"/>
    <mergeCell ref="C43:C44"/>
    <mergeCell ref="E43:E44"/>
    <mergeCell ref="F43:F44"/>
    <mergeCell ref="A60:A65"/>
    <mergeCell ref="B60:B64"/>
    <mergeCell ref="B65:C65"/>
    <mergeCell ref="F51:F52"/>
    <mergeCell ref="C53:C54"/>
    <mergeCell ref="E53:E54"/>
    <mergeCell ref="F53:F54"/>
    <mergeCell ref="C55:C56"/>
    <mergeCell ref="E55:E56"/>
    <mergeCell ref="F55:F56"/>
    <mergeCell ref="C72:C73"/>
    <mergeCell ref="E72:E73"/>
    <mergeCell ref="F72:F73"/>
    <mergeCell ref="C74:C75"/>
    <mergeCell ref="E74:E75"/>
    <mergeCell ref="F74:F75"/>
    <mergeCell ref="A66:A76"/>
    <mergeCell ref="B66:B75"/>
    <mergeCell ref="C66:C67"/>
    <mergeCell ref="F66:F67"/>
    <mergeCell ref="C68:C69"/>
    <mergeCell ref="E68:E69"/>
    <mergeCell ref="F68:F69"/>
    <mergeCell ref="C70:C71"/>
    <mergeCell ref="E70:E71"/>
    <mergeCell ref="F70:F71"/>
    <mergeCell ref="B76:C76"/>
    <mergeCell ref="A89:A94"/>
    <mergeCell ref="B89:B93"/>
    <mergeCell ref="B94:C94"/>
    <mergeCell ref="A95:A100"/>
    <mergeCell ref="B95:B99"/>
    <mergeCell ref="B100:C100"/>
    <mergeCell ref="F82:F83"/>
    <mergeCell ref="C84:C85"/>
    <mergeCell ref="E84:E85"/>
    <mergeCell ref="F84:F85"/>
    <mergeCell ref="C86:C87"/>
    <mergeCell ref="E86:E87"/>
    <mergeCell ref="F86:F87"/>
    <mergeCell ref="A77:A88"/>
    <mergeCell ref="B77:B87"/>
    <mergeCell ref="C77:C79"/>
    <mergeCell ref="F77:F79"/>
    <mergeCell ref="C80:C81"/>
    <mergeCell ref="E80:E81"/>
    <mergeCell ref="F80:F81"/>
    <mergeCell ref="C82:C83"/>
    <mergeCell ref="E82:E83"/>
    <mergeCell ref="B88:C88"/>
    <mergeCell ref="C108:C109"/>
    <mergeCell ref="E108:E109"/>
    <mergeCell ref="F108:F109"/>
    <mergeCell ref="C110:C111"/>
    <mergeCell ref="E110:E111"/>
    <mergeCell ref="F110:F111"/>
    <mergeCell ref="A101:A112"/>
    <mergeCell ref="B101:B111"/>
    <mergeCell ref="C101:C103"/>
    <mergeCell ref="F101:F103"/>
    <mergeCell ref="C104:C105"/>
    <mergeCell ref="E104:E105"/>
    <mergeCell ref="F104:F105"/>
    <mergeCell ref="C106:C107"/>
    <mergeCell ref="E106:E107"/>
    <mergeCell ref="F106:F107"/>
    <mergeCell ref="F118:F119"/>
    <mergeCell ref="C120:C121"/>
    <mergeCell ref="E120:E121"/>
    <mergeCell ref="F120:F121"/>
    <mergeCell ref="C122:C123"/>
    <mergeCell ref="E122:E123"/>
    <mergeCell ref="F122:F123"/>
    <mergeCell ref="B112:C112"/>
    <mergeCell ref="A113:A124"/>
    <mergeCell ref="B113:B123"/>
    <mergeCell ref="C113:C115"/>
    <mergeCell ref="F113:F115"/>
    <mergeCell ref="C116:C117"/>
    <mergeCell ref="E116:E117"/>
    <mergeCell ref="F116:F117"/>
    <mergeCell ref="C118:C119"/>
    <mergeCell ref="E118:E119"/>
    <mergeCell ref="F130:F131"/>
    <mergeCell ref="C132:C133"/>
    <mergeCell ref="E132:E133"/>
    <mergeCell ref="F132:F133"/>
    <mergeCell ref="C134:C135"/>
    <mergeCell ref="E134:E135"/>
    <mergeCell ref="F134:F135"/>
    <mergeCell ref="B124:C124"/>
    <mergeCell ref="A125:A136"/>
    <mergeCell ref="B125:B135"/>
    <mergeCell ref="C125:C127"/>
    <mergeCell ref="F125:F127"/>
    <mergeCell ref="C128:C129"/>
    <mergeCell ref="E128:E129"/>
    <mergeCell ref="F128:F129"/>
    <mergeCell ref="C130:C131"/>
    <mergeCell ref="E130:E131"/>
    <mergeCell ref="A147:A152"/>
    <mergeCell ref="B147:B151"/>
    <mergeCell ref="B152:C152"/>
    <mergeCell ref="A153:A158"/>
    <mergeCell ref="B153:B157"/>
    <mergeCell ref="B158:C158"/>
    <mergeCell ref="B136:C136"/>
    <mergeCell ref="A137:A140"/>
    <mergeCell ref="B137:B139"/>
    <mergeCell ref="B140:C140"/>
    <mergeCell ref="A141:A146"/>
    <mergeCell ref="B141:B145"/>
    <mergeCell ref="B146:C146"/>
    <mergeCell ref="C167:C168"/>
    <mergeCell ref="E167:E168"/>
    <mergeCell ref="F167:F168"/>
    <mergeCell ref="C169:C170"/>
    <mergeCell ref="E169:E170"/>
    <mergeCell ref="F169:F170"/>
    <mergeCell ref="A159:A171"/>
    <mergeCell ref="B159:B170"/>
    <mergeCell ref="C159:C162"/>
    <mergeCell ref="F159:F162"/>
    <mergeCell ref="C163:C164"/>
    <mergeCell ref="E163:E164"/>
    <mergeCell ref="F163:F164"/>
    <mergeCell ref="C165:C166"/>
    <mergeCell ref="E165:E166"/>
    <mergeCell ref="F165:F166"/>
    <mergeCell ref="E176:E177"/>
    <mergeCell ref="F176:F177"/>
    <mergeCell ref="B178:C178"/>
    <mergeCell ref="A179:C179"/>
    <mergeCell ref="A180:K180"/>
    <mergeCell ref="U201:U204"/>
    <mergeCell ref="B171:C171"/>
    <mergeCell ref="A172:A175"/>
    <mergeCell ref="B172:B173"/>
    <mergeCell ref="C172:C173"/>
    <mergeCell ref="B175:C175"/>
    <mergeCell ref="A176:A178"/>
    <mergeCell ref="B176:B177"/>
    <mergeCell ref="C176:C177"/>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4" workbookViewId="0">
      <selection activeCell="D30" sqref="D30"/>
    </sheetView>
  </sheetViews>
  <sheetFormatPr defaultRowHeight="13.5"/>
  <sheetData>
    <row r="1" spans="1:18" ht="251.25">
      <c r="A1" s="3313" t="s">
        <v>3410</v>
      </c>
    </row>
    <row r="2" spans="1:18" ht="15" thickBot="1">
      <c r="A2" s="3313"/>
    </row>
    <row r="3" spans="1:18" ht="14.25" customHeight="1" thickBot="1">
      <c r="A3" s="4179" t="s">
        <v>3424</v>
      </c>
      <c r="B3" s="4179" t="s">
        <v>3412</v>
      </c>
      <c r="C3" s="4179" t="s">
        <v>3413</v>
      </c>
      <c r="D3" s="4179" t="s">
        <v>3414</v>
      </c>
      <c r="E3" s="4179" t="s">
        <v>3415</v>
      </c>
      <c r="F3" s="4177" t="s">
        <v>3416</v>
      </c>
      <c r="G3" s="4178"/>
      <c r="H3" s="4179" t="s">
        <v>3417</v>
      </c>
      <c r="K3" s="4179" t="s">
        <v>3411</v>
      </c>
      <c r="L3" s="4179" t="s">
        <v>3412</v>
      </c>
      <c r="M3" s="4179" t="s">
        <v>3413</v>
      </c>
      <c r="N3" s="4179" t="s">
        <v>3414</v>
      </c>
      <c r="O3" s="4179" t="s">
        <v>3415</v>
      </c>
      <c r="P3" s="4177" t="s">
        <v>3416</v>
      </c>
      <c r="Q3" s="4178"/>
      <c r="R3" s="4179" t="s">
        <v>3417</v>
      </c>
    </row>
    <row r="4" spans="1:18" ht="14.25" thickBot="1">
      <c r="A4" s="4180"/>
      <c r="B4" s="4180"/>
      <c r="C4" s="4180"/>
      <c r="D4" s="4180"/>
      <c r="E4" s="4180"/>
      <c r="F4" s="3314" t="s">
        <v>3418</v>
      </c>
      <c r="G4" s="3314" t="s">
        <v>1679</v>
      </c>
      <c r="H4" s="4180"/>
      <c r="K4" s="4180"/>
      <c r="L4" s="4180"/>
      <c r="M4" s="4180"/>
      <c r="N4" s="4180"/>
      <c r="O4" s="4180"/>
      <c r="P4" s="3314" t="s">
        <v>3418</v>
      </c>
      <c r="Q4" s="3314" t="s">
        <v>1679</v>
      </c>
      <c r="R4" s="4180"/>
    </row>
    <row r="5" spans="1:18" ht="14.25" thickBot="1">
      <c r="A5" s="4179" t="s">
        <v>3419</v>
      </c>
      <c r="B5" s="4179" t="s">
        <v>3106</v>
      </c>
      <c r="C5" s="4179">
        <v>29824.79</v>
      </c>
      <c r="D5" s="3315" t="s">
        <v>923</v>
      </c>
      <c r="E5" s="3315"/>
      <c r="F5" s="3316">
        <v>39708.480000000003</v>
      </c>
      <c r="G5" s="3315"/>
      <c r="H5" s="3316">
        <v>39708.480000000003</v>
      </c>
      <c r="K5" s="4179" t="s">
        <v>3419</v>
      </c>
      <c r="L5" s="4179" t="s">
        <v>3106</v>
      </c>
      <c r="M5" s="4179">
        <v>29824.79</v>
      </c>
      <c r="N5" s="3315" t="s">
        <v>923</v>
      </c>
      <c r="O5" s="3315"/>
      <c r="P5" s="3316">
        <v>39708.480000000003</v>
      </c>
      <c r="Q5" s="3315"/>
      <c r="R5" s="3316">
        <v>39708.480000000003</v>
      </c>
    </row>
    <row r="6" spans="1:18" ht="14.25" thickBot="1">
      <c r="A6" s="4181"/>
      <c r="B6" s="4181"/>
      <c r="C6" s="4181"/>
      <c r="D6" s="3315" t="s">
        <v>3420</v>
      </c>
      <c r="E6" s="3316">
        <v>428.54</v>
      </c>
      <c r="F6" s="3315"/>
      <c r="G6" s="3315"/>
      <c r="H6" s="3316">
        <v>428.54</v>
      </c>
      <c r="K6" s="4181"/>
      <c r="L6" s="4181"/>
      <c r="M6" s="4181"/>
      <c r="N6" s="3315" t="s">
        <v>3420</v>
      </c>
      <c r="O6" s="3316">
        <v>428.54</v>
      </c>
      <c r="P6" s="3315"/>
      <c r="Q6" s="3315"/>
      <c r="R6" s="3316">
        <v>428.54</v>
      </c>
    </row>
    <row r="7" spans="1:18" ht="14.25" thickBot="1">
      <c r="A7" s="4181"/>
      <c r="B7" s="4181"/>
      <c r="C7" s="4181"/>
      <c r="D7" s="3315" t="s">
        <v>2996</v>
      </c>
      <c r="E7" s="3315"/>
      <c r="F7" s="3316">
        <v>5129.95</v>
      </c>
      <c r="G7" s="3315"/>
      <c r="H7" s="3316">
        <v>5129.95</v>
      </c>
      <c r="K7" s="4181"/>
      <c r="L7" s="4181"/>
      <c r="M7" s="4181"/>
      <c r="N7" s="3315" t="s">
        <v>2996</v>
      </c>
      <c r="O7" s="3315"/>
      <c r="P7" s="3316">
        <v>5129.95</v>
      </c>
      <c r="Q7" s="3315"/>
      <c r="R7" s="3316">
        <v>5129.95</v>
      </c>
    </row>
    <row r="8" spans="1:18" ht="14.25" thickBot="1">
      <c r="A8" s="4181"/>
      <c r="B8" s="4181"/>
      <c r="C8" s="4181"/>
      <c r="D8" s="3315" t="s">
        <v>3167</v>
      </c>
      <c r="E8" s="3315"/>
      <c r="F8" s="3315"/>
      <c r="G8" s="3315"/>
      <c r="H8" s="3316">
        <v>0</v>
      </c>
      <c r="K8" s="4181"/>
      <c r="L8" s="4181"/>
      <c r="M8" s="4181"/>
      <c r="N8" s="3315" t="s">
        <v>3167</v>
      </c>
      <c r="O8" s="3315"/>
      <c r="P8" s="3315"/>
      <c r="Q8" s="3315"/>
      <c r="R8" s="3316">
        <v>0</v>
      </c>
    </row>
    <row r="9" spans="1:18" ht="14.25" thickBot="1">
      <c r="A9" s="4181"/>
      <c r="B9" s="4181"/>
      <c r="C9" s="4181"/>
      <c r="D9" s="3315" t="s">
        <v>3421</v>
      </c>
      <c r="E9" s="3315"/>
      <c r="F9" s="3315"/>
      <c r="G9" s="3316">
        <v>39.869999999999997</v>
      </c>
      <c r="H9" s="3316">
        <v>39.869999999999997</v>
      </c>
      <c r="K9" s="4181"/>
      <c r="L9" s="4181"/>
      <c r="M9" s="4181"/>
      <c r="N9" s="3315" t="s">
        <v>3421</v>
      </c>
      <c r="O9" s="3315"/>
      <c r="P9" s="3315"/>
      <c r="Q9" s="3316">
        <v>39.869999999999997</v>
      </c>
      <c r="R9" s="3316">
        <v>39.869999999999997</v>
      </c>
    </row>
    <row r="10" spans="1:18" ht="15" thickBot="1">
      <c r="A10" s="4181"/>
      <c r="B10" s="4181"/>
      <c r="C10" s="4181"/>
      <c r="D10" s="3315" t="s">
        <v>3284</v>
      </c>
      <c r="E10" s="3315"/>
      <c r="F10" s="3316"/>
      <c r="G10" s="3315"/>
      <c r="H10" s="3316"/>
      <c r="K10" s="4181"/>
      <c r="L10" s="4181"/>
      <c r="M10" s="4181"/>
      <c r="N10" s="3315" t="s">
        <v>3284</v>
      </c>
      <c r="O10" s="3315"/>
      <c r="P10" s="3317"/>
      <c r="Q10" s="3318"/>
      <c r="R10" s="3316">
        <v>0</v>
      </c>
    </row>
    <row r="11" spans="1:18" ht="14.25" thickBot="1">
      <c r="A11" s="4180"/>
      <c r="B11" s="4180"/>
      <c r="C11" s="4180"/>
      <c r="D11" s="3315" t="s">
        <v>2997</v>
      </c>
      <c r="E11" s="3316">
        <v>16584.39</v>
      </c>
      <c r="F11" s="3315"/>
      <c r="G11" s="3315"/>
      <c r="H11" s="3316">
        <v>16584.39</v>
      </c>
      <c r="K11" s="4182"/>
      <c r="L11" s="4182"/>
      <c r="M11" s="4182"/>
      <c r="N11" s="3315" t="s">
        <v>2997</v>
      </c>
      <c r="O11" s="3316">
        <v>16584.39</v>
      </c>
      <c r="P11" s="3319"/>
      <c r="Q11" s="3315"/>
      <c r="R11" s="3316">
        <v>16584.39</v>
      </c>
    </row>
    <row r="12" spans="1:18" ht="14.25" thickBot="1">
      <c r="A12" s="4183" t="s">
        <v>3422</v>
      </c>
      <c r="B12" s="4184"/>
      <c r="C12" s="4185"/>
      <c r="D12" s="3315" t="s">
        <v>24</v>
      </c>
      <c r="E12" s="4186">
        <f>H5+H6+H7+H8+H9+H10+H11</f>
        <v>61891.23</v>
      </c>
      <c r="F12" s="4187"/>
      <c r="G12" s="4187"/>
      <c r="H12" s="4188"/>
    </row>
    <row r="13" spans="1:18" ht="15" thickBot="1">
      <c r="A13" s="3313"/>
    </row>
    <row r="14" spans="1:18" ht="14.25" thickBot="1">
      <c r="A14" s="4179" t="s">
        <v>3411</v>
      </c>
      <c r="B14" s="4179" t="s">
        <v>3412</v>
      </c>
      <c r="C14" s="4179" t="s">
        <v>3413</v>
      </c>
      <c r="D14" s="4179" t="s">
        <v>3414</v>
      </c>
      <c r="E14" s="4179" t="s">
        <v>3415</v>
      </c>
      <c r="F14" s="4177" t="s">
        <v>3416</v>
      </c>
      <c r="G14" s="4178"/>
      <c r="H14" s="4179" t="s">
        <v>3417</v>
      </c>
      <c r="K14" s="4179" t="s">
        <v>3411</v>
      </c>
      <c r="L14" s="4179" t="s">
        <v>3412</v>
      </c>
      <c r="M14" s="4179" t="s">
        <v>3413</v>
      </c>
      <c r="N14" s="4179" t="s">
        <v>3414</v>
      </c>
      <c r="O14" s="4179" t="s">
        <v>3415</v>
      </c>
      <c r="P14" s="4177" t="s">
        <v>3416</v>
      </c>
      <c r="Q14" s="4178"/>
      <c r="R14" s="4179" t="s">
        <v>3417</v>
      </c>
    </row>
    <row r="15" spans="1:18" ht="14.25" thickBot="1">
      <c r="A15" s="4180"/>
      <c r="B15" s="4180"/>
      <c r="C15" s="4180"/>
      <c r="D15" s="4180"/>
      <c r="E15" s="4180"/>
      <c r="F15" s="3314" t="s">
        <v>3418</v>
      </c>
      <c r="G15" s="3314" t="s">
        <v>1679</v>
      </c>
      <c r="H15" s="4180"/>
      <c r="K15" s="4180"/>
      <c r="L15" s="4180"/>
      <c r="M15" s="4180"/>
      <c r="N15" s="4180"/>
      <c r="O15" s="4180"/>
      <c r="P15" s="3314" t="s">
        <v>3418</v>
      </c>
      <c r="Q15" s="3314" t="s">
        <v>1679</v>
      </c>
      <c r="R15" s="4180"/>
    </row>
    <row r="16" spans="1:18" ht="14.25" thickBot="1">
      <c r="A16" s="4179" t="s">
        <v>3423</v>
      </c>
      <c r="B16" s="4179" t="s">
        <v>3106</v>
      </c>
      <c r="C16" s="4179">
        <v>55432.25</v>
      </c>
      <c r="D16" s="3315" t="s">
        <v>923</v>
      </c>
      <c r="E16" s="3315"/>
      <c r="F16" s="3316">
        <v>40703.160000000003</v>
      </c>
      <c r="G16" s="3315"/>
      <c r="H16" s="3316">
        <v>40703.160000000003</v>
      </c>
      <c r="K16" s="4179" t="s">
        <v>3423</v>
      </c>
      <c r="L16" s="4179" t="s">
        <v>3106</v>
      </c>
      <c r="M16" s="4179">
        <v>51588.95</v>
      </c>
      <c r="N16" s="3315" t="s">
        <v>923</v>
      </c>
      <c r="O16" s="3315"/>
      <c r="P16" s="3316">
        <v>40703.160000000003</v>
      </c>
      <c r="Q16" s="3315"/>
      <c r="R16" s="3316">
        <v>40703.160000000003</v>
      </c>
    </row>
    <row r="17" spans="1:18" ht="14.25" thickBot="1">
      <c r="A17" s="4181"/>
      <c r="B17" s="4181"/>
      <c r="C17" s="4181"/>
      <c r="D17" s="3315" t="s">
        <v>3420</v>
      </c>
      <c r="E17" s="3316">
        <v>314.2</v>
      </c>
      <c r="F17" s="3315"/>
      <c r="G17" s="3315"/>
      <c r="H17" s="3316">
        <v>314.2</v>
      </c>
      <c r="K17" s="4181"/>
      <c r="L17" s="4181"/>
      <c r="M17" s="4181"/>
      <c r="N17" s="3315" t="s">
        <v>3420</v>
      </c>
      <c r="O17" s="3316">
        <v>314.2</v>
      </c>
      <c r="P17" s="3315"/>
      <c r="Q17" s="3315"/>
      <c r="R17" s="3316">
        <v>314.2</v>
      </c>
    </row>
    <row r="18" spans="1:18" ht="14.25" thickBot="1">
      <c r="A18" s="4181"/>
      <c r="B18" s="4181"/>
      <c r="C18" s="4181"/>
      <c r="D18" s="3315" t="s">
        <v>2996</v>
      </c>
      <c r="E18" s="3315"/>
      <c r="F18" s="3316">
        <v>3014.85</v>
      </c>
      <c r="G18" s="3315"/>
      <c r="H18" s="3316">
        <v>3014.85</v>
      </c>
      <c r="K18" s="4181"/>
      <c r="L18" s="4181"/>
      <c r="M18" s="4181"/>
      <c r="N18" s="3315" t="s">
        <v>2996</v>
      </c>
      <c r="O18" s="3315"/>
      <c r="P18" s="3316">
        <v>3014.85</v>
      </c>
      <c r="Q18" s="3315"/>
      <c r="R18" s="3316">
        <v>3014.85</v>
      </c>
    </row>
    <row r="19" spans="1:18" ht="14.25" thickBot="1">
      <c r="A19" s="4181"/>
      <c r="B19" s="4181"/>
      <c r="C19" s="4181"/>
      <c r="D19" s="3315" t="s">
        <v>3167</v>
      </c>
      <c r="E19" s="3315"/>
      <c r="F19" s="3315"/>
      <c r="G19" s="3316">
        <v>135.66</v>
      </c>
      <c r="H19" s="3316">
        <v>135.66</v>
      </c>
      <c r="K19" s="4181"/>
      <c r="L19" s="4181"/>
      <c r="M19" s="4181"/>
      <c r="N19" s="3315" t="s">
        <v>3167</v>
      </c>
      <c r="O19" s="3315"/>
      <c r="P19" s="3315"/>
      <c r="Q19" s="3316">
        <v>135.66</v>
      </c>
      <c r="R19" s="3316">
        <v>135.66</v>
      </c>
    </row>
    <row r="20" spans="1:18" ht="14.25" thickBot="1">
      <c r="A20" s="4181"/>
      <c r="B20" s="4181"/>
      <c r="C20" s="4181"/>
      <c r="D20" s="3315" t="s">
        <v>3421</v>
      </c>
      <c r="E20" s="3315"/>
      <c r="F20" s="3315"/>
      <c r="G20" s="3315"/>
      <c r="H20" s="3316">
        <v>0</v>
      </c>
      <c r="K20" s="4181"/>
      <c r="L20" s="4181"/>
      <c r="M20" s="4181"/>
      <c r="N20" s="3315" t="s">
        <v>3421</v>
      </c>
      <c r="O20" s="3315"/>
      <c r="P20" s="3315"/>
      <c r="Q20" s="3315"/>
      <c r="R20" s="3316">
        <v>0</v>
      </c>
    </row>
    <row r="21" spans="1:18" ht="14.25" thickBot="1">
      <c r="A21" s="4181"/>
      <c r="B21" s="4181"/>
      <c r="C21" s="4181"/>
      <c r="D21" s="3315" t="s">
        <v>3284</v>
      </c>
      <c r="E21" s="3315"/>
      <c r="F21" s="3316">
        <v>5400.9</v>
      </c>
      <c r="G21" s="3315"/>
      <c r="H21" s="3316">
        <v>5400.9</v>
      </c>
      <c r="K21" s="4181"/>
      <c r="L21" s="4181"/>
      <c r="M21" s="4181"/>
      <c r="N21" s="3315" t="s">
        <v>3284</v>
      </c>
      <c r="O21" s="3315"/>
      <c r="P21" s="3316">
        <v>5400.9</v>
      </c>
      <c r="Q21" s="3315"/>
      <c r="R21" s="3316">
        <v>5400.9</v>
      </c>
    </row>
    <row r="22" spans="1:18" ht="14.25" thickBot="1">
      <c r="A22" s="4180"/>
      <c r="B22" s="4180"/>
      <c r="C22" s="4180"/>
      <c r="D22" s="3315" t="s">
        <v>2997</v>
      </c>
      <c r="E22" s="3316">
        <v>18144.46</v>
      </c>
      <c r="F22" s="3315"/>
      <c r="G22" s="3315"/>
      <c r="H22" s="3316">
        <v>18144.46</v>
      </c>
      <c r="K22" s="4182"/>
      <c r="L22" s="4182"/>
      <c r="M22" s="4182"/>
      <c r="N22" s="3315" t="s">
        <v>2997</v>
      </c>
      <c r="O22" s="3316">
        <v>18144.46</v>
      </c>
      <c r="P22" s="3315"/>
      <c r="Q22" s="3315"/>
      <c r="R22" s="3316">
        <v>18144.46</v>
      </c>
    </row>
    <row r="23" spans="1:18" ht="14.25" thickBot="1">
      <c r="A23" s="4183" t="s">
        <v>952</v>
      </c>
      <c r="B23" s="4184"/>
      <c r="C23" s="4185"/>
      <c r="D23" s="3315" t="s">
        <v>24</v>
      </c>
      <c r="E23" s="4186">
        <f>H16+H17+H18+H19+H20+H21+H22</f>
        <v>67713.23000000001</v>
      </c>
      <c r="F23" s="4187"/>
      <c r="G23" s="4187"/>
      <c r="H23" s="4188"/>
    </row>
    <row r="24" spans="1:18" ht="14.25">
      <c r="A24" s="3313"/>
    </row>
    <row r="25" spans="1:18" ht="14.25">
      <c r="A25" s="3313"/>
    </row>
    <row r="27" spans="1:18">
      <c r="H27">
        <f>H19+H21</f>
        <v>5536.5599999999995</v>
      </c>
    </row>
  </sheetData>
  <mergeCells count="44">
    <mergeCell ref="H3:H4"/>
    <mergeCell ref="A5:A11"/>
    <mergeCell ref="B5:B11"/>
    <mergeCell ref="C5:C11"/>
    <mergeCell ref="A12:C12"/>
    <mergeCell ref="E12:H12"/>
    <mergeCell ref="A3:A4"/>
    <mergeCell ref="B3:B4"/>
    <mergeCell ref="C3:C4"/>
    <mergeCell ref="D3:D4"/>
    <mergeCell ref="E3:E4"/>
    <mergeCell ref="F3:G3"/>
    <mergeCell ref="H14:H15"/>
    <mergeCell ref="A16:A22"/>
    <mergeCell ref="B16:B22"/>
    <mergeCell ref="C16:C22"/>
    <mergeCell ref="A23:C23"/>
    <mergeCell ref="E23:H23"/>
    <mergeCell ref="A14:A15"/>
    <mergeCell ref="B14:B15"/>
    <mergeCell ref="C14:C15"/>
    <mergeCell ref="D14:D15"/>
    <mergeCell ref="E14:E15"/>
    <mergeCell ref="F14:G14"/>
    <mergeCell ref="P3:Q3"/>
    <mergeCell ref="R3:R4"/>
    <mergeCell ref="K5:K11"/>
    <mergeCell ref="L5:L11"/>
    <mergeCell ref="M5:M11"/>
    <mergeCell ref="K3:K4"/>
    <mergeCell ref="L3:L4"/>
    <mergeCell ref="M3:M4"/>
    <mergeCell ref="N3:N4"/>
    <mergeCell ref="O3:O4"/>
    <mergeCell ref="P14:Q14"/>
    <mergeCell ref="R14:R15"/>
    <mergeCell ref="K16:K22"/>
    <mergeCell ref="L16:L22"/>
    <mergeCell ref="M16:M22"/>
    <mergeCell ref="K14:K15"/>
    <mergeCell ref="L14:L15"/>
    <mergeCell ref="M14:M15"/>
    <mergeCell ref="N14:N15"/>
    <mergeCell ref="O14:O15"/>
  </mergeCells>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I7" sqref="I7"/>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4198" t="s">
        <v>203</v>
      </c>
      <c r="B2" s="4198"/>
      <c r="C2" s="4198"/>
      <c r="D2" s="1959" t="s">
        <v>204</v>
      </c>
      <c r="E2" s="106" t="s">
        <v>205</v>
      </c>
      <c r="F2" s="1968"/>
      <c r="G2" s="1194"/>
      <c r="H2" s="1195"/>
      <c r="I2" s="1196" t="s">
        <v>857</v>
      </c>
      <c r="J2" s="1968"/>
      <c r="K2" s="1968"/>
      <c r="L2" s="1968"/>
    </row>
    <row r="3" spans="1:16" ht="15.75" thickBot="1">
      <c r="A3" s="4199" t="s">
        <v>206</v>
      </c>
      <c r="B3" s="4199"/>
      <c r="C3" s="4199"/>
      <c r="D3" s="107">
        <f>'数据-基础表'!AY6</f>
        <v>55432.25</v>
      </c>
      <c r="E3" s="107">
        <f>'数据-基础表'!AZ5</f>
        <v>67713.23</v>
      </c>
      <c r="F3" s="1968"/>
      <c r="G3" s="280" t="s">
        <v>858</v>
      </c>
      <c r="H3" s="275" t="s">
        <v>859</v>
      </c>
      <c r="I3" s="1960">
        <f>ROUND('数据-基础表'!B3/'数据-基础表'!A3,2)</f>
        <v>1.22</v>
      </c>
      <c r="J3" s="1968"/>
      <c r="K3" s="1968"/>
      <c r="L3" s="1968"/>
    </row>
    <row r="4" spans="1:16" ht="15">
      <c r="A4" s="4200"/>
      <c r="B4" s="4201"/>
      <c r="C4" s="4202"/>
      <c r="D4" s="108" t="s">
        <v>204</v>
      </c>
      <c r="E4" s="109" t="s">
        <v>205</v>
      </c>
      <c r="F4" s="1968"/>
      <c r="G4" s="1197"/>
      <c r="H4" s="275" t="s">
        <v>860</v>
      </c>
      <c r="I4" s="1960">
        <f>ROUND(SUMIF('数据-基础表'!I9:AS9,"地上",'数据-基础表'!I5:AS5)/'数据-基础表'!A3,2)</f>
        <v>0.89</v>
      </c>
      <c r="J4" s="1968"/>
      <c r="K4" s="1968"/>
      <c r="L4" s="1968"/>
    </row>
    <row r="5" spans="1:16">
      <c r="A5" s="110" t="s">
        <v>207</v>
      </c>
      <c r="B5" s="4203" t="s">
        <v>230</v>
      </c>
      <c r="C5" s="4203"/>
      <c r="D5" s="111">
        <f>ROUND($D$3*E5/$E$3,2)</f>
        <v>33320.93</v>
      </c>
      <c r="E5" s="112">
        <f>SUMIF('数据-基础表'!$11:$11,"住宅",'数据-基础表'!$5:$5)</f>
        <v>40703.160000000003</v>
      </c>
      <c r="F5" s="1968"/>
      <c r="G5" s="280" t="s">
        <v>861</v>
      </c>
      <c r="H5" s="275" t="s">
        <v>859</v>
      </c>
      <c r="I5" s="1960">
        <f>ROUND(E31/D31,2)</f>
        <v>1.22</v>
      </c>
      <c r="J5" s="1968"/>
      <c r="K5" s="1968"/>
      <c r="L5" s="1968"/>
    </row>
    <row r="6" spans="1:16" ht="15" thickBot="1">
      <c r="A6" s="113"/>
      <c r="B6" s="4203" t="s">
        <v>208</v>
      </c>
      <c r="C6" s="4203"/>
      <c r="D6" s="111">
        <f>ROUND($D$3*E6/$E$3,2)</f>
        <v>22111.32</v>
      </c>
      <c r="E6" s="112">
        <f>E3-E5</f>
        <v>27010.069999999992</v>
      </c>
      <c r="F6" s="1968"/>
      <c r="G6" s="1197"/>
      <c r="H6" s="275" t="s">
        <v>860</v>
      </c>
      <c r="I6" s="1960">
        <f>ROUND(F31/D31,2)</f>
        <v>0.89</v>
      </c>
      <c r="J6" s="1968"/>
      <c r="K6" s="1968"/>
      <c r="L6" s="1968"/>
    </row>
    <row r="7" spans="1:16" ht="15">
      <c r="A7" s="4195"/>
      <c r="B7" s="4196"/>
      <c r="C7" s="4197"/>
      <c r="D7" s="108" t="s">
        <v>204</v>
      </c>
      <c r="E7" s="114" t="s">
        <v>231</v>
      </c>
      <c r="F7" s="1968"/>
      <c r="G7" s="1152" t="s">
        <v>1645</v>
      </c>
      <c r="H7" s="1153"/>
      <c r="I7" s="1830">
        <f>ROUND((面积表!E12-面积表!E6-面积表!E11)/'数据-基础表'!A3,1)</f>
        <v>0.8</v>
      </c>
      <c r="J7" s="1968"/>
      <c r="K7" s="1968"/>
      <c r="L7" s="1968"/>
    </row>
    <row r="8" spans="1:16">
      <c r="A8" s="110" t="s">
        <v>209</v>
      </c>
      <c r="B8" s="115" t="s">
        <v>210</v>
      </c>
      <c r="C8" s="111" t="s">
        <v>211</v>
      </c>
      <c r="D8" s="111">
        <f t="shared" ref="D8:D15" si="0">ROUND($D$3*E8/$E$3,2)</f>
        <v>35788.980000000003</v>
      </c>
      <c r="E8" s="116">
        <f>SUMIF('数据-基础表'!BB10:BK10,"地上",'数据-基础表'!BB5:BK5)</f>
        <v>43718.01</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14853.64</v>
      </c>
      <c r="E13" s="116">
        <f>SUMPRODUCT(('数据-基础表'!BB10:BK10="地下")*('数据-基础表'!BB11:BK11="车库")*('数据-基础表'!BB5:BK5))</f>
        <v>18144.46</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50642.62</v>
      </c>
      <c r="E16" s="120">
        <f>SUM(E8:E15)</f>
        <v>61862.47</v>
      </c>
      <c r="F16" s="1968"/>
      <c r="G16" s="1970"/>
      <c r="H16" s="968" t="s">
        <v>219</v>
      </c>
      <c r="I16" s="969"/>
      <c r="J16" s="1968"/>
      <c r="K16" s="4189" t="s">
        <v>2564</v>
      </c>
      <c r="L16" s="4190"/>
      <c r="M16" s="4190"/>
      <c r="N16" s="4190"/>
      <c r="O16" s="4190"/>
      <c r="P16" s="4191"/>
    </row>
    <row r="17" spans="1:19" ht="15">
      <c r="A17" s="121" t="s">
        <v>216</v>
      </c>
      <c r="B17" s="122" t="s">
        <v>217</v>
      </c>
      <c r="C17" s="2282" t="s">
        <v>2313</v>
      </c>
      <c r="D17" s="108" t="s">
        <v>204</v>
      </c>
      <c r="E17" s="124" t="s">
        <v>205</v>
      </c>
      <c r="F17" s="125"/>
      <c r="G17" s="1362"/>
      <c r="H17" s="970" t="s">
        <v>218</v>
      </c>
      <c r="I17" s="971" t="s">
        <v>2312</v>
      </c>
      <c r="J17" s="1968"/>
      <c r="K17" s="4192" t="s">
        <v>2565</v>
      </c>
      <c r="L17" s="4193"/>
      <c r="M17" s="4194"/>
      <c r="N17" s="4192" t="s">
        <v>2566</v>
      </c>
      <c r="O17" s="4193"/>
      <c r="P17" s="4194"/>
      <c r="R17" s="2283" t="s">
        <v>2311</v>
      </c>
      <c r="S17" s="144"/>
    </row>
    <row r="18" spans="1:19" ht="15">
      <c r="A18" s="117"/>
      <c r="B18" s="128"/>
      <c r="C18" s="129"/>
      <c r="D18" s="2605"/>
      <c r="E18" s="130" t="s">
        <v>220</v>
      </c>
      <c r="F18" s="131" t="s">
        <v>221</v>
      </c>
      <c r="G18" s="1363" t="s">
        <v>222</v>
      </c>
      <c r="H18" s="972" t="s">
        <v>223</v>
      </c>
      <c r="I18" s="973" t="s">
        <v>224</v>
      </c>
      <c r="J18" s="1968"/>
      <c r="K18" s="2568" t="s">
        <v>2567</v>
      </c>
      <c r="L18" s="2569" t="s">
        <v>2568</v>
      </c>
      <c r="M18" s="2570" t="s">
        <v>2569</v>
      </c>
      <c r="N18" s="2568" t="s">
        <v>2567</v>
      </c>
      <c r="O18" s="2569" t="s">
        <v>2568</v>
      </c>
      <c r="P18" s="2570" t="s">
        <v>2569</v>
      </c>
      <c r="R18" s="2284" t="s">
        <v>2309</v>
      </c>
      <c r="S18" s="2284" t="s">
        <v>2310</v>
      </c>
    </row>
    <row r="19" spans="1:19">
      <c r="A19" s="133"/>
      <c r="B19" s="115" t="s">
        <v>225</v>
      </c>
      <c r="C19" s="2976" t="s">
        <v>3001</v>
      </c>
      <c r="D19" s="111">
        <f t="shared" ref="D19:D26" si="1">ROUND($D$3*E19/$E$3,2)</f>
        <v>33320.93</v>
      </c>
      <c r="E19" s="134">
        <f t="shared" ref="E19:E26" si="2">SUM(F19:G19)</f>
        <v>40703.160000000003</v>
      </c>
      <c r="F19" s="135">
        <f>'数据-基础表'!I13</f>
        <v>40703.160000000003</v>
      </c>
      <c r="G19" s="1364"/>
      <c r="H19" s="974">
        <f>ROUND($D$3*I19/$E$3,2)</f>
        <v>4701.6400000000003</v>
      </c>
      <c r="I19" s="116">
        <f>IF($I$17="自定义",P19,M19)</f>
        <v>5743.29</v>
      </c>
      <c r="J19" s="1968"/>
      <c r="K19" s="2571">
        <f t="shared" ref="K19:K26" si="3">ROUND(E$28*E19/E$27,2)</f>
        <v>206.73</v>
      </c>
      <c r="L19" s="275">
        <f t="shared" ref="L19:L26" si="4">ROUND(IF(COUNTIF(C19,"*住宅*")&gt;0,E$29*E19/E$32,0),2)</f>
        <v>5536.56</v>
      </c>
      <c r="M19" s="2572">
        <f>K19+L19</f>
        <v>5743.29</v>
      </c>
      <c r="N19" s="2573"/>
      <c r="O19" s="2574"/>
      <c r="P19" s="2575">
        <f>N19+O19</f>
        <v>0</v>
      </c>
      <c r="R19" s="275">
        <f t="shared" ref="R19:S26" si="5">D19+H19</f>
        <v>38022.57</v>
      </c>
      <c r="S19" s="2285">
        <f t="shared" si="5"/>
        <v>46446.450000000004</v>
      </c>
    </row>
    <row r="20" spans="1:19">
      <c r="A20" s="138"/>
      <c r="B20" s="115" t="s">
        <v>226</v>
      </c>
      <c r="C20" s="2976" t="s">
        <v>3002</v>
      </c>
      <c r="D20" s="111">
        <f t="shared" si="1"/>
        <v>2468.0500000000002</v>
      </c>
      <c r="E20" s="134">
        <f t="shared" si="2"/>
        <v>3014.85</v>
      </c>
      <c r="F20" s="135">
        <f>'数据-基础表'!K13</f>
        <v>3014.85</v>
      </c>
      <c r="G20" s="1364"/>
      <c r="H20" s="974">
        <f t="shared" ref="H20:H26" si="6">ROUND($D$3*I20/$E$3,2)</f>
        <v>12.53</v>
      </c>
      <c r="I20" s="116">
        <f t="shared" ref="I20:I26" si="7">IF($I$17="自定义",P20,M20)</f>
        <v>15.31</v>
      </c>
      <c r="J20" s="1968"/>
      <c r="K20" s="2571">
        <f t="shared" si="3"/>
        <v>15.31</v>
      </c>
      <c r="L20" s="275">
        <f t="shared" si="4"/>
        <v>0</v>
      </c>
      <c r="M20" s="2572">
        <f t="shared" ref="M20:M26" si="8">K20+L20</f>
        <v>15.31</v>
      </c>
      <c r="N20" s="2573"/>
      <c r="O20" s="2574"/>
      <c r="P20" s="2575">
        <f t="shared" ref="P20:P26" si="9">N20+O20</f>
        <v>0</v>
      </c>
      <c r="R20" s="275">
        <f t="shared" si="5"/>
        <v>2480.5800000000004</v>
      </c>
      <c r="S20" s="2285">
        <f t="shared" si="5"/>
        <v>3030.16</v>
      </c>
    </row>
    <row r="21" spans="1:19">
      <c r="A21" s="138"/>
      <c r="B21" s="115" t="s">
        <v>226</v>
      </c>
      <c r="C21" s="2976" t="s">
        <v>3003</v>
      </c>
      <c r="D21" s="111">
        <f t="shared" si="1"/>
        <v>14853.64</v>
      </c>
      <c r="E21" s="134">
        <f t="shared" si="2"/>
        <v>18144.46</v>
      </c>
      <c r="F21" s="135"/>
      <c r="G21" s="1364">
        <f>'数据-基础表'!M13</f>
        <v>18144.46</v>
      </c>
      <c r="H21" s="974">
        <f t="shared" si="6"/>
        <v>75.45</v>
      </c>
      <c r="I21" s="116">
        <f t="shared" si="7"/>
        <v>92.16</v>
      </c>
      <c r="J21" s="1968"/>
      <c r="K21" s="2571">
        <f t="shared" si="3"/>
        <v>92.16</v>
      </c>
      <c r="L21" s="275">
        <f t="shared" si="4"/>
        <v>0</v>
      </c>
      <c r="M21" s="2572">
        <f t="shared" si="8"/>
        <v>92.16</v>
      </c>
      <c r="N21" s="2573"/>
      <c r="O21" s="2574"/>
      <c r="P21" s="2575">
        <f t="shared" si="9"/>
        <v>0</v>
      </c>
      <c r="R21" s="275">
        <f t="shared" si="5"/>
        <v>14929.09</v>
      </c>
      <c r="S21" s="2285">
        <f t="shared" si="5"/>
        <v>18236.62</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50642.62</v>
      </c>
      <c r="E27" s="143">
        <f>IF(SUM(E19:E26)='数据-基础表'!BA5,SUM(E19:E26),IF(F27="地上面积有误","面积有误","地下面积有误"))</f>
        <v>61862.47</v>
      </c>
      <c r="F27" s="134">
        <f>IF(SUM(F19:F26)=E8,SUM(F19:F26),"地上面积有误")</f>
        <v>43718.01</v>
      </c>
      <c r="G27" s="112">
        <f>SUM(G19:G26)</f>
        <v>18144.46</v>
      </c>
      <c r="H27" s="975">
        <f>SUM(H19:H26)</f>
        <v>4789.62</v>
      </c>
      <c r="I27" s="976">
        <f>SUM(I19:I26)</f>
        <v>5850.76</v>
      </c>
      <c r="J27" s="1968"/>
      <c r="K27" s="2580">
        <f>SUM(K19:K26)</f>
        <v>314.2</v>
      </c>
      <c r="L27" s="2581">
        <f>SUM(L19:L26)</f>
        <v>5536.56</v>
      </c>
      <c r="M27" s="2582">
        <f>SUM(M19:M26)</f>
        <v>5850.76</v>
      </c>
      <c r="N27" s="2580">
        <f t="shared" ref="N27:O27" si="10">SUM(N19:N26)</f>
        <v>0</v>
      </c>
      <c r="O27" s="2581">
        <f t="shared" si="10"/>
        <v>0</v>
      </c>
      <c r="P27" s="2583">
        <f>SUM(P19:P26)</f>
        <v>0</v>
      </c>
      <c r="R27" s="2289" t="str">
        <f>IF(SUM(R19:R26)=$D$3,SUM(R19:R26),SUM(R19:R26)&amp;"误差"&amp;ROUND(SUM(R19:R26)-$D$3,2))</f>
        <v>55432.24误差-0.01</v>
      </c>
      <c r="S27" s="275">
        <f>IF(SUM(S19:S26)=$E$3,SUM(S19:S26),SUM(S19:S26)&amp;"误差"&amp;ROUND(SUM(S19:S26)-E3,2))</f>
        <v>67713.23</v>
      </c>
    </row>
    <row r="28" spans="1:19">
      <c r="A28" s="138"/>
      <c r="B28" s="115" t="s">
        <v>227</v>
      </c>
      <c r="C28" s="136" t="s">
        <v>228</v>
      </c>
      <c r="D28" s="111">
        <f>ROUND($D$3*E28/$E$3,2)</f>
        <v>257.20999999999998</v>
      </c>
      <c r="E28" s="134">
        <f>SUM(F28:G28)</f>
        <v>314.2</v>
      </c>
      <c r="F28" s="144">
        <f>'数据-基础表'!BQ5+'数据-基础表'!BS5</f>
        <v>314.2</v>
      </c>
      <c r="G28" s="145">
        <f>'数据-基础表'!BR5+'数据-基础表'!BT5</f>
        <v>0</v>
      </c>
      <c r="H28" s="1968"/>
      <c r="I28" s="1968"/>
      <c r="J28" s="1968"/>
      <c r="K28" s="1968"/>
      <c r="L28" s="1968"/>
    </row>
    <row r="29" spans="1:19">
      <c r="A29" s="138"/>
      <c r="B29" s="115" t="s">
        <v>227</v>
      </c>
      <c r="C29" s="2297" t="s">
        <v>2320</v>
      </c>
      <c r="D29" s="111">
        <f>ROUND($D$3*E29/$E$3,2)</f>
        <v>4532.41</v>
      </c>
      <c r="E29" s="134">
        <f>SUM(F29:G29)</f>
        <v>5536.5599999999995</v>
      </c>
      <c r="F29" s="144">
        <f>'数据-基础表'!BM5+'数据-基础表'!BO5</f>
        <v>5536.5599999999995</v>
      </c>
      <c r="G29" s="146">
        <f>'数据-基础表'!BN5+'数据-基础表'!BP5</f>
        <v>0</v>
      </c>
      <c r="H29" s="1968"/>
      <c r="I29" s="1968"/>
      <c r="J29" s="1968"/>
      <c r="K29" s="1968"/>
      <c r="L29" s="1968"/>
    </row>
    <row r="30" spans="1:19">
      <c r="A30" s="138"/>
      <c r="B30" s="111"/>
      <c r="C30" s="147" t="s">
        <v>215</v>
      </c>
      <c r="D30" s="134">
        <f>SUM(D28:D29)</f>
        <v>4789.62</v>
      </c>
      <c r="E30" s="134">
        <f>SUM(E28:E29)</f>
        <v>5850.7599999999993</v>
      </c>
      <c r="F30" s="134">
        <f>SUM(F28:F29)</f>
        <v>5850.7599999999993</v>
      </c>
      <c r="G30" s="112">
        <f>SUM(G28:G29)</f>
        <v>0</v>
      </c>
      <c r="H30" s="1968"/>
      <c r="I30" s="1968"/>
      <c r="J30" s="1968"/>
      <c r="K30" s="1968"/>
      <c r="L30" s="1968"/>
    </row>
    <row r="31" spans="1:19" ht="32.25" customHeight="1" thickBot="1">
      <c r="A31" s="1366"/>
      <c r="B31" s="1367" t="s">
        <v>229</v>
      </c>
      <c r="C31" s="2314" t="s">
        <v>2322</v>
      </c>
      <c r="D31" s="1368">
        <f>D27+D30</f>
        <v>55432.240000000005</v>
      </c>
      <c r="E31" s="1368">
        <f>E27+E30</f>
        <v>67713.23</v>
      </c>
      <c r="F31" s="1369">
        <f>F27+F30</f>
        <v>49568.770000000004</v>
      </c>
      <c r="G31" s="1370">
        <f>G27+G30</f>
        <v>18144.46</v>
      </c>
      <c r="H31" s="1968"/>
      <c r="I31" s="1968"/>
      <c r="J31" s="1968"/>
      <c r="K31" s="1968"/>
      <c r="L31" s="1968"/>
    </row>
    <row r="32" spans="1:19">
      <c r="A32" s="1968"/>
      <c r="B32" s="2326" t="s">
        <v>2321</v>
      </c>
      <c r="C32" s="2610"/>
      <c r="D32" s="1197"/>
      <c r="E32" s="1197">
        <f>SUMIF(C19:C26,"*住宅*",E19:E26)</f>
        <v>40703.160000000003</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I26" sqref="AI2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43647</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2826</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923</v>
      </c>
      <c r="D6" s="2292">
        <f>SUMIF(项目基本情况!D$15:I$15,C6,项目基本情况!D$18:I$18)</f>
        <v>50</v>
      </c>
      <c r="E6" s="2293">
        <f>IF(B6="","",SUMIF(项目基本情况!D$15:I$15,C6,项目基本情况!D$17:I$17))</f>
        <v>59900</v>
      </c>
      <c r="F6" s="174">
        <f>SUMIF(项目基本情况!D$15:I$15,C6,项目基本情况!D$19:I$19)</f>
        <v>44.52</v>
      </c>
      <c r="G6" s="175">
        <f>IF(ISERROR(ROUND(POWER(1+H6,D6-F6)*(POWER(1+H6,F6)-1)/(POWER(1+H6,D6)-1),3)),0,ROUND(POWER(1+H6,D6-F6)*(POWER(1+H6,F6)-1)/(POWER(1+H6,D6)-1),3))</f>
        <v>0.96599999999999997</v>
      </c>
      <c r="H6" s="2977">
        <v>4.4999999999999998E-2</v>
      </c>
      <c r="I6" s="2977">
        <v>0.05</v>
      </c>
      <c r="J6" s="176">
        <v>0.08</v>
      </c>
      <c r="K6" s="179">
        <f>SUMIF('数据-汇总表'!C$19:C$33,'数据-取费表'!A6,'数据-汇总表'!E$19:E$33)</f>
        <v>40703.160000000003</v>
      </c>
      <c r="L6" s="2978">
        <v>1800</v>
      </c>
      <c r="M6" s="177">
        <f t="shared" ref="M6:M14" si="0">ROUND(K6*L6/10000,0)</f>
        <v>7327</v>
      </c>
      <c r="N6" s="2979">
        <v>0</v>
      </c>
      <c r="O6" s="177">
        <f>IF($N$5="成新度","——",ROUND(M6*N6,0))</f>
        <v>0</v>
      </c>
      <c r="P6" s="178">
        <f>IF($N$5="成新度","——",M6-O6)</f>
        <v>7327</v>
      </c>
      <c r="Q6" s="2980">
        <v>0.15</v>
      </c>
      <c r="R6" s="179">
        <f>SUMIF('数据-汇总表'!C$19:C$33,A6,'数据-汇总表'!R$19:R$33)</f>
        <v>38022.57</v>
      </c>
      <c r="S6" s="132">
        <f>IF('数据-汇总表'!$I$17="按面积比例",SUMIF('数据-汇总表'!C$19:C$33,A6,'数据-汇总表'!K$19:K$33),SUMIF('数据-汇总表'!C$19:C$33,A6,'数据-汇总表'!N$19:N$33))</f>
        <v>206.73</v>
      </c>
      <c r="T6" s="2218">
        <f>IF($T$4="按面积比例",IF(ISERROR(ROUND($M$14*S6/S$16,0)),"0",ROUND($M$14*S6/S$16,0)),"需自行计算录入")</f>
        <v>38</v>
      </c>
      <c r="U6" s="180"/>
      <c r="V6" s="181"/>
      <c r="W6" s="181"/>
      <c r="X6" s="2305"/>
      <c r="Y6" s="182">
        <v>1</v>
      </c>
      <c r="Z6" s="183"/>
      <c r="AA6" s="176"/>
      <c r="AB6" s="176"/>
      <c r="AC6" s="2308"/>
      <c r="AD6" s="184"/>
      <c r="AE6" s="972">
        <f ca="1">IF(AN6="",0,SUMIF(INDIRECT("'"&amp;AN6&amp;"'"&amp;"!E:E"),$AE$5,INDIRECT("'"&amp;AN6&amp;"'"&amp;"!F:F")))</f>
        <v>0</v>
      </c>
      <c r="AF6" s="141"/>
      <c r="AG6" s="1209">
        <f>IF(AF6="",0,AE6-AF6)</f>
        <v>0</v>
      </c>
      <c r="AH6" s="141"/>
      <c r="AI6" s="187"/>
      <c r="AJ6" s="188"/>
      <c r="AK6" s="189">
        <v>1.4999999999999999E-2</v>
      </c>
      <c r="AL6" s="190">
        <v>1.5E-3</v>
      </c>
      <c r="AM6" s="2991">
        <v>1.4999999999999999E-2</v>
      </c>
      <c r="AN6" s="2355"/>
      <c r="AO6" s="1984"/>
      <c r="AP6" s="1200">
        <f>ROUND(1-1/(1+H6)^F6,3)</f>
        <v>0.85899999999999999</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商业</v>
      </c>
      <c r="B7" s="2321" t="str">
        <f t="shared" ref="B7:B13" si="1">IF(A7=0,"","经营性")</f>
        <v>经营性</v>
      </c>
      <c r="C7" s="173" t="s">
        <v>2996</v>
      </c>
      <c r="D7" s="2292">
        <f>SUMIF(项目基本情况!D$15:I$15,C7,项目基本情况!D$18:I$18)</f>
        <v>40</v>
      </c>
      <c r="E7" s="2293">
        <f>IF(B7="","",SUMIF(项目基本情况!D$15:I$15,C7,项目基本情况!D$17:I$17))</f>
        <v>56248</v>
      </c>
      <c r="F7" s="174">
        <f>SUMIF(项目基本情况!D$15:I$15,C7,项目基本情况!D$19:I$19)</f>
        <v>34.520000000000003</v>
      </c>
      <c r="G7" s="175">
        <f t="shared" ref="G7:G11" si="2">IF(ISERROR(ROUND(POWER(1+H7,D7-F7)*(POWER(1+H7,F7)-1)/(POWER(1+H7,D7)-1),3)),0,ROUND(POWER(1+H7,D7-F7)*(POWER(1+H7,F7)-1)/(POWER(1+H7,D7)-1),3))</f>
        <v>0.94899999999999995</v>
      </c>
      <c r="H7" s="2977">
        <v>0.05</v>
      </c>
      <c r="I7" s="2977">
        <v>5.5E-2</v>
      </c>
      <c r="J7" s="176">
        <v>0.08</v>
      </c>
      <c r="K7" s="179">
        <f>SUMIF('数据-汇总表'!C$19:C$33,'数据-取费表'!A7,'数据-汇总表'!E$19:E$33)</f>
        <v>3014.85</v>
      </c>
      <c r="L7" s="2978">
        <v>1800</v>
      </c>
      <c r="M7" s="177">
        <f t="shared" si="0"/>
        <v>543</v>
      </c>
      <c r="N7" s="2979">
        <v>0</v>
      </c>
      <c r="O7" s="177">
        <f t="shared" ref="O7:O14" si="3">IF($N$5="成新度","——",ROUND(M7*N7,0))</f>
        <v>0</v>
      </c>
      <c r="P7" s="178">
        <f t="shared" ref="P7:P14" si="4">IF($N$5="成新度","——",M7-O7)</f>
        <v>543</v>
      </c>
      <c r="Q7" s="2980">
        <v>0.2</v>
      </c>
      <c r="R7" s="179">
        <f>SUMIF('数据-汇总表'!C$19:C$33,A7,'数据-汇总表'!R$19:R$33)</f>
        <v>2480.5800000000004</v>
      </c>
      <c r="S7" s="132">
        <f>IF('数据-汇总表'!$I$17="按面积比例",SUMIF('数据-汇总表'!C$19:C$33,A7,'数据-汇总表'!K$19:K$33),SUMIF('数据-汇总表'!C$19:C$33,A7,'数据-汇总表'!N$19:N$33))</f>
        <v>15.31</v>
      </c>
      <c r="T7" s="2218">
        <f t="shared" ref="T7:T13" si="5">IF($T$4="按面积比例",IF(ISERROR(ROUND($M$14*S7/S$16,0)),"0",ROUND($M$14*S7/S$16,0)),"需自行计算录入")</f>
        <v>3</v>
      </c>
      <c r="U7" s="180"/>
      <c r="V7" s="181"/>
      <c r="W7" s="181"/>
      <c r="X7" s="2305"/>
      <c r="Y7" s="182">
        <v>1</v>
      </c>
      <c r="Z7" s="183"/>
      <c r="AA7" s="176"/>
      <c r="AB7" s="176"/>
      <c r="AC7" s="2308"/>
      <c r="AD7" s="184"/>
      <c r="AE7" s="972">
        <f t="shared" ref="AE7:AE13" ca="1" si="6">IF(AN7="",0,SUMIF(INDIRECT("'"&amp;AN7&amp;"'"&amp;"!E:E"),$AE$5,INDIRECT("'"&amp;AN7&amp;"'"&amp;"!F:F")))</f>
        <v>32.520000000000003</v>
      </c>
      <c r="AF7" s="141"/>
      <c r="AG7" s="1209">
        <f t="shared" ref="AG7:AG13" si="7">IF(AF7="",0,AE7-AF7)</f>
        <v>0</v>
      </c>
      <c r="AH7" s="141"/>
      <c r="AI7" s="187">
        <v>365</v>
      </c>
      <c r="AJ7" s="188"/>
      <c r="AK7" s="189">
        <v>1.4999999999999999E-2</v>
      </c>
      <c r="AL7" s="190">
        <v>1.5E-3</v>
      </c>
      <c r="AM7" s="2991">
        <v>1.4999999999999999E-2</v>
      </c>
      <c r="AN7" s="2355" t="s">
        <v>3004</v>
      </c>
      <c r="AO7" s="1984"/>
      <c r="AP7" s="1200">
        <f t="shared" ref="AP7:AP13" si="8">ROUND(1-1/(1+H7)^F7,3)</f>
        <v>0.81399999999999995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车库</v>
      </c>
      <c r="B8" s="2321" t="str">
        <f t="shared" si="1"/>
        <v>经营性</v>
      </c>
      <c r="C8" s="173" t="s">
        <v>2997</v>
      </c>
      <c r="D8" s="2292">
        <f>SUMIF(项目基本情况!D$15:I$15,C8,项目基本情况!D$18:I$18)</f>
        <v>40</v>
      </c>
      <c r="E8" s="2293">
        <f>IF(B8="","",SUMIF(项目基本情况!D$15:I$15,C8,项目基本情况!D$17:I$17))</f>
        <v>56248</v>
      </c>
      <c r="F8" s="174">
        <f>SUMIF(项目基本情况!D$15:I$15,C8,项目基本情况!D$19:I$19)</f>
        <v>34.520000000000003</v>
      </c>
      <c r="G8" s="175">
        <f t="shared" si="2"/>
        <v>0.93700000000000006</v>
      </c>
      <c r="H8" s="2977">
        <v>0.04</v>
      </c>
      <c r="I8" s="2977">
        <v>4.4999999999999998E-2</v>
      </c>
      <c r="J8" s="176">
        <v>0.08</v>
      </c>
      <c r="K8" s="179">
        <f>SUMIF('数据-汇总表'!C$19:C$33,'数据-取费表'!A8,'数据-汇总表'!E$19:E$33)</f>
        <v>18144.46</v>
      </c>
      <c r="L8" s="2978">
        <v>1800</v>
      </c>
      <c r="M8" s="177">
        <f>ROUND(K8*L8/10000,0)</f>
        <v>3266</v>
      </c>
      <c r="N8" s="2979">
        <v>0</v>
      </c>
      <c r="O8" s="177">
        <f t="shared" si="3"/>
        <v>0</v>
      </c>
      <c r="P8" s="178">
        <f t="shared" si="4"/>
        <v>3266</v>
      </c>
      <c r="Q8" s="2980">
        <v>0.03</v>
      </c>
      <c r="R8" s="179">
        <f>SUMIF('数据-汇总表'!C$19:C$33,A8,'数据-汇总表'!R$19:R$33)</f>
        <v>14929.09</v>
      </c>
      <c r="S8" s="132">
        <f>IF('数据-汇总表'!$I$17="按面积比例",SUMIF('数据-汇总表'!C$19:C$33,A8,'数据-汇总表'!K$19:K$33),SUMIF('数据-汇总表'!C$19:C$33,A8,'数据-汇总表'!N$19:N$33))</f>
        <v>92.16</v>
      </c>
      <c r="T8" s="2218">
        <f t="shared" si="5"/>
        <v>17</v>
      </c>
      <c r="U8" s="180">
        <v>0.5</v>
      </c>
      <c r="V8" s="181">
        <v>0</v>
      </c>
      <c r="W8" s="181">
        <v>0.03</v>
      </c>
      <c r="X8" s="2305"/>
      <c r="Y8" s="182">
        <v>1</v>
      </c>
      <c r="Z8" s="183"/>
      <c r="AA8" s="176"/>
      <c r="AB8" s="176"/>
      <c r="AC8" s="2308"/>
      <c r="AD8" s="184"/>
      <c r="AE8" s="972">
        <f t="shared" ca="1" si="6"/>
        <v>32.520000000000003</v>
      </c>
      <c r="AF8" s="141"/>
      <c r="AG8" s="1209">
        <f t="shared" si="7"/>
        <v>0</v>
      </c>
      <c r="AH8" s="141"/>
      <c r="AI8" s="187">
        <v>365</v>
      </c>
      <c r="AJ8" s="188"/>
      <c r="AK8" s="189">
        <v>1.4999999999999999E-2</v>
      </c>
      <c r="AL8" s="190">
        <v>1.5E-3</v>
      </c>
      <c r="AM8" s="2991">
        <v>1.4999999999999999E-2</v>
      </c>
      <c r="AN8" s="2355" t="s">
        <v>3005</v>
      </c>
      <c r="AO8" s="1984"/>
      <c r="AP8" s="1200">
        <f t="shared" si="8"/>
        <v>0.74199999999999999</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v>1</v>
      </c>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314.2</v>
      </c>
      <c r="L14" s="193">
        <v>1800</v>
      </c>
      <c r="M14" s="177">
        <f t="shared" si="0"/>
        <v>57</v>
      </c>
      <c r="N14" s="194">
        <v>0</v>
      </c>
      <c r="O14" s="177">
        <f t="shared" si="3"/>
        <v>0</v>
      </c>
      <c r="P14" s="178">
        <f t="shared" si="4"/>
        <v>57</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5536.5599999999995</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0.95699999999999996</v>
      </c>
      <c r="H16" s="203">
        <f>ROUND(SUMPRODUCT(H6:H13,K6:K13)/SUMPRODUCT((H6:H13&gt;0)*(K6:K13)),3)</f>
        <v>4.3999999999999997E-2</v>
      </c>
      <c r="I16" s="204"/>
      <c r="J16" s="204"/>
      <c r="K16" s="205">
        <f>SUM(K6:K15)</f>
        <v>67713.23</v>
      </c>
      <c r="L16" s="206">
        <f>ROUND(M16*10000/SUM(K6:K14),0)</f>
        <v>1800</v>
      </c>
      <c r="M16" s="206">
        <f>SUM(M6:M14)</f>
        <v>11193</v>
      </c>
      <c r="N16" s="207">
        <f>ROUND(SUMPRODUCT(M6:M14,N6:N14)/M16,3)</f>
        <v>0</v>
      </c>
      <c r="O16" s="206">
        <f>SUM(O6:O14)</f>
        <v>0</v>
      </c>
      <c r="P16" s="206">
        <f>SUM(P6:P14)</f>
        <v>11193</v>
      </c>
      <c r="Q16" s="208">
        <f>ROUND(SUMPRODUCT(Q6:Q13,K6:K13)/SUMPRODUCT((Q6:Q13&gt;0)*(K6:K13)),2)</f>
        <v>0.12</v>
      </c>
      <c r="R16" s="2295">
        <f>SUM(R6:R13)</f>
        <v>55432.240000000005</v>
      </c>
      <c r="S16" s="209">
        <f>SUM(S6:S13)</f>
        <v>314.2</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0.82199999999999995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180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180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v>0</v>
      </c>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0.03</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120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2894</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1.54E-2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1.4999999999999999E-2</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2455</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3</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1409</v>
      </c>
      <c r="C53" s="3027" t="s">
        <v>2902</v>
      </c>
      <c r="D53" s="3028" t="s">
        <v>2903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2904</v>
      </c>
      <c r="B54" s="186">
        <v>10</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2905</v>
      </c>
      <c r="B55" s="186">
        <v>8</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2906</v>
      </c>
      <c r="B56" s="186">
        <v>6</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2907</v>
      </c>
      <c r="B57" s="186">
        <v>5</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2908</v>
      </c>
      <c r="B58" s="186">
        <v>4</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2909</v>
      </c>
      <c r="B59" s="186">
        <v>3</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2910</v>
      </c>
      <c r="B60" s="186">
        <v>2</v>
      </c>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2911</v>
      </c>
      <c r="B61" s="186">
        <v>1</v>
      </c>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2913</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7" sqref="L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4204" t="s">
        <v>1663</v>
      </c>
      <c r="B1" s="4205"/>
      <c r="C1" s="4205"/>
      <c r="D1" s="4205"/>
      <c r="E1" s="4205"/>
      <c r="F1" s="4205"/>
      <c r="G1" s="4205"/>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302" t="s">
        <v>3385</v>
      </c>
      <c r="D3" s="1993"/>
      <c r="E3" s="1225" t="s">
        <v>1666</v>
      </c>
      <c r="F3" s="1226" t="s">
        <v>1654</v>
      </c>
      <c r="G3" s="3035" t="s">
        <v>2918</v>
      </c>
      <c r="H3" s="1992"/>
      <c r="I3" s="1992"/>
      <c r="J3" s="1992"/>
      <c r="K3" s="1992"/>
      <c r="L3" s="1992"/>
      <c r="M3" s="1992"/>
      <c r="N3" s="1992"/>
      <c r="O3" s="1992"/>
      <c r="P3" s="1992"/>
      <c r="Q3" s="1992"/>
      <c r="R3" s="1992"/>
    </row>
    <row r="4" spans="1:18" ht="54">
      <c r="A4" s="1225"/>
      <c r="B4" s="1227" t="s">
        <v>1667</v>
      </c>
      <c r="C4" s="3305" t="s">
        <v>3371</v>
      </c>
      <c r="D4" s="1993"/>
      <c r="E4" s="1228"/>
      <c r="F4" s="1229" t="s">
        <v>1668</v>
      </c>
      <c r="G4" s="3033" t="s">
        <v>2915</v>
      </c>
      <c r="H4" s="1992"/>
      <c r="I4" s="1992"/>
      <c r="J4" s="1992"/>
      <c r="K4" s="1992"/>
      <c r="L4" s="1992"/>
      <c r="M4" s="1992"/>
      <c r="N4" s="1992"/>
      <c r="O4" s="1992"/>
      <c r="P4" s="1992"/>
      <c r="Q4" s="1992"/>
      <c r="R4" s="1992"/>
    </row>
    <row r="5" spans="1:18" ht="41.25">
      <c r="A5" s="1225"/>
      <c r="B5" s="1227" t="s">
        <v>1669</v>
      </c>
      <c r="C5" s="3032" t="s">
        <v>2919</v>
      </c>
      <c r="D5" s="1993"/>
      <c r="E5" s="1228"/>
      <c r="F5" s="1227" t="s">
        <v>2544</v>
      </c>
      <c r="G5" s="3033" t="s">
        <v>2916</v>
      </c>
      <c r="H5" s="1992"/>
      <c r="I5" s="1992"/>
      <c r="J5" s="1992"/>
      <c r="K5" s="1992"/>
      <c r="L5" s="1992"/>
      <c r="M5" s="1992"/>
      <c r="N5" s="1992"/>
      <c r="O5" s="1992"/>
      <c r="P5" s="1992"/>
      <c r="Q5" s="1992"/>
      <c r="R5" s="1992"/>
    </row>
    <row r="6" spans="1:18" ht="81">
      <c r="A6" s="1225"/>
      <c r="B6" s="1227" t="s">
        <v>1655</v>
      </c>
      <c r="C6" s="3303" t="s">
        <v>3368</v>
      </c>
      <c r="D6" s="1993"/>
      <c r="E6" s="1228"/>
      <c r="F6" s="1227" t="s">
        <v>2545</v>
      </c>
      <c r="G6" s="3033" t="s">
        <v>2914</v>
      </c>
      <c r="H6" s="1992"/>
      <c r="I6" s="1992"/>
      <c r="J6" s="1992"/>
      <c r="K6" s="1992"/>
      <c r="L6" s="1992"/>
      <c r="M6" s="1992"/>
      <c r="N6" s="1992"/>
      <c r="O6" s="1992"/>
      <c r="P6" s="1992"/>
      <c r="Q6" s="1992"/>
      <c r="R6" s="1992"/>
    </row>
    <row r="7" spans="1:18" ht="81.75" thickBot="1">
      <c r="A7" s="1225"/>
      <c r="B7" s="1227" t="s">
        <v>2544</v>
      </c>
      <c r="C7" s="3303" t="s">
        <v>3369</v>
      </c>
      <c r="D7" s="1994"/>
      <c r="E7" s="1230"/>
      <c r="F7" s="1231" t="s">
        <v>1670</v>
      </c>
      <c r="G7" s="3036" t="s">
        <v>2917</v>
      </c>
      <c r="H7" s="1992"/>
      <c r="I7" s="1992"/>
      <c r="J7" s="1992"/>
      <c r="K7" s="1992"/>
      <c r="L7" s="1992"/>
      <c r="M7" s="1992"/>
      <c r="N7" s="1992"/>
      <c r="O7" s="1992"/>
      <c r="P7" s="1992"/>
      <c r="Q7" s="1992"/>
      <c r="R7" s="1992"/>
    </row>
    <row r="8" spans="1:18" ht="27">
      <c r="A8" s="1225"/>
      <c r="B8" s="1227" t="s">
        <v>2545</v>
      </c>
      <c r="C8" s="3303" t="s">
        <v>3374</v>
      </c>
      <c r="D8" s="1994"/>
      <c r="E8" s="1994"/>
      <c r="F8" s="1539"/>
      <c r="G8" s="1539"/>
      <c r="H8" s="1992"/>
      <c r="I8" s="1992"/>
      <c r="J8" s="1992"/>
      <c r="K8" s="1992"/>
      <c r="L8" s="1992"/>
      <c r="M8" s="1992"/>
      <c r="N8" s="1992"/>
      <c r="O8" s="1992"/>
      <c r="P8" s="1992"/>
      <c r="Q8" s="1992"/>
      <c r="R8" s="1992"/>
    </row>
    <row r="9" spans="1:18" ht="54">
      <c r="A9" s="1225"/>
      <c r="B9" s="1227" t="s">
        <v>1656</v>
      </c>
      <c r="C9" s="3305" t="s">
        <v>3425</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4" t="s">
        <v>3387</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周边居住氛围一遍，有潼南天地、卓然铂金公馆等住宅小区，居住社区成熟度较好</v>
      </c>
      <c r="D15" s="1993"/>
      <c r="E15" s="2548" t="s">
        <v>1658</v>
      </c>
      <c r="F15" s="1238" t="s">
        <v>1673</v>
      </c>
      <c r="G15" s="1240" t="str">
        <f>G3</f>
        <v>估价对象位于XX开发区，园区建设成熟度XX，产业集聚程度XX</v>
      </c>
    </row>
    <row r="16" spans="1:18" ht="54">
      <c r="A16" s="2552"/>
      <c r="B16" s="1241" t="s">
        <v>1667</v>
      </c>
      <c r="C16" s="1242" t="str">
        <f>C4</f>
        <v>估价对象周边商业为项目内部商业街，周边商业氛围较好，人流量较大，商业繁华度较好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81">
      <c r="A18" s="2552"/>
      <c r="B18" s="1243" t="s">
        <v>1655</v>
      </c>
      <c r="C18" s="1005" t="str">
        <f>C6</f>
        <v>周边道路密集程度一般、公共交通通达情况一般，有107路，203路、等公交线路通过，停车便捷程度一般，综合评价交通便捷度一般。</v>
      </c>
      <c r="D18" s="1994"/>
      <c r="E18" s="2549"/>
      <c r="F18" s="1243" t="s">
        <v>1670</v>
      </c>
      <c r="G18" s="1005" t="str">
        <f>G7</f>
        <v>该园区内是否有污染型企业，绿化情况，卫生条件，整体环境状况判断</v>
      </c>
    </row>
    <row r="19" spans="1:7" ht="27">
      <c r="A19" s="2552"/>
      <c r="B19" s="1243" t="s">
        <v>1659</v>
      </c>
      <c r="C19" s="3304" t="s">
        <v>3386</v>
      </c>
      <c r="D19" s="1993"/>
      <c r="E19" s="2549"/>
      <c r="F19" s="1227" t="s">
        <v>2544</v>
      </c>
      <c r="G19" s="1005" t="str">
        <f>G5</f>
        <v>估价对象所在区域公共配套设施齐备情况</v>
      </c>
    </row>
    <row r="20" spans="1:7" ht="54">
      <c r="A20" s="2552"/>
      <c r="B20" s="1243" t="s">
        <v>1660</v>
      </c>
      <c r="C20" s="1242" t="str">
        <f>C9</f>
        <v>周边自然环境（项目内部天鹅湖）；人文环境（潼南区图书馆），综合评价环境状况较好；</v>
      </c>
      <c r="D20" s="1994"/>
      <c r="E20" s="2549"/>
      <c r="F20" s="1227" t="s">
        <v>2545</v>
      </c>
      <c r="G20" s="1005" t="str">
        <f>G6</f>
        <v>估价对象所在区域基础设施水平</v>
      </c>
    </row>
    <row r="21" spans="1:7" ht="81">
      <c r="A21" s="2552"/>
      <c r="B21" s="1227" t="s">
        <v>2544</v>
      </c>
      <c r="C21" s="1005" t="str">
        <f>C7</f>
        <v>所在区域2公里范围内有银行（中国邮政储蓄银行）、学校（巴川中学）、商业（无）、医院（无）等配套设施，公共配套设施一般；</v>
      </c>
      <c r="D21" s="1993"/>
      <c r="E21" s="2549"/>
      <c r="F21" s="1243" t="s">
        <v>1661</v>
      </c>
      <c r="G21" s="3037"/>
    </row>
    <row r="22" spans="1:7" ht="27">
      <c r="A22" s="2552"/>
      <c r="B22" s="1227" t="s">
        <v>2545</v>
      </c>
      <c r="C22" s="1005" t="str">
        <f>C8</f>
        <v>所在区域基础设施水平达六通</v>
      </c>
      <c r="D22" s="1993"/>
      <c r="E22" s="2549"/>
      <c r="F22" s="1243" t="s">
        <v>1671</v>
      </c>
      <c r="G22" s="2749"/>
    </row>
    <row r="23" spans="1:7" ht="15" thickBot="1">
      <c r="A23" s="2552"/>
      <c r="B23" s="1243" t="s">
        <v>1661</v>
      </c>
      <c r="C23" s="3037"/>
      <c r="E23" s="2550"/>
      <c r="F23" s="1244" t="s">
        <v>1675</v>
      </c>
      <c r="G23" s="3038"/>
    </row>
    <row r="24" spans="1:7" ht="14.25" thickBot="1">
      <c r="A24" s="2553"/>
      <c r="B24" s="1244" t="s">
        <v>1662</v>
      </c>
      <c r="C24" s="1245" t="str">
        <f>C10</f>
        <v>城市次干道-创意大道</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2842</v>
      </c>
      <c r="B1" s="2996">
        <f>SUM(B14:B23)</f>
        <v>67713.23</v>
      </c>
      <c r="C1" s="2997"/>
      <c r="D1" s="2997"/>
      <c r="E1" s="2997"/>
      <c r="F1" s="2997"/>
    </row>
    <row r="2" spans="1:9" ht="16.5">
      <c r="A2" s="2996" t="s">
        <v>2843</v>
      </c>
      <c r="B2" s="2996">
        <f>SUM(C14:C23)</f>
        <v>55432.25</v>
      </c>
      <c r="C2" s="2997"/>
      <c r="D2" s="2997"/>
      <c r="E2" s="2997"/>
      <c r="F2" s="2997"/>
    </row>
    <row r="3" spans="1:9" ht="16.5">
      <c r="A3" s="2996" t="s">
        <v>2844</v>
      </c>
      <c r="B3" s="2998">
        <f>项目基本情况!D3</f>
        <v>43647</v>
      </c>
      <c r="C3" s="2997"/>
      <c r="D3" s="2997"/>
      <c r="E3" s="2997"/>
      <c r="F3" s="2997"/>
    </row>
    <row r="4" spans="1:9" ht="33">
      <c r="A4" s="2996" t="s">
        <v>2845</v>
      </c>
      <c r="B4" s="2996" t="s">
        <v>2846</v>
      </c>
      <c r="C4" s="2996" t="s">
        <v>2847</v>
      </c>
      <c r="D4" s="2996" t="s">
        <v>2848</v>
      </c>
      <c r="E4" s="2997"/>
      <c r="F4" s="2997"/>
    </row>
    <row r="5" spans="1:9" ht="16.5">
      <c r="A5" s="2996" t="s">
        <v>2849</v>
      </c>
      <c r="B5" s="2996">
        <f ca="1">SUM(D14:D23)</f>
        <v>9534</v>
      </c>
      <c r="C5" s="2996">
        <f ca="1">ROUND(B5*10000/$B$1,0)</f>
        <v>1408</v>
      </c>
      <c r="D5" s="2996">
        <f ca="1">ROUND(B5*10000/$B$2,0)</f>
        <v>1720</v>
      </c>
      <c r="E5" s="2997"/>
      <c r="F5" s="2997"/>
    </row>
    <row r="6" spans="1:9" ht="16.5">
      <c r="A6" s="2996" t="s">
        <v>2850</v>
      </c>
      <c r="B6" s="2996">
        <f ca="1">SUM(G14:G23)</f>
        <v>9534</v>
      </c>
      <c r="C6" s="2996">
        <f t="shared" ref="C6:C8" ca="1" si="0">ROUND(B6*10000/$B$1,0)</f>
        <v>1408</v>
      </c>
      <c r="D6" s="2996">
        <f t="shared" ref="D6:D8" ca="1" si="1">ROUND(B6*10000/$B$2,0)</f>
        <v>1720</v>
      </c>
      <c r="E6" s="2997"/>
      <c r="F6" s="2997"/>
    </row>
    <row r="7" spans="1:9" ht="16.5">
      <c r="A7" s="2996" t="s">
        <v>2851</v>
      </c>
      <c r="B7" s="2996">
        <f>SUM(H14:H23)</f>
        <v>0</v>
      </c>
      <c r="C7" s="2996">
        <f t="shared" si="0"/>
        <v>0</v>
      </c>
      <c r="D7" s="2996">
        <f t="shared" si="1"/>
        <v>0</v>
      </c>
      <c r="E7" s="2997"/>
      <c r="F7" s="2997"/>
    </row>
    <row r="8" spans="1:9" ht="16.5">
      <c r="A8" s="2996" t="s">
        <v>2852</v>
      </c>
      <c r="B8" s="2996">
        <f>SUM(I14:I23)</f>
        <v>0</v>
      </c>
      <c r="C8" s="2996">
        <f t="shared" si="0"/>
        <v>0</v>
      </c>
      <c r="D8" s="2996">
        <f t="shared" si="1"/>
        <v>0</v>
      </c>
      <c r="E8" s="2997"/>
      <c r="F8" s="2997"/>
    </row>
    <row r="9" spans="1:9" ht="16.5">
      <c r="A9" s="2996" t="s">
        <v>2853</v>
      </c>
      <c r="B9" s="2999"/>
      <c r="C9" s="2997"/>
      <c r="D9" s="2997"/>
      <c r="E9" s="2997"/>
      <c r="F9" s="2997"/>
    </row>
    <row r="10" spans="1:9" ht="16.5">
      <c r="A10" s="2996" t="s">
        <v>2854</v>
      </c>
      <c r="B10" s="2999"/>
      <c r="C10" s="2997"/>
      <c r="D10" s="2997"/>
      <c r="E10" s="2997"/>
      <c r="F10" s="2997"/>
    </row>
    <row r="11" spans="1:9" ht="16.5">
      <c r="A11" s="2996" t="s">
        <v>2871</v>
      </c>
      <c r="B11" s="2999"/>
      <c r="C11" s="2997"/>
      <c r="D11" s="2997"/>
      <c r="E11" s="2997"/>
      <c r="F11" s="2997"/>
    </row>
    <row r="12" spans="1:9" ht="16.5">
      <c r="A12" s="2997"/>
      <c r="B12" s="2997"/>
      <c r="C12" s="2997"/>
      <c r="D12" s="2997"/>
      <c r="E12" s="2997"/>
      <c r="F12" s="2997"/>
    </row>
    <row r="13" spans="1:9" ht="33">
      <c r="A13" s="3002" t="s">
        <v>2870</v>
      </c>
      <c r="B13" s="3000" t="s">
        <v>2842</v>
      </c>
      <c r="C13" s="3000" t="s">
        <v>2843</v>
      </c>
      <c r="D13" s="3000" t="s">
        <v>2855</v>
      </c>
      <c r="E13" s="2996" t="s">
        <v>2869</v>
      </c>
      <c r="F13" s="2996" t="s">
        <v>2848</v>
      </c>
      <c r="G13" s="3000" t="s">
        <v>2856</v>
      </c>
      <c r="H13" s="3000" t="s">
        <v>2857</v>
      </c>
      <c r="I13" s="3000" t="s">
        <v>2858</v>
      </c>
    </row>
    <row r="14" spans="1:9" ht="16.5">
      <c r="A14" s="3003" t="s">
        <v>2868</v>
      </c>
      <c r="B14" s="3000">
        <f>结果表!L38</f>
        <v>67713.23</v>
      </c>
      <c r="C14" s="3000">
        <f>结果表!K38</f>
        <v>55432.25</v>
      </c>
      <c r="D14" s="3000">
        <f ca="1">结果表!C42</f>
        <v>9534</v>
      </c>
      <c r="E14" s="3000">
        <f ca="1">ROUND(D14*10000/B14,0)</f>
        <v>1408</v>
      </c>
      <c r="F14" s="3000">
        <f ca="1">ROUND(D14*10000/C14,0)</f>
        <v>1720</v>
      </c>
      <c r="G14" s="3000">
        <f ca="1">结果表!C44</f>
        <v>9534</v>
      </c>
      <c r="H14" s="3000" t="str">
        <f>结果表!C45</f>
        <v>——</v>
      </c>
      <c r="I14" s="3000" t="str">
        <f>结果表!C46</f>
        <v>——</v>
      </c>
    </row>
    <row r="15" spans="1:9" ht="16.5">
      <c r="A15" s="3003" t="s">
        <v>2859</v>
      </c>
      <c r="B15" s="3004"/>
      <c r="C15" s="3004"/>
      <c r="D15" s="3004"/>
      <c r="E15" s="3000" t="e">
        <f t="shared" ref="E15:E23" si="2">ROUND(D15*10000/B15,0)</f>
        <v>#DIV/0!</v>
      </c>
      <c r="F15" s="3000" t="e">
        <f t="shared" ref="F15:F23" si="3">ROUND(D15*10000/C15,0)</f>
        <v>#DIV/0!</v>
      </c>
      <c r="G15" s="3001"/>
      <c r="H15" s="3001"/>
      <c r="I15" s="3004"/>
    </row>
    <row r="16" spans="1:9" ht="16.5">
      <c r="A16" s="3003" t="s">
        <v>2860</v>
      </c>
      <c r="B16" s="3004"/>
      <c r="C16" s="3004"/>
      <c r="D16" s="3004"/>
      <c r="E16" s="3000" t="e">
        <f t="shared" si="2"/>
        <v>#DIV/0!</v>
      </c>
      <c r="F16" s="3000" t="e">
        <f t="shared" si="3"/>
        <v>#DIV/0!</v>
      </c>
      <c r="G16" s="3001"/>
      <c r="H16" s="3001"/>
      <c r="I16" s="3004"/>
    </row>
    <row r="17" spans="1:9" ht="16.5">
      <c r="A17" s="3003" t="s">
        <v>2861</v>
      </c>
      <c r="B17" s="3004"/>
      <c r="C17" s="3004"/>
      <c r="D17" s="3004"/>
      <c r="E17" s="3000" t="e">
        <f t="shared" si="2"/>
        <v>#DIV/0!</v>
      </c>
      <c r="F17" s="3000" t="e">
        <f t="shared" si="3"/>
        <v>#DIV/0!</v>
      </c>
      <c r="G17" s="3001"/>
      <c r="H17" s="3001"/>
      <c r="I17" s="3004"/>
    </row>
    <row r="18" spans="1:9" ht="16.5">
      <c r="A18" s="3003" t="s">
        <v>2862</v>
      </c>
      <c r="B18" s="3004"/>
      <c r="C18" s="3004"/>
      <c r="D18" s="3004"/>
      <c r="E18" s="3000" t="e">
        <f t="shared" si="2"/>
        <v>#DIV/0!</v>
      </c>
      <c r="F18" s="3000" t="e">
        <f t="shared" si="3"/>
        <v>#DIV/0!</v>
      </c>
      <c r="G18" s="3004"/>
      <c r="H18" s="3004"/>
      <c r="I18" s="3004"/>
    </row>
    <row r="19" spans="1:9" ht="16.5">
      <c r="A19" s="3003" t="s">
        <v>2863</v>
      </c>
      <c r="B19" s="3004"/>
      <c r="C19" s="3004"/>
      <c r="D19" s="3004"/>
      <c r="E19" s="3000" t="e">
        <f t="shared" si="2"/>
        <v>#DIV/0!</v>
      </c>
      <c r="F19" s="3000" t="e">
        <f t="shared" si="3"/>
        <v>#DIV/0!</v>
      </c>
      <c r="G19" s="3004"/>
      <c r="H19" s="3004"/>
      <c r="I19" s="3004"/>
    </row>
    <row r="20" spans="1:9" ht="16.5">
      <c r="A20" s="3003" t="s">
        <v>2864</v>
      </c>
      <c r="B20" s="3004"/>
      <c r="C20" s="3004"/>
      <c r="D20" s="3004"/>
      <c r="E20" s="3000" t="e">
        <f t="shared" si="2"/>
        <v>#DIV/0!</v>
      </c>
      <c r="F20" s="3000" t="e">
        <f t="shared" si="3"/>
        <v>#DIV/0!</v>
      </c>
      <c r="G20" s="3004"/>
      <c r="H20" s="3004"/>
      <c r="I20" s="3004"/>
    </row>
    <row r="21" spans="1:9" ht="16.5">
      <c r="A21" s="3003" t="s">
        <v>2865</v>
      </c>
      <c r="B21" s="3004"/>
      <c r="C21" s="3004"/>
      <c r="D21" s="3004"/>
      <c r="E21" s="3000" t="e">
        <f t="shared" si="2"/>
        <v>#DIV/0!</v>
      </c>
      <c r="F21" s="3000" t="e">
        <f t="shared" si="3"/>
        <v>#DIV/0!</v>
      </c>
      <c r="G21" s="3004"/>
      <c r="H21" s="3004"/>
      <c r="I21" s="3004"/>
    </row>
    <row r="22" spans="1:9" ht="16.5">
      <c r="A22" s="3003" t="s">
        <v>2866</v>
      </c>
      <c r="B22" s="3004"/>
      <c r="C22" s="3004"/>
      <c r="D22" s="3004"/>
      <c r="E22" s="3000" t="e">
        <f t="shared" si="2"/>
        <v>#DIV/0!</v>
      </c>
      <c r="F22" s="3000" t="e">
        <f t="shared" si="3"/>
        <v>#DIV/0!</v>
      </c>
      <c r="G22" s="3004"/>
      <c r="H22" s="3004"/>
      <c r="I22" s="3004"/>
    </row>
    <row r="23" spans="1:9" ht="16.5">
      <c r="A23" s="3003" t="s">
        <v>2867</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4" zoomScaleNormal="100" zoomScaleSheetLayoutView="100" zoomScalePageLayoutView="80" workbookViewId="0">
      <selection activeCell="F25" sqref="F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4242" t="str">
        <f>项目基本情况!K2</f>
        <v>出让国有建设用地使用权</v>
      </c>
      <c r="B2" s="4243"/>
      <c r="C2" s="4244"/>
      <c r="D2" s="4244"/>
      <c r="E2" s="4244"/>
      <c r="F2" s="4244"/>
      <c r="G2" s="4243"/>
      <c r="H2" s="4243"/>
      <c r="I2" s="4245"/>
      <c r="J2" s="2014"/>
      <c r="K2" s="2013"/>
      <c r="L2" s="2013"/>
      <c r="M2" s="2013"/>
      <c r="N2" s="2013"/>
      <c r="O2" s="2013"/>
      <c r="P2" s="2013"/>
      <c r="Q2" s="2013"/>
      <c r="R2" s="2013"/>
      <c r="S2" s="2013"/>
      <c r="T2" s="2013"/>
      <c r="U2" s="2013"/>
      <c r="V2" s="2013"/>
    </row>
    <row r="3" spans="1:22" ht="14.25">
      <c r="A3" s="4235" t="s">
        <v>298</v>
      </c>
      <c r="B3" s="4236"/>
      <c r="C3" s="4236"/>
      <c r="D3" s="4236"/>
      <c r="E3" s="4236"/>
      <c r="F3" s="4236"/>
      <c r="G3" s="4236"/>
      <c r="H3" s="4236"/>
      <c r="I3" s="4236"/>
      <c r="J3" s="2014"/>
      <c r="K3" s="2013"/>
      <c r="L3" s="2013"/>
      <c r="M3" s="2013"/>
      <c r="N3" s="2013"/>
      <c r="O3" s="2013"/>
      <c r="P3" s="2013"/>
      <c r="Q3" s="2013"/>
      <c r="R3" s="2013"/>
      <c r="S3" s="2013"/>
      <c r="T3" s="2013"/>
      <c r="U3" s="2013"/>
      <c r="V3" s="2013"/>
    </row>
    <row r="4" spans="1:22" ht="14.25">
      <c r="A4" s="258" t="s">
        <v>299</v>
      </c>
      <c r="B4" s="259" t="s">
        <v>300</v>
      </c>
      <c r="C4" s="260" t="s">
        <v>3049</v>
      </c>
      <c r="D4" s="260" t="s">
        <v>3048</v>
      </c>
      <c r="E4" s="4207" t="s">
        <v>301</v>
      </c>
      <c r="F4" s="4208"/>
      <c r="G4" s="4208"/>
      <c r="H4" s="4208"/>
      <c r="I4" s="4237"/>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4206" t="s">
        <v>302</v>
      </c>
      <c r="B5" s="4232">
        <v>25</v>
      </c>
      <c r="C5" s="4230"/>
      <c r="D5" s="4234"/>
      <c r="E5" s="261" t="s">
        <v>303</v>
      </c>
      <c r="F5" s="262"/>
      <c r="G5" s="262"/>
      <c r="H5" s="262"/>
      <c r="I5" s="263"/>
      <c r="J5" s="2014"/>
      <c r="K5" s="2013"/>
      <c r="L5" s="2013"/>
      <c r="M5" s="2013"/>
      <c r="N5" s="2013"/>
      <c r="O5" s="2013"/>
      <c r="P5" s="2013"/>
      <c r="Q5" s="2013"/>
      <c r="R5" s="2013"/>
      <c r="S5" s="2013"/>
      <c r="T5" s="2013"/>
      <c r="U5" s="2013"/>
      <c r="V5" s="2013"/>
    </row>
    <row r="6" spans="1:22" ht="14.25">
      <c r="A6" s="4206"/>
      <c r="B6" s="4232"/>
      <c r="C6" s="4233"/>
      <c r="D6" s="4234"/>
      <c r="E6" s="261" t="s">
        <v>304</v>
      </c>
      <c r="F6" s="262"/>
      <c r="G6" s="262"/>
      <c r="H6" s="262"/>
      <c r="I6" s="263"/>
      <c r="J6" s="2014"/>
      <c r="K6" s="2013"/>
      <c r="L6" s="2013"/>
      <c r="M6" s="2013"/>
      <c r="N6" s="2013"/>
      <c r="O6" s="2013"/>
      <c r="P6" s="2013"/>
      <c r="Q6" s="2013"/>
      <c r="R6" s="2013"/>
      <c r="S6" s="2013"/>
      <c r="T6" s="2013"/>
      <c r="U6" s="2013"/>
      <c r="V6" s="2013"/>
    </row>
    <row r="7" spans="1:22" ht="14.25">
      <c r="A7" s="4206"/>
      <c r="B7" s="4232"/>
      <c r="C7" s="4231"/>
      <c r="D7" s="4234"/>
      <c r="E7" s="261" t="s">
        <v>305</v>
      </c>
      <c r="F7" s="262"/>
      <c r="G7" s="262"/>
      <c r="H7" s="262"/>
      <c r="I7" s="263"/>
      <c r="J7" s="2014"/>
      <c r="K7" s="2013"/>
      <c r="L7" s="2013"/>
      <c r="M7" s="2013"/>
      <c r="N7" s="2013"/>
      <c r="O7" s="2013"/>
      <c r="P7" s="2013"/>
      <c r="Q7" s="2013"/>
      <c r="R7" s="2013"/>
      <c r="S7" s="2013"/>
      <c r="T7" s="2013"/>
      <c r="U7" s="2013"/>
      <c r="V7" s="2013"/>
    </row>
    <row r="8" spans="1:22" ht="14.25">
      <c r="A8" s="4206" t="s">
        <v>306</v>
      </c>
      <c r="B8" s="4232">
        <v>15</v>
      </c>
      <c r="C8" s="4230"/>
      <c r="D8" s="4234"/>
      <c r="E8" s="261" t="s">
        <v>307</v>
      </c>
      <c r="F8" s="262"/>
      <c r="G8" s="262"/>
      <c r="H8" s="262"/>
      <c r="I8" s="263"/>
      <c r="J8" s="2014"/>
      <c r="K8" s="2013"/>
      <c r="L8" s="2013"/>
      <c r="M8" s="2013"/>
      <c r="N8" s="2013"/>
      <c r="O8" s="2013"/>
      <c r="P8" s="2013"/>
      <c r="Q8" s="2013"/>
      <c r="R8" s="2013"/>
      <c r="S8" s="2013"/>
      <c r="T8" s="2013"/>
      <c r="U8" s="2013"/>
      <c r="V8" s="2013"/>
    </row>
    <row r="9" spans="1:22" ht="14.25">
      <c r="A9" s="4206"/>
      <c r="B9" s="4232"/>
      <c r="C9" s="4231"/>
      <c r="D9" s="4234"/>
      <c r="E9" s="261" t="s">
        <v>308</v>
      </c>
      <c r="F9" s="262"/>
      <c r="G9" s="262"/>
      <c r="H9" s="262"/>
      <c r="I9" s="263"/>
      <c r="J9" s="2014"/>
      <c r="K9" s="2013"/>
      <c r="L9" s="2013"/>
      <c r="M9" s="2013"/>
      <c r="N9" s="2013"/>
      <c r="O9" s="2013"/>
      <c r="P9" s="2013"/>
      <c r="Q9" s="2013"/>
      <c r="R9" s="2013"/>
      <c r="S9" s="2013"/>
      <c r="T9" s="2013"/>
      <c r="U9" s="2013"/>
      <c r="V9" s="2013"/>
    </row>
    <row r="10" spans="1:22" ht="14.25">
      <c r="A10" s="4206" t="s">
        <v>309</v>
      </c>
      <c r="B10" s="4232">
        <v>15</v>
      </c>
      <c r="C10" s="4230"/>
      <c r="D10" s="4234"/>
      <c r="E10" s="261" t="s">
        <v>310</v>
      </c>
      <c r="F10" s="262"/>
      <c r="G10" s="262"/>
      <c r="H10" s="262"/>
      <c r="I10" s="263"/>
      <c r="J10" s="2014"/>
      <c r="K10" s="2013"/>
      <c r="L10" s="2013"/>
      <c r="M10" s="2013"/>
      <c r="N10" s="2013"/>
      <c r="O10" s="2013"/>
      <c r="P10" s="2013"/>
      <c r="Q10" s="2013"/>
      <c r="R10" s="2013"/>
      <c r="S10" s="2013"/>
      <c r="T10" s="2013"/>
      <c r="U10" s="2013"/>
      <c r="V10" s="2013"/>
    </row>
    <row r="11" spans="1:22" ht="14.25">
      <c r="A11" s="4206"/>
      <c r="B11" s="4232"/>
      <c r="C11" s="4231"/>
      <c r="D11" s="4234"/>
      <c r="E11" s="261" t="s">
        <v>311</v>
      </c>
      <c r="F11" s="262"/>
      <c r="G11" s="262"/>
      <c r="H11" s="262"/>
      <c r="I11" s="263"/>
      <c r="J11" s="2014"/>
      <c r="K11" s="2013"/>
      <c r="L11" s="2013"/>
      <c r="M11" s="2013"/>
      <c r="N11" s="2013"/>
      <c r="O11" s="2013"/>
      <c r="P11" s="2013"/>
      <c r="Q11" s="2013"/>
      <c r="R11" s="2013"/>
      <c r="S11" s="2013"/>
      <c r="T11" s="2013"/>
      <c r="U11" s="2013"/>
      <c r="V11" s="2013"/>
    </row>
    <row r="12" spans="1:22" ht="14.25">
      <c r="A12" s="4206" t="s">
        <v>312</v>
      </c>
      <c r="B12" s="4232">
        <v>15</v>
      </c>
      <c r="C12" s="4230"/>
      <c r="D12" s="4234"/>
      <c r="E12" s="261" t="s">
        <v>313</v>
      </c>
      <c r="F12" s="262"/>
      <c r="G12" s="262"/>
      <c r="H12" s="262"/>
      <c r="I12" s="263"/>
      <c r="J12" s="2014"/>
      <c r="K12" s="2013"/>
      <c r="L12" s="2013"/>
      <c r="M12" s="2013"/>
      <c r="N12" s="2013"/>
      <c r="O12" s="2013"/>
      <c r="P12" s="2013"/>
      <c r="Q12" s="2013"/>
      <c r="R12" s="2013"/>
      <c r="S12" s="2013"/>
      <c r="T12" s="2013"/>
      <c r="U12" s="2013"/>
      <c r="V12" s="2013"/>
    </row>
    <row r="13" spans="1:22" ht="14.25">
      <c r="A13" s="4206"/>
      <c r="B13" s="4232"/>
      <c r="C13" s="4231"/>
      <c r="D13" s="4234"/>
      <c r="E13" s="261" t="s">
        <v>314</v>
      </c>
      <c r="F13" s="262"/>
      <c r="G13" s="262"/>
      <c r="H13" s="262"/>
      <c r="I13" s="263"/>
      <c r="J13" s="2014"/>
      <c r="K13" s="2013"/>
      <c r="L13" s="2013"/>
      <c r="M13" s="2013"/>
      <c r="N13" s="2013"/>
      <c r="O13" s="2013"/>
      <c r="P13" s="2013"/>
      <c r="Q13" s="2013"/>
      <c r="R13" s="2013"/>
      <c r="S13" s="2013"/>
      <c r="T13" s="2013"/>
      <c r="U13" s="2013"/>
      <c r="V13" s="2013"/>
    </row>
    <row r="14" spans="1:22" ht="14.25">
      <c r="A14" s="4206" t="s">
        <v>315</v>
      </c>
      <c r="B14" s="4232">
        <v>30</v>
      </c>
      <c r="C14" s="4230">
        <v>40</v>
      </c>
      <c r="D14" s="4234">
        <v>60</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4206"/>
      <c r="B15" s="4232"/>
      <c r="C15" s="4233"/>
      <c r="D15" s="4234"/>
      <c r="E15" s="261" t="s">
        <v>317</v>
      </c>
      <c r="F15" s="262"/>
      <c r="G15" s="262"/>
      <c r="H15" s="262"/>
      <c r="I15" s="263"/>
      <c r="J15" s="2014"/>
      <c r="K15" s="2013"/>
      <c r="L15" s="2013"/>
      <c r="M15" s="2013"/>
      <c r="N15" s="2013"/>
      <c r="O15" s="2013"/>
      <c r="P15" s="2013"/>
      <c r="Q15" s="2013"/>
      <c r="R15" s="2013"/>
      <c r="S15" s="2013"/>
      <c r="T15" s="2013"/>
      <c r="U15" s="2013"/>
      <c r="V15" s="2013"/>
    </row>
    <row r="16" spans="1:22" ht="14.25">
      <c r="A16" s="4206"/>
      <c r="B16" s="4232"/>
      <c r="C16" s="4231"/>
      <c r="D16" s="4234"/>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40</v>
      </c>
      <c r="D17" s="265">
        <f>SUM(D5:D16)</f>
        <v>60</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6724</v>
      </c>
      <c r="D19" s="271">
        <f ca="1">SUMIF(INDIRECT("'"&amp;D4&amp;"'"&amp;"!A:A"),结果表!B19,INDIRECT("'"&amp;D4&amp;"'"&amp;"!B:B"))</f>
        <v>11407</v>
      </c>
      <c r="E19" s="268" t="s">
        <v>323</v>
      </c>
      <c r="F19" s="269" t="s">
        <v>322</v>
      </c>
      <c r="G19" s="272">
        <f ca="1">ROUND(C19*$C$18+D19*$D$18,0)</f>
        <v>9534</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993</v>
      </c>
      <c r="D20" s="277">
        <f ca="1">SUMIF(INDIRECT("'"&amp;D4&amp;"'"&amp;"!A:A"),结果表!B20,INDIRECT("'"&amp;D4&amp;"'"&amp;"!B:B"))</f>
        <v>1685</v>
      </c>
      <c r="E20" s="274"/>
      <c r="F20" s="275" t="s">
        <v>325</v>
      </c>
      <c r="G20" s="278">
        <f ca="1">ROUND(C20*$C$18+D20*$D$18,0)</f>
        <v>1408</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1213</v>
      </c>
      <c r="D21" s="151">
        <f ca="1">SUMIF(INDIRECT("'"&amp;D4&amp;"'"&amp;"!A:A"),结果表!B21,INDIRECT("'"&amp;D4&amp;"'"&amp;"!B:B"))</f>
        <v>2058</v>
      </c>
      <c r="E21" s="274"/>
      <c r="F21" s="280" t="s">
        <v>327</v>
      </c>
      <c r="G21" s="282">
        <f ca="1">ROUND(C21*$C$18+D21*$D$18,0)</f>
        <v>1720</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0.69646044021415832</v>
      </c>
      <c r="E22" s="284"/>
      <c r="F22" s="285"/>
      <c r="G22" s="286">
        <f ca="1">ROUND(G19/('数据-汇总表'!D3/666.67),0)</f>
        <v>115</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4212"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4213"/>
      <c r="B25" s="1317" t="s">
        <v>331</v>
      </c>
      <c r="C25" s="290">
        <f>IF(B30=0,0,C30)</f>
        <v>0</v>
      </c>
      <c r="D25" s="291"/>
      <c r="E25" s="311"/>
      <c r="F25" s="311"/>
      <c r="G25" s="311"/>
      <c r="H25" s="311"/>
      <c r="I25" s="311"/>
      <c r="J25" s="2013"/>
      <c r="K25" s="1251" t="str">
        <f ca="1">项目基本情况!B16&amp;"国有建设用地使用权价格："&amp;O38&amp;"万元"</f>
        <v>出让国有建设用地使用权价格：9534万元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大写金额：人民币玖仟伍佰叁拾肆万元整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单位面积地价：1720元/平方米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楼面地价：1408元/平方米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抵押价格：9534万元</v>
      </c>
      <c r="L29" s="1248"/>
      <c r="M29" s="1248"/>
      <c r="N29" s="1248"/>
      <c r="O29" s="1247"/>
      <c r="P29" s="2013"/>
      <c r="V29" s="2013"/>
    </row>
    <row r="30" spans="1:26" ht="18.75" thickBot="1">
      <c r="A30" s="3080" t="s">
        <v>336</v>
      </c>
      <c r="B30" s="309"/>
      <c r="C30" s="309"/>
      <c r="D30" s="310"/>
      <c r="E30" s="3081" t="s">
        <v>2963</v>
      </c>
      <c r="F30" s="311"/>
      <c r="G30" s="311"/>
      <c r="H30" s="311"/>
      <c r="I30" s="311"/>
      <c r="J30" s="2013"/>
      <c r="K30" s="1254" t="str">
        <f ca="1">IF(K29="——","——","大写金额：人民币"&amp;NUMBERSTRING(INT(O39*10000),2)&amp;"元整")</f>
        <v>大写金额：人民币玖仟伍佰叁拾肆万元整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9534</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1408</v>
      </c>
      <c r="D33" s="1381" t="s">
        <v>1691</v>
      </c>
      <c r="E33" s="4212"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2" t="s">
        <v>1692</v>
      </c>
      <c r="C34" s="264">
        <f ca="1">ROUND(C32*10000/'数据-汇总表'!D3,0)</f>
        <v>1720</v>
      </c>
      <c r="D34" s="1383" t="s">
        <v>1691</v>
      </c>
      <c r="E34" s="4253"/>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115</v>
      </c>
      <c r="D35" s="1386" t="s">
        <v>1693</v>
      </c>
      <c r="E35" s="4254"/>
      <c r="F35" s="301" t="s">
        <v>342</v>
      </c>
      <c r="G35" s="982"/>
      <c r="H35" s="981" t="s">
        <v>343</v>
      </c>
      <c r="I35" s="311"/>
      <c r="J35" s="2013"/>
      <c r="K35" s="4227" t="s">
        <v>350</v>
      </c>
      <c r="L35" s="4227" t="s">
        <v>351</v>
      </c>
      <c r="M35" s="1260" t="s">
        <v>352</v>
      </c>
      <c r="N35" s="4227" t="s">
        <v>353</v>
      </c>
      <c r="O35" s="4227" t="s">
        <v>354</v>
      </c>
      <c r="P35" s="2013"/>
      <c r="V35" s="2013"/>
    </row>
    <row r="36" spans="1:26" ht="16.5" customHeight="1">
      <c r="A36" s="303" t="s">
        <v>344</v>
      </c>
      <c r="B36" s="304" t="s">
        <v>333</v>
      </c>
      <c r="C36" s="305" t="s">
        <v>345</v>
      </c>
      <c r="D36" s="305" t="s">
        <v>346</v>
      </c>
      <c r="E36" s="306" t="s">
        <v>347</v>
      </c>
      <c r="F36" s="311"/>
      <c r="G36" s="311"/>
      <c r="H36" s="311"/>
      <c r="I36" s="311"/>
      <c r="J36" s="2015"/>
      <c r="K36" s="4228"/>
      <c r="L36" s="4228"/>
      <c r="M36" s="1262" t="s">
        <v>355</v>
      </c>
      <c r="N36" s="4228"/>
      <c r="O36" s="4228"/>
      <c r="P36" s="2013"/>
      <c r="V36" s="2013"/>
    </row>
    <row r="37" spans="1:26" ht="16.5" customHeight="1" thickBot="1">
      <c r="A37" s="1256" t="s">
        <v>348</v>
      </c>
      <c r="B37" s="307"/>
      <c r="C37" s="294"/>
      <c r="D37" s="294"/>
      <c r="E37" s="295"/>
      <c r="F37" s="311"/>
      <c r="G37" s="311"/>
      <c r="H37" s="311"/>
      <c r="I37" s="311"/>
      <c r="J37" s="2015"/>
      <c r="K37" s="4229"/>
      <c r="L37" s="4229"/>
      <c r="M37" s="1263"/>
      <c r="N37" s="4229"/>
      <c r="O37" s="4229"/>
      <c r="P37" s="2013"/>
      <c r="V37" s="2013"/>
    </row>
    <row r="38" spans="1:26" ht="16.5" customHeight="1" thickBot="1">
      <c r="A38" s="1256" t="s">
        <v>349</v>
      </c>
      <c r="B38" s="307"/>
      <c r="C38" s="294"/>
      <c r="D38" s="294"/>
      <c r="E38" s="295"/>
      <c r="F38" s="311"/>
      <c r="G38" s="311"/>
      <c r="H38" s="311"/>
      <c r="I38" s="311"/>
      <c r="J38" s="2015"/>
      <c r="K38" s="1264">
        <f>'数据-汇总表'!D3</f>
        <v>55432.25</v>
      </c>
      <c r="L38" s="1265">
        <f>'数据-汇总表'!E3</f>
        <v>67713.23</v>
      </c>
      <c r="M38" s="1265">
        <f ca="1">C34</f>
        <v>1720</v>
      </c>
      <c r="N38" s="1265">
        <f ca="1">C33</f>
        <v>1408</v>
      </c>
      <c r="O38" s="1266">
        <f ca="1">C32</f>
        <v>9534</v>
      </c>
      <c r="P38" s="2013"/>
      <c r="V38" s="2013"/>
    </row>
    <row r="39" spans="1:26" ht="16.5" customHeight="1" thickBot="1">
      <c r="A39" s="1261"/>
      <c r="B39" s="308"/>
      <c r="C39" s="309"/>
      <c r="D39" s="309"/>
      <c r="E39" s="310"/>
      <c r="F39" s="311"/>
      <c r="G39" s="311"/>
      <c r="H39" s="311"/>
      <c r="I39" s="311"/>
      <c r="J39" s="2015"/>
      <c r="K39" s="4272" t="str">
        <f>MID(A44,3,LEN(A44)-2)</f>
        <v>抵押价格</v>
      </c>
      <c r="L39" s="4273"/>
      <c r="M39" s="4273"/>
      <c r="N39" s="4274"/>
      <c r="O39" s="1388">
        <f ca="1">C44</f>
        <v>9534</v>
      </c>
      <c r="P39" s="2013"/>
      <c r="V39" s="2013"/>
    </row>
    <row r="40" spans="1:26" ht="19.5" thickBot="1">
      <c r="A40" s="104" t="s">
        <v>873</v>
      </c>
      <c r="B40" s="311"/>
      <c r="C40" s="311"/>
      <c r="D40" s="311"/>
      <c r="E40" s="311"/>
      <c r="F40" s="311"/>
      <c r="G40" s="311"/>
      <c r="H40" s="311"/>
      <c r="I40" s="311"/>
      <c r="J40" s="2015"/>
      <c r="K40" s="4272" t="str">
        <f t="shared" ref="K40:K41" si="0">MID(A45,3,LEN(A45)-2)</f>
        <v/>
      </c>
      <c r="L40" s="4273"/>
      <c r="M40" s="4273"/>
      <c r="N40" s="4274"/>
      <c r="O40" s="1388" t="str">
        <f>C45</f>
        <v>——</v>
      </c>
      <c r="P40" s="2013"/>
      <c r="V40" s="2013"/>
    </row>
    <row r="41" spans="1:26" ht="16.5" thickBot="1">
      <c r="A41" s="312" t="s">
        <v>356</v>
      </c>
      <c r="B41" s="313"/>
      <c r="C41" s="314" t="s">
        <v>357</v>
      </c>
      <c r="D41" s="315" t="s">
        <v>358</v>
      </c>
      <c r="E41" s="315" t="s">
        <v>359</v>
      </c>
      <c r="F41" s="316" t="s">
        <v>360</v>
      </c>
      <c r="G41" s="311"/>
      <c r="H41" s="311"/>
      <c r="I41" s="311"/>
      <c r="J41" s="2015"/>
      <c r="K41" s="4272" t="str">
        <f t="shared" si="0"/>
        <v/>
      </c>
      <c r="L41" s="4273"/>
      <c r="M41" s="4273"/>
      <c r="N41" s="4274"/>
      <c r="O41" s="1388" t="str">
        <f>C46</f>
        <v>——</v>
      </c>
      <c r="P41" s="2013"/>
      <c r="V41" s="2013"/>
    </row>
    <row r="42" spans="1:26" ht="29.25">
      <c r="A42" s="4214" t="s">
        <v>2067</v>
      </c>
      <c r="B42" s="4215"/>
      <c r="C42" s="264">
        <f ca="1">C32</f>
        <v>9534</v>
      </c>
      <c r="D42" s="317">
        <f ca="1">C33</f>
        <v>1408</v>
      </c>
      <c r="E42" s="317">
        <f ca="1">C34</f>
        <v>1720</v>
      </c>
      <c r="F42" s="318">
        <f ca="1">C35</f>
        <v>115</v>
      </c>
      <c r="G42" s="311"/>
      <c r="H42" s="311"/>
      <c r="I42" s="319"/>
      <c r="J42" s="2015"/>
      <c r="K42" s="1267" t="s">
        <v>361</v>
      </c>
      <c r="L42" s="2032" t="s">
        <v>362</v>
      </c>
      <c r="M42" s="1268" t="s">
        <v>363</v>
      </c>
      <c r="N42" s="2033" t="s">
        <v>364</v>
      </c>
      <c r="O42" s="2034" t="s">
        <v>365</v>
      </c>
      <c r="P42" s="2013"/>
      <c r="V42" s="2013"/>
    </row>
    <row r="43" spans="1:26" ht="30">
      <c r="A43" s="4225" t="s">
        <v>2728</v>
      </c>
      <c r="B43" s="4226"/>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6724</v>
      </c>
      <c r="M43" s="1271">
        <f>C18</f>
        <v>0.4</v>
      </c>
      <c r="N43" s="1272">
        <f ca="1">IF(N42="测算结果/万元",G19,G20)</f>
        <v>9534</v>
      </c>
      <c r="O43" s="1273">
        <f ca="1">IF(O42="最终结果/万元",C32,C33)</f>
        <v>9534</v>
      </c>
      <c r="P43" s="2013"/>
      <c r="V43" s="2013"/>
    </row>
    <row r="44" spans="1:26" ht="30.75" thickBot="1">
      <c r="A44" s="4214" t="str">
        <f>IF(OR(项目基本情况!E8="抵押价格",项目基本情况!E8="已注销及未注销"),"3.抵押价格","——")</f>
        <v>3.抵押价格</v>
      </c>
      <c r="B44" s="4215"/>
      <c r="C44" s="264">
        <f ca="1">IF(A44="——","——",C42-C43)</f>
        <v>9534</v>
      </c>
      <c r="D44" s="317">
        <f ca="1">ROUND(C44*10000/'数据-汇总表'!E3,0)</f>
        <v>1408</v>
      </c>
      <c r="E44" s="317">
        <f ca="1">ROUND(C44*10000/'数据-汇总表'!D3,0)</f>
        <v>1720</v>
      </c>
      <c r="F44" s="318">
        <f ca="1">ROUND(C44/('数据-汇总表'!D3/666.67),0)</f>
        <v>115</v>
      </c>
      <c r="G44" s="311"/>
      <c r="H44" s="311"/>
      <c r="I44" s="319"/>
      <c r="J44" s="2015"/>
      <c r="K44" s="1274" t="str">
        <f>D4</f>
        <v>剩余法-待开发</v>
      </c>
      <c r="L44" s="1275">
        <f ca="1">IF(L42="估价结果/万元",D19,D20)</f>
        <v>11407</v>
      </c>
      <c r="M44" s="1276">
        <f>D18</f>
        <v>0.6</v>
      </c>
      <c r="N44" s="1277"/>
      <c r="O44" s="1278"/>
      <c r="P44" s="2013"/>
      <c r="V44" s="2013"/>
    </row>
    <row r="45" spans="1:26" ht="15">
      <c r="A45" s="4220" t="str">
        <f>IF(项目基本情况!E8="已注销及未注销","4.抵押担保权已注销时的抵押价格",IF(项目基本情况!E8="已注销","3.抵押担保权已注销时的抵押价格","——"))</f>
        <v>——</v>
      </c>
      <c r="B45" s="4221"/>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4216" t="str">
        <f>IF(项目基本情况!E9="抵押净值",IF(A45="——","4.抵押净值","5.抵押净值"),"——")</f>
        <v>——</v>
      </c>
      <c r="B46" s="4217"/>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4261" t="s">
        <v>374</v>
      </c>
      <c r="B63" s="4262"/>
      <c r="C63" s="4263"/>
      <c r="D63" s="341">
        <f ca="1">ROUND(C42*F63,0)</f>
        <v>9534</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4222" t="s">
        <v>378</v>
      </c>
      <c r="B64" s="4223"/>
      <c r="C64" s="4223"/>
      <c r="D64" s="4223"/>
      <c r="E64" s="4223"/>
      <c r="F64" s="4223"/>
      <c r="G64" s="4224"/>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4218" t="s">
        <v>386</v>
      </c>
      <c r="B66" s="4219"/>
      <c r="C66" s="4219"/>
      <c r="D66" s="261">
        <f ca="1">IF(H66="情况1",0,IF(H66="情况2",D70,IF(H66="情况3",D71,IF(H66="情况4",D72))))</f>
        <v>499</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4276" t="s">
        <v>385</v>
      </c>
      <c r="M66" s="4277"/>
      <c r="N66" s="2422"/>
      <c r="O66" s="2423"/>
      <c r="P66" s="2424"/>
      <c r="Q66" s="2013"/>
      <c r="R66" s="2013"/>
      <c r="S66" s="2013"/>
      <c r="T66" s="2013"/>
      <c r="U66" s="2013"/>
      <c r="V66" s="2013"/>
    </row>
    <row r="67" spans="1:22" ht="25.5" customHeight="1">
      <c r="A67" s="352" t="s">
        <v>390</v>
      </c>
      <c r="B67" s="4209" t="s">
        <v>391</v>
      </c>
      <c r="C67" s="4209"/>
      <c r="D67" s="353">
        <v>0</v>
      </c>
      <c r="E67" s="41" t="s">
        <v>392</v>
      </c>
      <c r="F67" s="62" t="s">
        <v>21</v>
      </c>
      <c r="G67" s="4264"/>
      <c r="H67" s="311"/>
      <c r="I67" s="1288"/>
      <c r="J67" s="2020"/>
      <c r="K67" s="1961">
        <v>2</v>
      </c>
      <c r="L67" s="4275" t="s">
        <v>389</v>
      </c>
      <c r="M67" s="4275"/>
      <c r="N67" s="1321">
        <f>'数据-取费表'!B2</f>
        <v>43647</v>
      </c>
      <c r="O67" s="1321"/>
      <c r="P67" s="1321"/>
      <c r="Q67" s="2013"/>
      <c r="R67" s="2013"/>
      <c r="S67" s="2013"/>
      <c r="T67" s="2013"/>
      <c r="U67" s="2013"/>
      <c r="V67" s="2013"/>
    </row>
    <row r="68" spans="1:22" ht="25.5" customHeight="1">
      <c r="A68" s="354"/>
      <c r="B68" s="4209" t="s">
        <v>394</v>
      </c>
      <c r="C68" s="4209"/>
      <c r="D68" s="355"/>
      <c r="E68" s="77"/>
      <c r="F68" s="356"/>
      <c r="G68" s="4265"/>
      <c r="H68" s="311"/>
      <c r="I68" s="1288"/>
      <c r="J68" s="2020"/>
      <c r="K68" s="1961">
        <v>3</v>
      </c>
      <c r="L68" s="4275" t="s">
        <v>393</v>
      </c>
      <c r="M68" s="4275"/>
      <c r="N68" s="1289">
        <f ca="1">C42</f>
        <v>9534</v>
      </c>
      <c r="O68" s="1289"/>
      <c r="P68" s="1289"/>
      <c r="Q68" s="2013"/>
      <c r="R68" s="2013"/>
      <c r="S68" s="2013"/>
      <c r="T68" s="2013"/>
      <c r="U68" s="2013"/>
      <c r="V68" s="2013"/>
    </row>
    <row r="69" spans="1:22" ht="12" customHeight="1">
      <c r="A69" s="357"/>
      <c r="B69" s="4209" t="s">
        <v>395</v>
      </c>
      <c r="C69" s="4209"/>
      <c r="D69" s="358"/>
      <c r="E69" s="73"/>
      <c r="F69" s="356"/>
      <c r="G69" s="4266"/>
      <c r="H69" s="311"/>
      <c r="I69" s="1288"/>
      <c r="J69" s="2020"/>
      <c r="K69" s="1290">
        <v>4</v>
      </c>
      <c r="L69" s="4280" t="s">
        <v>2881</v>
      </c>
      <c r="M69" s="4281"/>
      <c r="N69" s="1291">
        <f ca="1">C44</f>
        <v>9534</v>
      </c>
      <c r="O69" s="1291"/>
      <c r="P69" s="1291"/>
      <c r="Q69" s="2013"/>
      <c r="R69" s="2013"/>
      <c r="S69" s="2013"/>
      <c r="T69" s="2013"/>
      <c r="U69" s="2013"/>
      <c r="V69" s="2013"/>
    </row>
    <row r="70" spans="1:22" ht="24" customHeight="1">
      <c r="A70" s="359" t="s">
        <v>396</v>
      </c>
      <c r="B70" s="4209" t="s">
        <v>397</v>
      </c>
      <c r="C70" s="4209"/>
      <c r="D70" s="358">
        <f ca="1">ROUND(D63*'数据-取费表'!B41/(1+'数据-取费表'!C42),0)</f>
        <v>499</v>
      </c>
      <c r="E70" s="17" t="s">
        <v>398</v>
      </c>
      <c r="F70" s="360">
        <f>'数据-取费表'!B41</f>
        <v>5.5000000000000007E-2</v>
      </c>
      <c r="G70" s="361"/>
      <c r="H70" s="311"/>
      <c r="I70" s="1288"/>
      <c r="J70" s="2020"/>
      <c r="K70" s="3013"/>
      <c r="L70" s="3014"/>
      <c r="M70" s="3014"/>
      <c r="N70" s="3015" t="s">
        <v>2885</v>
      </c>
      <c r="O70" s="3014"/>
      <c r="P70" s="3016"/>
      <c r="Q70" s="2013"/>
      <c r="R70" s="2013"/>
      <c r="S70" s="2013"/>
      <c r="T70" s="2013"/>
      <c r="U70" s="2013"/>
      <c r="V70" s="2013"/>
    </row>
    <row r="71" spans="1:22" ht="12" customHeight="1">
      <c r="A71" s="359" t="s">
        <v>404</v>
      </c>
      <c r="B71" s="4210" t="s">
        <v>405</v>
      </c>
      <c r="C71" s="4211"/>
      <c r="D71" s="358">
        <f ca="1">ROUND(D63*'数据-取费表'!B41/(1+'数据-取费表'!C42),0)</f>
        <v>499</v>
      </c>
      <c r="E71" s="17" t="s">
        <v>398</v>
      </c>
      <c r="F71" s="360">
        <f>'数据-取费表'!B41</f>
        <v>5.5000000000000007E-2</v>
      </c>
      <c r="G71" s="361"/>
      <c r="H71" s="311"/>
      <c r="I71" s="1288"/>
      <c r="J71" s="2020"/>
      <c r="K71" s="3012" t="s">
        <v>399</v>
      </c>
      <c r="L71" s="4282" t="s">
        <v>400</v>
      </c>
      <c r="M71" s="4282"/>
      <c r="N71" s="3012" t="s">
        <v>401</v>
      </c>
      <c r="O71" s="3012" t="s">
        <v>402</v>
      </c>
      <c r="P71" s="3012" t="s">
        <v>403</v>
      </c>
      <c r="Q71" s="2013"/>
      <c r="R71" s="2013"/>
      <c r="S71" s="2013"/>
      <c r="T71" s="2013"/>
      <c r="U71" s="2013"/>
      <c r="V71" s="2013"/>
    </row>
    <row r="72" spans="1:22" ht="12" customHeight="1">
      <c r="A72" s="359" t="s">
        <v>407</v>
      </c>
      <c r="B72" s="4210" t="s">
        <v>408</v>
      </c>
      <c r="C72" s="4211"/>
      <c r="D72" s="358">
        <f ca="1">C86</f>
        <v>389</v>
      </c>
      <c r="E72" s="73" t="s">
        <v>409</v>
      </c>
      <c r="F72" s="360">
        <f>'数据-取费表'!B41</f>
        <v>5.5000000000000007E-2</v>
      </c>
      <c r="G72" s="361"/>
      <c r="H72" s="1294"/>
      <c r="I72" s="1288"/>
      <c r="J72" s="2020"/>
      <c r="K72" s="1961">
        <v>1</v>
      </c>
      <c r="L72" s="4257" t="s">
        <v>406</v>
      </c>
      <c r="M72" s="4257"/>
      <c r="N72" s="1292">
        <f ca="1">D66</f>
        <v>499</v>
      </c>
      <c r="O72" s="1844" t="str">
        <f>E66</f>
        <v>销售额×税（费）率</v>
      </c>
      <c r="P72" s="1293">
        <f>F66</f>
        <v>5.5000000000000007E-2</v>
      </c>
      <c r="Q72" s="2013"/>
      <c r="R72" s="2013"/>
      <c r="S72" s="2013"/>
      <c r="T72" s="2013"/>
      <c r="U72" s="2013"/>
      <c r="V72" s="2013"/>
    </row>
    <row r="73" spans="1:22" ht="24" customHeight="1">
      <c r="A73" s="4251" t="s">
        <v>411</v>
      </c>
      <c r="B73" s="4219"/>
      <c r="C73" s="4219"/>
      <c r="D73" s="362">
        <f ca="1">IF(H73="个人住宅",0,ROUND(D63*I73,0))</f>
        <v>5</v>
      </c>
      <c r="E73" s="17" t="s">
        <v>412</v>
      </c>
      <c r="F73" s="360">
        <f>IF(H73="正常",I73,"免征")</f>
        <v>5.0000000000000001E-4</v>
      </c>
      <c r="G73" s="361"/>
      <c r="H73" s="191" t="s">
        <v>3011</v>
      </c>
      <c r="I73" s="360">
        <f>'数据-取费表'!B49</f>
        <v>5.0000000000000001E-4</v>
      </c>
      <c r="J73" s="2020"/>
      <c r="K73" s="1961">
        <v>2</v>
      </c>
      <c r="L73" s="4257" t="s">
        <v>410</v>
      </c>
      <c r="M73" s="4257"/>
      <c r="N73" s="1292">
        <f t="shared" ref="N73:P74" ca="1" si="1">D73</f>
        <v>5</v>
      </c>
      <c r="O73" s="1844" t="str">
        <f t="shared" si="1"/>
        <v>销售额×税（费）率</v>
      </c>
      <c r="P73" s="1293">
        <f t="shared" si="1"/>
        <v>5.0000000000000001E-4</v>
      </c>
      <c r="Q73" s="2013"/>
      <c r="R73" s="2013"/>
      <c r="S73" s="2013"/>
      <c r="T73" s="2013"/>
      <c r="U73" s="2013"/>
      <c r="V73" s="2013"/>
    </row>
    <row r="74" spans="1:22" ht="24.75">
      <c r="A74" s="4251" t="s">
        <v>415</v>
      </c>
      <c r="B74" s="4219"/>
      <c r="C74" s="4219"/>
      <c r="D74" s="362">
        <f ca="1">IF(H74="个人住宅",D75,D76)</f>
        <v>0</v>
      </c>
      <c r="E74" s="17" t="s">
        <v>416</v>
      </c>
      <c r="F74" s="360" t="str">
        <f>IF(H74="正常",F76,"免征")</f>
        <v>——</v>
      </c>
      <c r="G74" s="983" t="s">
        <v>417</v>
      </c>
      <c r="H74" s="363" t="s">
        <v>413</v>
      </c>
      <c r="I74" s="42"/>
      <c r="J74" s="2020"/>
      <c r="K74" s="1961">
        <v>3</v>
      </c>
      <c r="L74" s="4257" t="s">
        <v>414</v>
      </c>
      <c r="M74" s="4257"/>
      <c r="N74" s="1292">
        <f t="shared" ca="1" si="1"/>
        <v>0</v>
      </c>
      <c r="O74" s="1844" t="str">
        <f t="shared" si="1"/>
        <v>增值额×税（费）率</v>
      </c>
      <c r="P74" s="1295" t="str">
        <f t="shared" si="1"/>
        <v>——</v>
      </c>
      <c r="Q74" s="2013"/>
      <c r="R74" s="2013"/>
      <c r="S74" s="2013"/>
      <c r="T74" s="2013"/>
      <c r="U74" s="2013"/>
      <c r="V74" s="2013"/>
    </row>
    <row r="75" spans="1:22" ht="12.75">
      <c r="A75" s="359" t="s">
        <v>418</v>
      </c>
      <c r="B75" s="4207" t="s">
        <v>419</v>
      </c>
      <c r="C75" s="4237"/>
      <c r="D75" s="364">
        <v>0</v>
      </c>
      <c r="E75" s="41" t="s">
        <v>420</v>
      </c>
      <c r="F75" s="365"/>
      <c r="G75" s="361"/>
      <c r="H75" s="42"/>
      <c r="I75" s="42"/>
      <c r="J75" s="2020"/>
      <c r="K75" s="3005" t="str">
        <f>IF(H77="非个人房产","",4)</f>
        <v/>
      </c>
      <c r="L75" s="4257" t="str">
        <f>IF(H77="非个人房产","——","个人所得税")</f>
        <v>——</v>
      </c>
      <c r="M75" s="4257"/>
      <c r="N75" s="1296" t="str">
        <f>D77</f>
        <v>——</v>
      </c>
      <c r="O75" s="1857" t="str">
        <f>E77</f>
        <v>——</v>
      </c>
      <c r="P75" s="1297" t="str">
        <f>F77</f>
        <v>——</v>
      </c>
      <c r="Q75" s="2013"/>
      <c r="R75" s="2013"/>
      <c r="S75" s="2013"/>
      <c r="T75" s="2013"/>
      <c r="U75" s="2013"/>
      <c r="V75" s="2013"/>
    </row>
    <row r="76" spans="1:22" ht="24.75">
      <c r="A76" s="359" t="s">
        <v>396</v>
      </c>
      <c r="B76" s="4207" t="s">
        <v>422</v>
      </c>
      <c r="C76" s="4208"/>
      <c r="D76" s="362">
        <f ca="1">IF(H76="转让取得",C99,C115)</f>
        <v>0</v>
      </c>
      <c r="E76" s="17" t="s">
        <v>423</v>
      </c>
      <c r="F76" s="53" t="s">
        <v>21</v>
      </c>
      <c r="G76" s="361"/>
      <c r="H76" s="363" t="s">
        <v>424</v>
      </c>
      <c r="I76" s="42"/>
      <c r="J76" s="2020"/>
      <c r="K76" s="3005" t="str">
        <f>IF(项目基本情况!K6="上海银行",IF(K75="",4,K75+1),"")</f>
        <v/>
      </c>
      <c r="L76" s="4268" t="str">
        <f>IF(项目基本情况!K6="上海银行","其他处置费用","")</f>
        <v/>
      </c>
      <c r="M76" s="4269"/>
      <c r="N76" s="1292" t="str">
        <f>IF(项目基本情况!K6="上海银行",N89,"")</f>
        <v/>
      </c>
      <c r="O76" s="4270" t="str">
        <f>IF(项目基本情况!K6="上海银行","包含处置中涉及的律师、诉讼、拍卖、评估等费用","")</f>
        <v/>
      </c>
      <c r="P76" s="4271"/>
      <c r="Q76" s="2013"/>
      <c r="R76" s="2013"/>
      <c r="S76" s="2013"/>
      <c r="T76" s="2013"/>
      <c r="U76" s="2013"/>
      <c r="V76" s="2013"/>
    </row>
    <row r="77" spans="1:22" ht="24.75" thickBot="1">
      <c r="A77" s="4259" t="s">
        <v>426</v>
      </c>
      <c r="B77" s="4260"/>
      <c r="C77" s="4260"/>
      <c r="D77" s="366" t="str">
        <f>IF(H77="非个人房产","——",IF(H77="个人住宅",0,ROUND(D63*I77,0)))</f>
        <v>——</v>
      </c>
      <c r="E77" s="367" t="str">
        <f>IF(H77="非个人房产","——","销售额×税（费）率")</f>
        <v>——</v>
      </c>
      <c r="F77" s="368" t="str">
        <f>IF(H77="非个人房产","——",IF(H77="个人住宅","免征",I77))</f>
        <v>——</v>
      </c>
      <c r="G77" s="984" t="s">
        <v>417</v>
      </c>
      <c r="H77" s="363" t="s">
        <v>3788</v>
      </c>
      <c r="I77" s="369">
        <v>0.01</v>
      </c>
      <c r="J77" s="2020"/>
      <c r="K77" s="4258">
        <f>IF(AND(K75="",K76=""),4,IF(项目基本情况!K6="上海银行",K76+1,K75+1))</f>
        <v>4</v>
      </c>
      <c r="L77" s="4257" t="s">
        <v>2882</v>
      </c>
      <c r="M77" s="3011" t="s">
        <v>421</v>
      </c>
      <c r="N77" s="1298"/>
      <c r="O77" s="1299">
        <f ca="1">SUMIF(N72:N76,"&lt;9e307")</f>
        <v>504</v>
      </c>
      <c r="P77" s="1300"/>
      <c r="Q77" s="3009">
        <f ca="1">O77/N69</f>
        <v>5.2863436123348019E-2</v>
      </c>
      <c r="R77" s="2013"/>
      <c r="S77" s="2013"/>
      <c r="T77" s="2013"/>
      <c r="U77" s="2013"/>
      <c r="V77" s="2013"/>
    </row>
    <row r="78" spans="1:22" ht="12" customHeight="1">
      <c r="A78" s="1301"/>
      <c r="B78" s="311"/>
      <c r="C78" s="311"/>
      <c r="D78" s="311"/>
      <c r="E78" s="42"/>
      <c r="F78" s="42"/>
      <c r="G78" s="42"/>
      <c r="H78" s="1003"/>
      <c r="I78" s="311"/>
      <c r="J78" s="2020"/>
      <c r="K78" s="4258"/>
      <c r="L78" s="4257"/>
      <c r="M78" s="3011" t="s">
        <v>425</v>
      </c>
      <c r="N78" s="1298"/>
      <c r="O78" s="1299" t="str">
        <f ca="1">NUMBERSTRING(INT(O77*10000),2)&amp;"元整"</f>
        <v>伍佰零肆万元整</v>
      </c>
      <c r="P78" s="1300"/>
      <c r="Q78" s="2013"/>
      <c r="R78" s="2013"/>
      <c r="S78" s="2013"/>
      <c r="T78" s="2013"/>
      <c r="U78" s="2013"/>
      <c r="V78" s="2013"/>
    </row>
    <row r="79" spans="1:22" ht="13.5" thickBot="1">
      <c r="A79" s="4252" t="s">
        <v>427</v>
      </c>
      <c r="B79" s="4252"/>
      <c r="C79" s="4252"/>
      <c r="D79" s="4252"/>
      <c r="E79" s="4252"/>
      <c r="F79" s="42"/>
      <c r="G79" s="42"/>
      <c r="H79" s="1003"/>
      <c r="I79" s="311"/>
      <c r="J79" s="2020"/>
      <c r="K79" s="4278">
        <f>K77+1</f>
        <v>5</v>
      </c>
      <c r="L79" s="4257" t="s">
        <v>2883</v>
      </c>
      <c r="M79" s="3011" t="s">
        <v>421</v>
      </c>
      <c r="N79" s="1298"/>
      <c r="O79" s="1299">
        <f ca="1">N69-O77</f>
        <v>9030</v>
      </c>
      <c r="P79" s="1300"/>
      <c r="Q79" s="2013"/>
      <c r="R79" s="2013"/>
      <c r="S79" s="2013"/>
      <c r="T79" s="2013"/>
      <c r="U79" s="2013"/>
      <c r="V79" s="2013"/>
    </row>
    <row r="80" spans="1:22" ht="25.5">
      <c r="A80" s="4247" t="s">
        <v>428</v>
      </c>
      <c r="B80" s="4248"/>
      <c r="C80" s="994"/>
      <c r="D80" s="994" t="s">
        <v>429</v>
      </c>
      <c r="E80" s="370" t="s">
        <v>430</v>
      </c>
      <c r="F80" s="42"/>
      <c r="G80" s="42"/>
      <c r="H80" s="1003"/>
      <c r="I80" s="311"/>
      <c r="J80" s="2013"/>
      <c r="K80" s="4279"/>
      <c r="L80" s="4257"/>
      <c r="M80" s="3011" t="s">
        <v>425</v>
      </c>
      <c r="N80" s="1298"/>
      <c r="O80" s="1299" t="str">
        <f ca="1">NUMBERSTRING(INT(O79*10000),2)&amp;"元整"</f>
        <v>玖仟零叁拾万元整</v>
      </c>
      <c r="P80" s="1300"/>
      <c r="Q80" s="2013"/>
      <c r="R80" s="2013"/>
      <c r="S80" s="2013"/>
      <c r="T80" s="2013"/>
      <c r="U80" s="2013"/>
      <c r="V80" s="2013"/>
    </row>
    <row r="81" spans="1:26" ht="13.5" thickBot="1">
      <c r="A81" s="381" t="s">
        <v>1823</v>
      </c>
      <c r="B81" s="371" t="s">
        <v>431</v>
      </c>
      <c r="C81" s="372">
        <f ca="1">ROUND((C82+C83)/(1+'数据-取费表'!C42),0)</f>
        <v>9080</v>
      </c>
      <c r="D81" s="373"/>
      <c r="E81" s="374"/>
      <c r="F81" s="42"/>
      <c r="G81" s="42"/>
      <c r="H81" s="1003"/>
      <c r="I81" s="311"/>
      <c r="J81" s="2013"/>
      <c r="K81" s="3005">
        <f>K79+1</f>
        <v>6</v>
      </c>
      <c r="L81" s="4255" t="s">
        <v>2884</v>
      </c>
      <c r="M81" s="4256"/>
      <c r="N81" s="1302"/>
      <c r="O81" s="1303">
        <f ca="1">ROUND(O79*10000/'数据-汇总表'!E3,0)</f>
        <v>1334</v>
      </c>
      <c r="P81" s="1304"/>
      <c r="Q81" s="2013"/>
      <c r="R81" s="2013"/>
      <c r="S81" s="2013"/>
      <c r="T81" s="2013"/>
      <c r="U81" s="2013"/>
      <c r="V81" s="2013"/>
    </row>
    <row r="82" spans="1:26" ht="13.5" thickTop="1">
      <c r="A82" s="375" t="s">
        <v>1824</v>
      </c>
      <c r="B82" s="376" t="s">
        <v>432</v>
      </c>
      <c r="C82" s="377">
        <f ca="1">D63</f>
        <v>9534</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4267" t="s">
        <v>2872</v>
      </c>
      <c r="L83" s="3017" t="s">
        <v>2873</v>
      </c>
      <c r="M83" s="3007">
        <f ca="1">IF(N69&gt;10000,N69*0.5%,IF(AND(N69&gt;1000,N69&lt;=10000),N69*1%,IF(AND(N69&gt;100,N69&lt;=1000),N69*3%,IF(AND(N69&gt;10,N69&lt;=100),N69*5%,N69*8%))))</f>
        <v>95.34</v>
      </c>
      <c r="N83" s="53">
        <f ca="1">ROUND(M83,1)</f>
        <v>95.3</v>
      </c>
      <c r="O83" s="3010"/>
      <c r="P83" s="2013"/>
      <c r="Q83" s="2013"/>
      <c r="R83" s="2013"/>
      <c r="S83" s="2013"/>
      <c r="T83" s="2013"/>
      <c r="U83" s="2013"/>
      <c r="V83" s="2013"/>
    </row>
    <row r="84" spans="1:26" ht="12.75">
      <c r="A84" s="381" t="s">
        <v>1826</v>
      </c>
      <c r="B84" s="382" t="s">
        <v>434</v>
      </c>
      <c r="C84" s="383">
        <v>2000</v>
      </c>
      <c r="D84" s="384" t="s">
        <v>19</v>
      </c>
      <c r="E84" s="3051" t="s">
        <v>2936</v>
      </c>
      <c r="F84" s="42"/>
      <c r="G84" s="42"/>
      <c r="H84" s="1003"/>
      <c r="I84" s="311"/>
      <c r="J84" s="2013"/>
      <c r="K84" s="4267"/>
      <c r="L84" s="3017" t="s">
        <v>2874</v>
      </c>
      <c r="M84" s="3007">
        <f ca="1">IF(N69&gt;2000,N69*0.5%,IF(AND(N69&gt;1000,N69&lt;=2000),N69*0.6%,IF(AND(N69&gt;500,N69&lt;=1000),N69*0.7%,IF(AND(N69&gt;200,N69&lt;=500),N69*0.8%,IF(AND(N69&gt;100,N69&lt;=200),N69*0.9%,IF(AND(N69&gt;50,N69&lt;=100),N69*1%,IF(AND(N69&gt;20,N69&lt;=50),N69*1.5%,IF(AND(N69&gt;10,N69&lt;=20),N69*2%,IF(AND(N69&gt;1,N69&lt;=10),N69*2.5%)))))))))</f>
        <v>47.67</v>
      </c>
      <c r="N84" s="53">
        <f t="shared" ref="N84:N85" ca="1" si="2">ROUND(M84,1)</f>
        <v>47.7</v>
      </c>
      <c r="O84" s="2013" t="s">
        <v>2875</v>
      </c>
      <c r="P84" s="2013"/>
      <c r="Q84" s="2013"/>
      <c r="R84" s="2013"/>
      <c r="S84" s="2013"/>
      <c r="T84" s="2013"/>
      <c r="U84" s="2013"/>
      <c r="V84" s="2013"/>
    </row>
    <row r="85" spans="1:26" ht="12.75">
      <c r="A85" s="381" t="s">
        <v>1827</v>
      </c>
      <c r="B85" s="382" t="s">
        <v>435</v>
      </c>
      <c r="C85" s="385">
        <f ca="1">C81-C84</f>
        <v>7080</v>
      </c>
      <c r="D85" s="378" t="s">
        <v>19</v>
      </c>
      <c r="E85" s="379"/>
      <c r="F85" s="42"/>
      <c r="G85" s="42"/>
      <c r="H85" s="1003"/>
      <c r="I85" s="311"/>
      <c r="J85" s="2013"/>
      <c r="K85" s="4267"/>
      <c r="L85" s="3017" t="s">
        <v>2876</v>
      </c>
      <c r="M85" s="3007">
        <f ca="1">IF(N69&gt;1000,N69*0.1%,IF(AND(N69&gt;500,N69&lt;=1000),N69*0.5%,IF(AND(N69&gt;50,N69&lt;=500),N69*1%,IF(AND(N69&gt;1,N69&lt;=50),N69*1.5%))))</f>
        <v>9.5340000000000007</v>
      </c>
      <c r="N85" s="53">
        <f t="shared" ca="1" si="2"/>
        <v>9.5</v>
      </c>
      <c r="O85" s="2013" t="s">
        <v>2875</v>
      </c>
      <c r="P85" s="2013"/>
      <c r="Q85" s="2013"/>
      <c r="R85" s="2013"/>
      <c r="S85" s="2013"/>
      <c r="T85" s="2013"/>
      <c r="U85" s="2013"/>
      <c r="V85" s="2013"/>
    </row>
    <row r="86" spans="1:26" ht="13.5" thickBot="1">
      <c r="A86" s="386" t="s">
        <v>1828</v>
      </c>
      <c r="B86" s="387" t="s">
        <v>436</v>
      </c>
      <c r="C86" s="388">
        <f ca="1">IF(C85&lt;=0,0,ROUND(C85*D86,0))</f>
        <v>389</v>
      </c>
      <c r="D86" s="389">
        <f>'数据-取费表'!B41</f>
        <v>5.5000000000000007E-2</v>
      </c>
      <c r="E86" s="390"/>
      <c r="F86" s="42"/>
      <c r="G86" s="42"/>
      <c r="H86" s="1003"/>
      <c r="I86" s="311"/>
      <c r="J86" s="2013"/>
      <c r="K86" s="4267"/>
      <c r="L86" s="3017" t="s">
        <v>2877</v>
      </c>
      <c r="M86" s="3007">
        <f ca="1">N69*0.5%</f>
        <v>47.67</v>
      </c>
      <c r="N86" s="53">
        <f ca="1">IF(M86&gt;0.5,0.5,ROUND(M86,0))</f>
        <v>0.5</v>
      </c>
      <c r="O86" s="2013" t="s">
        <v>2878</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4267"/>
      <c r="L87" s="3017" t="s">
        <v>2879</v>
      </c>
      <c r="M87" s="3007">
        <f ca="1">IF(N69&gt;=10000,(8.25+(N69-10000)*0.01%),IF(AND(N69&gt;=8000,N69&lt;10000),(7.85+(N69-8000)*0.02%),IF(AND(N69&gt;=5000,N69&lt;8000),(6.65+(N69-5000)*0.04%),IF(AND(N69&gt;=2000,N69&lt;5000),(4.25+(PN69-2000)*0.08%),IF(AND(N69&gt;=1000,N69&lt;2000),(2.75+(N69-1000)*0.15%),IF(AND(N69&gt;=100,N69&lt;1000),(0.5+(N69-100)*0.25%),IF(AND(N69&gt;0,N69&lt;100),N69*0.5%)))))))</f>
        <v>8.1568000000000005</v>
      </c>
      <c r="N87" s="53">
        <f ca="1">ROUND(M87*0.9,1)</f>
        <v>7.3</v>
      </c>
      <c r="O87" s="3010"/>
      <c r="P87" s="311"/>
      <c r="Q87" s="2013"/>
      <c r="R87" s="2013"/>
      <c r="S87" s="2013"/>
      <c r="T87" s="2013"/>
      <c r="U87" s="2013"/>
      <c r="V87" s="2013"/>
      <c r="W87" s="292"/>
      <c r="X87" s="292"/>
      <c r="Y87" s="292"/>
      <c r="Z87" s="292"/>
    </row>
    <row r="88" spans="1:26" s="1310" customFormat="1" ht="15" thickBot="1">
      <c r="A88" s="4249" t="s">
        <v>437</v>
      </c>
      <c r="B88" s="4250"/>
      <c r="C88" s="4250"/>
      <c r="D88" s="4250"/>
      <c r="E88" s="4250"/>
      <c r="F88" s="4250"/>
      <c r="G88" s="4250"/>
      <c r="H88" s="4250"/>
      <c r="I88" s="1311"/>
      <c r="J88" s="2021"/>
      <c r="K88" s="4267"/>
      <c r="L88" s="3017" t="s">
        <v>2880</v>
      </c>
      <c r="M88" s="3007">
        <f ca="1">IF(N69&gt;10000,N69*0.5%,IF(AND(N69&gt;5000,N69&lt;=10000),N69*1%,IF(AND(N69&gt;1000,N69&lt;=5000),N69*2%,IF(AND(N69&gt;200,N69&lt;=1000),N69*3%,N69*5%))))</f>
        <v>95.34</v>
      </c>
      <c r="N88" s="53">
        <f ca="1">ROUND(M88,1)</f>
        <v>95.3</v>
      </c>
      <c r="O88" s="3010"/>
      <c r="P88" s="11"/>
      <c r="Q88" s="2018"/>
      <c r="R88" s="2018"/>
      <c r="S88" s="2018"/>
      <c r="T88" s="2018"/>
      <c r="U88" s="2018"/>
      <c r="V88" s="2018"/>
      <c r="W88" s="2022"/>
      <c r="X88" s="2022"/>
      <c r="Y88" s="2022"/>
      <c r="Z88" s="2022"/>
    </row>
    <row r="89" spans="1:26" s="1310" customFormat="1" ht="14.25">
      <c r="A89" s="4247" t="s">
        <v>428</v>
      </c>
      <c r="B89" s="4248"/>
      <c r="C89" s="994"/>
      <c r="D89" s="994" t="s">
        <v>429</v>
      </c>
      <c r="E89" s="391" t="s">
        <v>438</v>
      </c>
      <c r="F89" s="392"/>
      <c r="G89" s="392"/>
      <c r="H89" s="393"/>
      <c r="I89" s="1312"/>
      <c r="J89" s="2023"/>
      <c r="K89" s="4267"/>
      <c r="L89" s="3017" t="s">
        <v>27</v>
      </c>
      <c r="M89" s="3008"/>
      <c r="N89" s="53">
        <f ca="1">ROUND(SUM(N83:N88),0)</f>
        <v>256</v>
      </c>
      <c r="O89" s="3018">
        <f ca="1">N89/N69</f>
        <v>2.685126914201804E-2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9080</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2603</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2558</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4210" t="s">
        <v>447</v>
      </c>
      <c r="F94" s="4209"/>
      <c r="G94" s="4209"/>
      <c r="H94" s="4246"/>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58</v>
      </c>
      <c r="D95" s="402">
        <f>'数据-取费表'!B48+'数据-取费表'!B49</f>
        <v>3.0499999999999999E-2</v>
      </c>
      <c r="E95" s="26" t="s">
        <v>449</v>
      </c>
      <c r="F95" s="403"/>
      <c r="G95" s="404" t="s">
        <v>3789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45</v>
      </c>
      <c r="D96" s="406">
        <f>'数据-取费表'!B43</f>
        <v>5.000000000000001E-3</v>
      </c>
      <c r="E96" s="4238" t="s">
        <v>2428</v>
      </c>
      <c r="F96" s="4239"/>
      <c r="G96" s="4239"/>
      <c r="H96" s="4240"/>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6477</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2.4882827506723011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2975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4249" t="s">
        <v>454</v>
      </c>
      <c r="B101" s="4250"/>
      <c r="C101" s="4250"/>
      <c r="D101" s="4250"/>
      <c r="E101" s="4250"/>
      <c r="F101" s="4250"/>
      <c r="G101" s="4250"/>
      <c r="H101" s="4250"/>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4247" t="s">
        <v>428</v>
      </c>
      <c r="B102" s="4248"/>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9080</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9693.7999999999993</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8771.7999999999993</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f>110*77.38</f>
        <v>8511.7999999999993</v>
      </c>
      <c r="D106" s="406"/>
      <c r="E106" s="417" t="s">
        <v>457</v>
      </c>
      <c r="F106" s="986"/>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260</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0</v>
      </c>
      <c r="D109" s="406"/>
      <c r="E109" s="4241" t="s">
        <v>462</v>
      </c>
      <c r="F109" s="4239"/>
      <c r="G109" s="4239"/>
      <c r="H109" s="1926" t="s">
        <v>2279</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877</v>
      </c>
      <c r="D110" s="406">
        <v>0.1</v>
      </c>
      <c r="E110" s="4241" t="s">
        <v>464</v>
      </c>
      <c r="F110" s="4239"/>
      <c r="G110" s="4239"/>
      <c r="H110" s="4240"/>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45</v>
      </c>
      <c r="D111" s="406">
        <f>'数据-取费表'!B43</f>
        <v>5.000000000000001E-3</v>
      </c>
      <c r="E111" s="4238" t="s">
        <v>2428</v>
      </c>
      <c r="F111" s="4239"/>
      <c r="G111" s="4239"/>
      <c r="H111" s="4240"/>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4241" t="s">
        <v>2452</v>
      </c>
      <c r="F112" s="4239"/>
      <c r="G112" s="4239"/>
      <c r="H112" s="4240"/>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-614</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4056" t="str">
        <f>项目基本情况!B1</f>
        <v>出让国有建设用地使用权抵押价格预评估</v>
      </c>
      <c r="C37" s="4056"/>
      <c r="D37" s="4056"/>
      <c r="E37" s="4056"/>
      <c r="F37" s="4056"/>
      <c r="G37" s="4056"/>
      <c r="H37" s="4056"/>
      <c r="I37" s="4056"/>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22" sqref="D22"/>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11407</v>
      </c>
      <c r="C2" s="2089"/>
      <c r="D2" s="2089"/>
      <c r="E2" s="2089"/>
      <c r="F2" s="2089"/>
      <c r="G2" s="2089"/>
      <c r="H2" s="2089"/>
      <c r="I2" s="2089"/>
      <c r="J2" s="2089"/>
      <c r="K2" s="2089"/>
    </row>
    <row r="3" spans="1:31" s="2026" customFormat="1" ht="18" customHeight="1">
      <c r="A3" s="2091" t="s">
        <v>1684</v>
      </c>
      <c r="B3" s="2092">
        <f ca="1">ROUND(B2*10000/IF(B1="",'数据-汇总表'!E3,INDIRECT("'数据-取费表'!K"&amp;$K$1)),0)</f>
        <v>1685</v>
      </c>
      <c r="C3" s="2089"/>
      <c r="D3" s="2089"/>
      <c r="E3" s="2089"/>
      <c r="F3" s="2089"/>
      <c r="G3" s="2089"/>
      <c r="H3" s="2089"/>
      <c r="I3" s="2089"/>
      <c r="J3" s="2089"/>
      <c r="K3" s="2089"/>
    </row>
    <row r="4" spans="1:31" s="2026" customFormat="1" ht="18" customHeight="1">
      <c r="A4" s="426" t="s">
        <v>468</v>
      </c>
      <c r="B4" s="427">
        <f ca="1">ROUND(B2*10000/IF(B1="",'数据-汇总表'!D3,INDIRECT("'数据-取费表'!R"&amp;$K$1)),0)</f>
        <v>2058</v>
      </c>
      <c r="C4" s="428"/>
      <c r="D4" s="422"/>
      <c r="E4" s="422"/>
      <c r="F4" s="422"/>
      <c r="G4" s="422"/>
      <c r="H4" s="422"/>
      <c r="I4" s="422"/>
      <c r="J4" s="422"/>
      <c r="K4" s="422"/>
    </row>
    <row r="5" spans="1:31" s="2026" customFormat="1" ht="18" customHeight="1" thickBot="1">
      <c r="A5" s="429"/>
      <c r="B5" s="430">
        <f ca="1">ROUND(B2/(IF(B1="",'数据-汇总表'!D3,INDIRECT("'数据-取费表'!R"&amp;$K$1))/666.67),0)</f>
        <v>137</v>
      </c>
      <c r="C5" s="431" t="s">
        <v>469</v>
      </c>
      <c r="D5" s="422"/>
      <c r="E5" s="422"/>
      <c r="F5" s="422"/>
      <c r="G5" s="422"/>
      <c r="H5" s="422"/>
      <c r="I5" s="422"/>
      <c r="J5" s="422"/>
      <c r="K5" s="422"/>
    </row>
    <row r="6" spans="1:31" s="2096" customFormat="1" ht="16.5" customHeight="1">
      <c r="A6" s="2783" t="s">
        <v>1842</v>
      </c>
      <c r="B6" s="2784"/>
      <c r="C6" s="2785">
        <f ca="1">SUM(C10:K10)</f>
        <v>33141</v>
      </c>
      <c r="D6" s="2784"/>
      <c r="E6" s="2784"/>
      <c r="F6" s="2784"/>
      <c r="G6" s="2784"/>
      <c r="H6" s="2784"/>
      <c r="I6" s="2784"/>
      <c r="J6" s="2784"/>
      <c r="K6" s="2786"/>
    </row>
    <row r="7" spans="1:31" s="2098" customFormat="1" ht="15">
      <c r="A7" s="2787" t="s">
        <v>470</v>
      </c>
      <c r="B7" s="2788" t="s">
        <v>471</v>
      </c>
      <c r="C7" s="436" t="s">
        <v>923</v>
      </c>
      <c r="D7" s="436" t="s">
        <v>2996</v>
      </c>
      <c r="E7" s="436" t="s">
        <v>2997</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'不动产比较法-住宅'!B3</f>
        <v>6525</v>
      </c>
      <c r="D8" s="2789">
        <f>'不动产比较法-商业'!B3</f>
        <v>11396</v>
      </c>
      <c r="E8" s="2789">
        <f ca="1">'不动产收益法 (车库)'!B3</f>
        <v>1734</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40703.160000000003</v>
      </c>
      <c r="D9" s="441">
        <f>SUMIF('数据-汇总表'!$C19:$C33,'剩余法-待开发'!D7,'数据-汇总表'!$E19:$E33)</f>
        <v>3014.85</v>
      </c>
      <c r="E9" s="441">
        <f>SUMIF('数据-汇总表'!$C19:$C33,'剩余法-待开发'!E7,'数据-汇总表'!$E19:$E33)</f>
        <v>18144.46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'不动产比较法-住宅'!B2</f>
        <v>26559</v>
      </c>
      <c r="D10" s="2981">
        <f>'不动产比较法-商业'!B2</f>
        <v>3436</v>
      </c>
      <c r="E10" s="2981">
        <f ca="1">'不动产收益法 (车库)'!B2</f>
        <v>3146</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11193</v>
      </c>
      <c r="D13" s="2799"/>
      <c r="E13" s="2800"/>
      <c r="F13" s="2801"/>
      <c r="G13" s="2767"/>
      <c r="H13" s="2768"/>
      <c r="I13" s="2768"/>
      <c r="J13" s="2768"/>
      <c r="K13" s="2769"/>
    </row>
    <row r="14" spans="1:31" s="2101" customFormat="1" ht="13.5" customHeight="1">
      <c r="A14" s="2797" t="s">
        <v>1849</v>
      </c>
      <c r="B14" s="2798" t="s">
        <v>480</v>
      </c>
      <c r="C14" s="53">
        <f ca="1">ROUND(C13*F14,0)</f>
        <v>336</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220</v>
      </c>
      <c r="D15" s="2799"/>
      <c r="E15" s="2800"/>
      <c r="F15" s="2802">
        <f>'数据-取费表'!B34</f>
        <v>0.03</v>
      </c>
      <c r="G15" s="2767" t="s">
        <v>483</v>
      </c>
      <c r="H15" s="2768"/>
      <c r="I15" s="2768"/>
      <c r="J15" s="2768"/>
      <c r="K15" s="2769"/>
    </row>
    <row r="16" spans="1:31" s="2102" customFormat="1" ht="13.5" customHeight="1">
      <c r="A16" s="2797" t="s">
        <v>1851</v>
      </c>
      <c r="B16" s="2798" t="s">
        <v>484</v>
      </c>
      <c r="C16" s="53">
        <f ca="1">ROUND(D16*E16/10000,0)</f>
        <v>813</v>
      </c>
      <c r="D16" s="2799">
        <f ca="1">IF(B1="",'数据-汇总表'!E3,INDIRECT("'数据-取费表'!K"&amp;$K$1)+INDIRECT("'数据-取费表'!S"&amp;$K$1))</f>
        <v>67713.23</v>
      </c>
      <c r="E16" s="53">
        <f>'数据-取费表'!B35</f>
        <v>120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168</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12730</v>
      </c>
      <c r="D18" s="2808"/>
      <c r="E18" s="468"/>
      <c r="F18" s="468"/>
      <c r="G18" s="2771" t="s">
        <v>2429</v>
      </c>
      <c r="H18" s="2772"/>
      <c r="I18" s="2772"/>
      <c r="J18" s="2772"/>
      <c r="K18" s="2773"/>
    </row>
    <row r="19" spans="1:14" s="2101" customFormat="1" ht="13.5" customHeight="1">
      <c r="A19" s="2805" t="s">
        <v>1854</v>
      </c>
      <c r="B19" s="2806" t="s">
        <v>488</v>
      </c>
      <c r="C19" s="2763">
        <f ca="1">ROUND(D19*E19/10000,0)</f>
        <v>0</v>
      </c>
      <c r="D19" s="2809">
        <f ca="1">D16</f>
        <v>67713.23</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1219</v>
      </c>
      <c r="D20" s="2809"/>
      <c r="E20" s="2763"/>
      <c r="F20" s="2810"/>
      <c r="G20" s="3039"/>
      <c r="H20" s="2765"/>
      <c r="I20" s="2766" t="s">
        <v>2649</v>
      </c>
      <c r="J20" s="2772"/>
      <c r="K20" s="2773"/>
    </row>
    <row r="21" spans="1:14" s="2101" customFormat="1" ht="13.5" customHeight="1">
      <c r="A21" s="2797" t="s">
        <v>1856</v>
      </c>
      <c r="B21" s="2798" t="s">
        <v>491</v>
      </c>
      <c r="C21" s="53">
        <f ca="1">ROUND(D21*E21/10000,0)</f>
        <v>733</v>
      </c>
      <c r="D21" s="2799">
        <f ca="1">IF(B1="",'数据-汇总表'!E5,IF(INDIRECT("'数据-取费表'!c"&amp;$K$1)="住宅",INDIRECT("'数据-取费表'!k"&amp;$K$1),0))</f>
        <v>40703.160000000003</v>
      </c>
      <c r="E21" s="53">
        <f>'数据-取费表'!B27</f>
        <v>180</v>
      </c>
      <c r="F21" s="2802"/>
      <c r="G21" s="26"/>
      <c r="H21" s="51"/>
      <c r="I21" s="51"/>
      <c r="J21" s="51"/>
      <c r="K21" s="2774"/>
    </row>
    <row r="22" spans="1:14" s="2101" customFormat="1" ht="13.5" customHeight="1">
      <c r="A22" s="2797" t="s">
        <v>1857</v>
      </c>
      <c r="B22" s="2798" t="s">
        <v>492</v>
      </c>
      <c r="C22" s="53">
        <f ca="1">ROUND(D22*E22/10000,0)</f>
        <v>486</v>
      </c>
      <c r="D22" s="2799">
        <f ca="1">IF(B1="",'数据-汇总表'!E6,IF(INDIRECT("'数据-取费表'!c"&amp;$K$1)="住宅",INDIRECT("'数据-取费表'!s"&amp;$K$1),INDIRECT("'数据-取费表'!k"&amp;$K$1)+INDIRECT("'数据-取费表'!s"&amp;$K$1)))</f>
        <v>27010.069999999992</v>
      </c>
      <c r="E22" s="53">
        <f>'数据-取费表'!B28</f>
        <v>180</v>
      </c>
      <c r="F22" s="2802"/>
      <c r="G22" s="26"/>
      <c r="H22" s="51"/>
      <c r="I22" s="51"/>
      <c r="J22" s="51"/>
      <c r="K22" s="2774"/>
    </row>
    <row r="23" spans="1:14" s="2101" customFormat="1" ht="13.5" customHeight="1">
      <c r="A23" s="2805" t="s">
        <v>1858</v>
      </c>
      <c r="B23" s="2987" t="s">
        <v>2832</v>
      </c>
      <c r="C23" s="2807">
        <f ca="1">ROUND((C18+C19+C20)*F23,0)</f>
        <v>215</v>
      </c>
      <c r="D23" s="468"/>
      <c r="E23" s="468"/>
      <c r="F23" s="2811">
        <f>'数据-取费表'!B37</f>
        <v>1.54E-2</v>
      </c>
      <c r="G23" s="2767" t="s">
        <v>2430</v>
      </c>
      <c r="H23" s="2768"/>
      <c r="I23" s="2768"/>
      <c r="J23" s="2768"/>
      <c r="K23" s="2769"/>
      <c r="L23" s="2103"/>
      <c r="M23" s="2103"/>
      <c r="N23" s="2103"/>
    </row>
    <row r="24" spans="1:14" s="2101" customFormat="1" ht="13.5" customHeight="1">
      <c r="A24" s="2805" t="s">
        <v>1859</v>
      </c>
      <c r="B24" s="2987" t="s">
        <v>2835</v>
      </c>
      <c r="C24" s="2807">
        <f ca="1">ROUND(C6*F24,0)</f>
        <v>497</v>
      </c>
      <c r="D24" s="475"/>
      <c r="E24" s="473"/>
      <c r="F24" s="2811">
        <f>'数据-取费表'!B38</f>
        <v>1.4999999999999999E-2</v>
      </c>
      <c r="G24" s="2776" t="s">
        <v>499</v>
      </c>
      <c r="H24" s="2770"/>
      <c r="I24" s="2770"/>
      <c r="J24" s="2770"/>
      <c r="K24" s="279"/>
      <c r="L24" s="2103"/>
      <c r="M24" s="2103"/>
      <c r="N24" s="2103"/>
    </row>
    <row r="25" spans="1:14" s="2104" customFormat="1" ht="13.5" customHeight="1">
      <c r="A25" s="2805" t="s">
        <v>1860</v>
      </c>
      <c r="B25" s="2987" t="s">
        <v>2833</v>
      </c>
      <c r="C25" s="467">
        <f>ROUND(F25/(1+'数据-取费表'!C42),4)</f>
        <v>2.9000000000000001E-2</v>
      </c>
      <c r="D25" s="462" t="s">
        <v>2827</v>
      </c>
      <c r="E25" s="469"/>
      <c r="F25" s="2811">
        <f>IF(项目基本情况!B8="出让",0,'数据-取费表'!B48+'数据-取费表'!B49)</f>
        <v>3.0499999999999999E-2</v>
      </c>
      <c r="G25" s="2775" t="s">
        <v>2289</v>
      </c>
      <c r="H25" s="2768"/>
      <c r="I25" s="2768"/>
      <c r="J25" s="2768"/>
      <c r="K25" s="2769"/>
    </row>
    <row r="26" spans="1:14" s="2103" customFormat="1" ht="13.5" customHeight="1">
      <c r="A26" s="2805" t="s">
        <v>1861</v>
      </c>
      <c r="B26" s="2988" t="s">
        <v>2834</v>
      </c>
      <c r="C26" s="2812">
        <f ca="1">C28</f>
        <v>696</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2836</v>
      </c>
      <c r="C28" s="2815">
        <f ca="1">ROUND(IF('数据-取费表'!B22&lt;=1,(C18+C19+C20+C23+C24)*F26*'数据-取费表'!B24/2,(C18+C19+C20+C23+C24)*(POWER((1+F26),'数据-取费表'!B24/2)-1)),0)</f>
        <v>696</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1736</v>
      </c>
      <c r="D29" s="468"/>
      <c r="E29" s="468"/>
      <c r="F29" s="2989">
        <f>'数据-取费表'!B41</f>
        <v>5.5000000000000007E-2</v>
      </c>
      <c r="G29" s="2776" t="s">
        <v>498</v>
      </c>
      <c r="H29" s="2768"/>
      <c r="I29" s="2768"/>
      <c r="J29" s="2768"/>
      <c r="K29" s="2769"/>
    </row>
    <row r="30" spans="1:14" s="2106" customFormat="1" ht="13.5" customHeight="1">
      <c r="A30" s="1620" t="s">
        <v>1863</v>
      </c>
      <c r="B30" s="2817" t="s">
        <v>500</v>
      </c>
      <c r="C30" s="2812">
        <f ca="1">C31</f>
        <v>17093</v>
      </c>
      <c r="D30" s="477">
        <f ca="1">C32</f>
        <v>0.12909999999999999</v>
      </c>
      <c r="E30" s="469" t="s">
        <v>495</v>
      </c>
      <c r="F30" s="471"/>
      <c r="G30" s="2775" t="s">
        <v>2967</v>
      </c>
      <c r="H30" s="2768"/>
      <c r="I30" s="2768"/>
      <c r="J30" s="2768"/>
      <c r="K30" s="2769"/>
    </row>
    <row r="31" spans="1:14" s="2105" customFormat="1" ht="13.5" customHeight="1">
      <c r="A31" s="803" t="s">
        <v>1856</v>
      </c>
      <c r="B31" s="2813"/>
      <c r="C31" s="450">
        <f ca="1">C18+C19+C20+C23+C24+C26+C29</f>
        <v>17093</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6" t="s">
        <v>2831</v>
      </c>
      <c r="B33" s="2984" t="s">
        <v>2829</v>
      </c>
      <c r="C33" s="478">
        <f ca="1">C35</f>
        <v>1759</v>
      </c>
      <c r="D33" s="467">
        <f ca="1">C34</f>
        <v>0.1235</v>
      </c>
      <c r="E33" s="469" t="s">
        <v>495</v>
      </c>
      <c r="F33" s="479">
        <f ca="1">IF(B1="",'数据-取费表'!Q16,INDIRECT("'数据-取费表'!q"&amp;$K$1))</f>
        <v>0.12</v>
      </c>
      <c r="G33" s="2771"/>
      <c r="H33" s="2772"/>
      <c r="I33" s="2772"/>
      <c r="J33" s="2772"/>
      <c r="K33" s="2773"/>
    </row>
    <row r="34" spans="1:11" s="2108" customFormat="1" ht="13.5" customHeight="1">
      <c r="A34" s="375" t="s">
        <v>1856</v>
      </c>
      <c r="B34" s="2818" t="s">
        <v>501</v>
      </c>
      <c r="C34" s="472">
        <f ca="1">ROUND((1+C25)*F33,4)</f>
        <v>0.1235</v>
      </c>
      <c r="D34" s="472"/>
      <c r="E34" s="473"/>
      <c r="F34" s="480"/>
      <c r="G34" s="261" t="s">
        <v>2290</v>
      </c>
      <c r="H34" s="2770"/>
      <c r="I34" s="2770"/>
      <c r="J34" s="2770"/>
      <c r="K34" s="279"/>
    </row>
    <row r="35" spans="1:11" s="2108" customFormat="1" ht="13.5" customHeight="1" thickBot="1">
      <c r="A35" s="1621" t="s">
        <v>1857</v>
      </c>
      <c r="B35" s="2985" t="s">
        <v>2837</v>
      </c>
      <c r="C35" s="1613">
        <f ca="1">ROUND((C18+C19+C20+C23+C24)*F33,0)</f>
        <v>1759</v>
      </c>
      <c r="D35" s="1614"/>
      <c r="E35" s="2819"/>
      <c r="F35" s="1615"/>
      <c r="G35" s="2777"/>
      <c r="H35" s="2778"/>
      <c r="I35" s="2778"/>
      <c r="J35" s="2778"/>
      <c r="K35" s="2779"/>
    </row>
    <row r="36" spans="1:11" s="2070" customFormat="1" ht="13.5" customHeight="1" thickBot="1">
      <c r="A36" s="284" t="s">
        <v>1844</v>
      </c>
      <c r="B36" s="2781"/>
      <c r="C36" s="2820">
        <f ca="1">ROUND((C6-C30-C33)/(1+D30+D33),0)</f>
        <v>11407</v>
      </c>
      <c r="D36" s="2781"/>
      <c r="E36" s="2781"/>
      <c r="F36" s="2781"/>
      <c r="G36" s="2780" t="s">
        <v>2838</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2650</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11193</v>
      </c>
      <c r="D13" s="451"/>
      <c r="E13" s="365"/>
      <c r="F13" s="452"/>
      <c r="G13" s="444"/>
      <c r="H13" s="447"/>
      <c r="I13" s="447"/>
      <c r="J13" s="447"/>
      <c r="K13" s="448"/>
    </row>
    <row r="14" spans="1:41" s="2101" customFormat="1" ht="13.5" customHeight="1">
      <c r="A14" s="1618" t="s">
        <v>1849</v>
      </c>
      <c r="B14" s="449" t="s">
        <v>480</v>
      </c>
      <c r="C14" s="53">
        <f ca="1">ROUND(C13*F14,0)</f>
        <v>336</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220</v>
      </c>
      <c r="D15" s="451"/>
      <c r="E15" s="365"/>
      <c r="F15" s="453">
        <f>'数据-取费表'!B34</f>
        <v>0.03</v>
      </c>
      <c r="G15" s="444" t="s">
        <v>502</v>
      </c>
      <c r="H15" s="447"/>
      <c r="I15" s="447"/>
      <c r="J15" s="447"/>
      <c r="K15" s="448"/>
    </row>
    <row r="16" spans="1:41" s="2102" customFormat="1" ht="13.5" customHeight="1">
      <c r="A16" s="1618" t="s">
        <v>1851</v>
      </c>
      <c r="B16" s="449" t="s">
        <v>484</v>
      </c>
      <c r="C16" s="53">
        <f ca="1">ROUND(D16*E16/10000,0)</f>
        <v>813</v>
      </c>
      <c r="D16" s="451">
        <f ca="1">IF(B1="",'数据-汇总表'!E3,INDIRECT("'数据-取费表'!K"&amp;$K$1)+INDIRECT("'数据-取费表'!S"&amp;$K$1))</f>
        <v>67713.23</v>
      </c>
      <c r="E16" s="53">
        <f>'数据-取费表'!B35</f>
        <v>120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168</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12730</v>
      </c>
      <c r="D18" s="461"/>
      <c r="E18" s="462"/>
      <c r="F18" s="462"/>
      <c r="G18" s="1323" t="s">
        <v>2431</v>
      </c>
      <c r="H18" s="447"/>
      <c r="I18" s="447"/>
      <c r="J18" s="447"/>
      <c r="K18" s="448"/>
    </row>
    <row r="19" spans="1:14" s="2104" customFormat="1" ht="13.5" customHeight="1">
      <c r="A19" s="1619" t="s">
        <v>1854</v>
      </c>
      <c r="B19" s="459" t="s">
        <v>493</v>
      </c>
      <c r="C19" s="460">
        <f ca="1">ROUND(C18*F19,0)</f>
        <v>196</v>
      </c>
      <c r="D19" s="462"/>
      <c r="E19" s="462"/>
      <c r="F19" s="466">
        <f>'数据-取费表'!B37</f>
        <v>1.54E-2</v>
      </c>
      <c r="G19" s="444" t="s">
        <v>503</v>
      </c>
      <c r="H19" s="447"/>
      <c r="I19" s="447"/>
      <c r="J19" s="447"/>
      <c r="K19" s="448"/>
      <c r="L19" s="2106"/>
      <c r="M19" s="2106"/>
      <c r="N19" s="2106"/>
    </row>
    <row r="20" spans="1:14" s="2104" customFormat="1" ht="13.5" customHeight="1">
      <c r="A20" s="1619" t="s">
        <v>1855</v>
      </c>
      <c r="B20" s="459" t="s">
        <v>504</v>
      </c>
      <c r="C20" s="2982">
        <f>F20</f>
        <v>1.4999999999999999E-2</v>
      </c>
      <c r="D20" s="469" t="s">
        <v>505</v>
      </c>
      <c r="E20" s="469"/>
      <c r="F20" s="486">
        <f>'数据-取费表'!B38</f>
        <v>1.4999999999999999E-2</v>
      </c>
      <c r="G20" s="1323" t="s">
        <v>506</v>
      </c>
      <c r="H20" s="447"/>
      <c r="I20" s="447"/>
      <c r="J20" s="447"/>
      <c r="K20" s="448"/>
      <c r="L20" s="2106"/>
      <c r="M20" s="2106"/>
      <c r="N20" s="2106"/>
    </row>
    <row r="21" spans="1:14" s="2106" customFormat="1" ht="13.5" customHeight="1">
      <c r="A21" s="1619" t="s">
        <v>1858</v>
      </c>
      <c r="B21" s="461" t="s">
        <v>494</v>
      </c>
      <c r="C21" s="470">
        <f ca="1">C22</f>
        <v>614</v>
      </c>
      <c r="D21" s="467">
        <f ca="1">C23</f>
        <v>6.9999999999999999E-4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8" t="s">
        <v>1848</v>
      </c>
      <c r="B22" s="1324" t="s">
        <v>2434</v>
      </c>
      <c r="C22" s="487">
        <f ca="1">ROUND(IF('数据-取费表'!B22&lt;=1,(C18+C19)*F21*'数据-取费表'!B20/2,(C18+C19)*(POWER((1+F21),'数据-取费表'!B20/2)-1)),0)</f>
        <v>614</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6.9999999999999999E-4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2830</v>
      </c>
      <c r="C24" s="478">
        <f ca="1">C25</f>
        <v>1551</v>
      </c>
      <c r="D24" s="489">
        <f ca="1">C26</f>
        <v>1.8E-3</v>
      </c>
      <c r="E24" s="469" t="s">
        <v>507</v>
      </c>
      <c r="F24" s="479">
        <f ca="1">IF(B1="",'数据-取费表'!Q16,INDIRECT("'数据-取费表'!q"&amp;$K$1))</f>
        <v>0.12</v>
      </c>
      <c r="G24" s="444"/>
      <c r="H24" s="447"/>
      <c r="I24" s="447"/>
      <c r="J24" s="447"/>
      <c r="K24" s="448"/>
    </row>
    <row r="25" spans="1:14" s="2105" customFormat="1" ht="13.5" customHeight="1">
      <c r="A25" s="1618" t="s">
        <v>1848</v>
      </c>
      <c r="B25" s="1324" t="s">
        <v>2435</v>
      </c>
      <c r="C25" s="490">
        <f ca="1">ROUND((C18+C19)*F24,0)</f>
        <v>1551</v>
      </c>
      <c r="D25" s="472"/>
      <c r="E25" s="473"/>
      <c r="F25" s="480"/>
      <c r="G25" s="1322" t="s">
        <v>2432</v>
      </c>
      <c r="H25" s="457"/>
      <c r="I25" s="457"/>
      <c r="J25" s="457"/>
      <c r="K25" s="458"/>
    </row>
    <row r="26" spans="1:14" s="2105" customFormat="1" ht="13.5" customHeight="1">
      <c r="A26" s="1618" t="s">
        <v>1849</v>
      </c>
      <c r="B26" s="1324" t="s">
        <v>509</v>
      </c>
      <c r="C26" s="491">
        <f ca="1">ROUND(F20*F24,4)</f>
        <v>1.8E-3</v>
      </c>
      <c r="D26" s="472"/>
      <c r="E26" s="481"/>
      <c r="F26" s="480"/>
      <c r="G26" s="1322" t="s">
        <v>510</v>
      </c>
      <c r="H26" s="457"/>
      <c r="I26" s="457"/>
      <c r="J26" s="457"/>
      <c r="K26" s="458"/>
    </row>
    <row r="27" spans="1:14" s="2105" customFormat="1" ht="13.5" customHeight="1">
      <c r="A27" s="1622" t="s">
        <v>1867</v>
      </c>
      <c r="B27" s="459" t="s">
        <v>511</v>
      </c>
      <c r="C27" s="2983">
        <f>ROUND(F27/(1+'数据-取费表'!C42),4)</f>
        <v>5.2400000000000002E-2</v>
      </c>
      <c r="D27" s="462" t="s">
        <v>2828</v>
      </c>
      <c r="E27" s="462"/>
      <c r="F27" s="466">
        <f>'数据-取费表'!B41</f>
        <v>5.5000000000000007E-2</v>
      </c>
      <c r="G27" s="1945" t="s">
        <v>2291</v>
      </c>
      <c r="H27" s="447"/>
      <c r="I27" s="447"/>
      <c r="J27" s="447"/>
      <c r="K27" s="448"/>
    </row>
    <row r="28" spans="1:14" s="2106" customFormat="1" ht="13.5" customHeight="1">
      <c r="A28" s="1622" t="s">
        <v>1868</v>
      </c>
      <c r="B28" s="476" t="s">
        <v>512</v>
      </c>
      <c r="C28" s="470">
        <f ca="1">ROUND((C18+C19+C21+C24)/(1-C20-D21-D24-C27),0)</f>
        <v>16225</v>
      </c>
      <c r="D28" s="477"/>
      <c r="E28" s="469"/>
      <c r="F28" s="471"/>
      <c r="G28" s="1323" t="s">
        <v>2433</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C40" sqref="C40"/>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6724</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993</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1213</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81</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4292" t="s">
        <v>522</v>
      </c>
      <c r="D6" s="4293"/>
      <c r="E6" s="4292" t="s">
        <v>523</v>
      </c>
      <c r="F6" s="4293"/>
      <c r="G6" s="4292" t="s">
        <v>524</v>
      </c>
      <c r="H6" s="4293"/>
      <c r="I6" s="4292" t="s">
        <v>525</v>
      </c>
      <c r="J6" s="4293"/>
      <c r="K6" s="514" t="s">
        <v>526</v>
      </c>
      <c r="L6" s="2118"/>
      <c r="M6" s="2117"/>
      <c r="N6" s="2117"/>
      <c r="O6" s="2119"/>
      <c r="P6" s="4294" t="s">
        <v>527</v>
      </c>
      <c r="Q6" s="4295"/>
      <c r="R6" s="4300" t="s">
        <v>523</v>
      </c>
      <c r="S6" s="4301"/>
      <c r="T6" s="4300" t="s">
        <v>524</v>
      </c>
      <c r="U6" s="4301"/>
      <c r="V6" s="4287" t="s">
        <v>525</v>
      </c>
      <c r="W6" s="4287"/>
      <c r="X6" s="1553"/>
      <c r="Y6" s="4300" t="s">
        <v>527</v>
      </c>
      <c r="Z6" s="4301"/>
      <c r="AA6" s="4289" t="s">
        <v>523</v>
      </c>
      <c r="AB6" s="4290" t="s">
        <v>524</v>
      </c>
      <c r="AC6" s="4289" t="s">
        <v>525</v>
      </c>
    </row>
    <row r="7" spans="1:30" ht="20.25">
      <c r="A7" s="515"/>
      <c r="B7" s="516"/>
      <c r="C7" s="4308" t="s">
        <v>2925</v>
      </c>
      <c r="D7" s="4309"/>
      <c r="E7" s="4308" t="str">
        <f>Sheet2!A2</f>
        <v>工业园区南区G9-02/01(规划编号E-53-02)地块</v>
      </c>
      <c r="F7" s="4309"/>
      <c r="G7" s="4308" t="str">
        <f>Sheet2!A8</f>
        <v>组团江北新城分区D6-6号地块</v>
      </c>
      <c r="H7" s="4309"/>
      <c r="I7" s="4308" t="str">
        <f>Sheet2!A16</f>
        <v>江北新城组团两桥片区分区B-92-01/01地块</v>
      </c>
      <c r="J7" s="4309"/>
      <c r="K7" s="514"/>
      <c r="L7" s="2118"/>
      <c r="M7" s="2117"/>
      <c r="N7" s="2117"/>
      <c r="O7" s="2119"/>
      <c r="P7" s="4296"/>
      <c r="Q7" s="4297"/>
      <c r="R7" s="4302"/>
      <c r="S7" s="4303"/>
      <c r="T7" s="4302"/>
      <c r="U7" s="4303"/>
      <c r="V7" s="4287"/>
      <c r="W7" s="4287"/>
      <c r="X7" s="1553"/>
      <c r="Y7" s="4302"/>
      <c r="Z7" s="4303"/>
      <c r="AA7" s="4290"/>
      <c r="AB7" s="4290"/>
      <c r="AC7" s="4290"/>
    </row>
    <row r="8" spans="1:30" ht="21" thickBot="1">
      <c r="A8" s="515"/>
      <c r="B8" s="516"/>
      <c r="C8" s="4310" t="s">
        <v>2929</v>
      </c>
      <c r="D8" s="4311"/>
      <c r="E8" s="4310" t="s">
        <v>2929</v>
      </c>
      <c r="F8" s="4311"/>
      <c r="G8" s="4306" t="s">
        <v>2929</v>
      </c>
      <c r="H8" s="4307"/>
      <c r="I8" s="4306" t="s">
        <v>2929</v>
      </c>
      <c r="J8" s="4307"/>
      <c r="K8" s="514" t="s">
        <v>528</v>
      </c>
      <c r="L8" s="2118"/>
      <c r="M8" s="2117"/>
      <c r="N8" s="2117"/>
      <c r="O8" s="2119"/>
      <c r="P8" s="4298"/>
      <c r="Q8" s="4299"/>
      <c r="R8" s="4302"/>
      <c r="S8" s="4303"/>
      <c r="T8" s="4304"/>
      <c r="U8" s="4305"/>
      <c r="V8" s="4287"/>
      <c r="W8" s="4287"/>
      <c r="X8" s="1553"/>
      <c r="Y8" s="4304"/>
      <c r="Z8" s="4305"/>
      <c r="AA8" s="4291"/>
      <c r="AB8" s="4291"/>
      <c r="AC8" s="4291"/>
    </row>
    <row r="9" spans="1:30" s="1216" customFormat="1" ht="21" thickBot="1">
      <c r="A9" s="2867"/>
      <c r="B9" s="2874" t="s">
        <v>529</v>
      </c>
      <c r="C9" s="2866">
        <f>'数据-取费表'!B2</f>
        <v>43647</v>
      </c>
      <c r="D9" s="520">
        <v>100</v>
      </c>
      <c r="E9" s="521" t="str">
        <f>Sheet2!H2</f>
        <v>2019-06-25</v>
      </c>
      <c r="F9" s="522">
        <f>SUMIF(72:72,YEAR(E9)&amp;"-"&amp;INT((MONTH(E9)+2)/3),73:73)</f>
        <v>99</v>
      </c>
      <c r="G9" s="523" t="str">
        <f>Sheet2!H8</f>
        <v>2019-02-20</v>
      </c>
      <c r="H9" s="520">
        <f>SUMIF(72:72,YEAR(G9)&amp;"-"&amp;INT((MONTH(G9)+2)/3),73:73)</f>
        <v>98</v>
      </c>
      <c r="I9" s="523" t="str">
        <f>Sheet2!H16</f>
        <v>2018-11-20</v>
      </c>
      <c r="J9" s="520">
        <f>SUMIF(72:72,YEAR(I9)&amp;"-"&amp;INT((MONTH(I9)+2)/3),73:73)</f>
        <v>97</v>
      </c>
      <c r="K9" s="524"/>
      <c r="L9" s="2120"/>
      <c r="M9" s="2117"/>
      <c r="N9" s="2117"/>
      <c r="O9" s="2121"/>
      <c r="P9" s="4317" t="s">
        <v>530</v>
      </c>
      <c r="Q9" s="4319"/>
      <c r="R9" s="1554" t="s">
        <v>8</v>
      </c>
      <c r="S9" s="1555">
        <f t="shared" ref="S9:S17" si="0">F9</f>
        <v>99</v>
      </c>
      <c r="T9" s="1554" t="s">
        <v>8</v>
      </c>
      <c r="U9" s="1555">
        <f t="shared" ref="U9:U17" si="1">H9</f>
        <v>98</v>
      </c>
      <c r="V9" s="1554" t="s">
        <v>8</v>
      </c>
      <c r="W9" s="1555">
        <f t="shared" ref="W9:W17" si="2">J9</f>
        <v>97</v>
      </c>
      <c r="X9" s="1556"/>
      <c r="Y9" s="4317" t="s">
        <v>530</v>
      </c>
      <c r="Z9" s="4318"/>
      <c r="AA9" s="1557">
        <f>D9/F9</f>
        <v>1.0101010101010102</v>
      </c>
      <c r="AB9" s="1557">
        <f>D9/H9</f>
        <v>1.0204081632653061</v>
      </c>
      <c r="AC9" s="1557">
        <f>D9/J9</f>
        <v>1.0309278350515463</v>
      </c>
    </row>
    <row r="10" spans="1:30" s="1216" customFormat="1" ht="21" thickBot="1">
      <c r="A10" s="2868"/>
      <c r="B10" s="2875" t="s">
        <v>531</v>
      </c>
      <c r="C10" s="856" t="s">
        <v>532</v>
      </c>
      <c r="D10" s="520">
        <v>100</v>
      </c>
      <c r="E10" s="525" t="s">
        <v>3011</v>
      </c>
      <c r="F10" s="522">
        <f>SUMIF(75:75,E10,76:76)-SUMIF(75:75,C10,76:76)+100</f>
        <v>100</v>
      </c>
      <c r="G10" s="525" t="s">
        <v>3011</v>
      </c>
      <c r="H10" s="520">
        <f>SUMIF(75:75,G10,76:76)-SUMIF(75:75,C10,76:76)+100</f>
        <v>100</v>
      </c>
      <c r="I10" s="525" t="s">
        <v>3011</v>
      </c>
      <c r="J10" s="520">
        <f>SUMIF(75:75,I10,76:76)-SUMIF(75:75,C10,76:76)+100</f>
        <v>100</v>
      </c>
      <c r="K10" s="524"/>
      <c r="L10" s="2120"/>
      <c r="M10" s="2117"/>
      <c r="N10" s="2117"/>
      <c r="O10" s="2121"/>
      <c r="P10" s="4317" t="s">
        <v>533</v>
      </c>
      <c r="Q10" s="4318"/>
      <c r="R10" s="1554" t="s">
        <v>8</v>
      </c>
      <c r="S10" s="1555">
        <f t="shared" si="0"/>
        <v>100</v>
      </c>
      <c r="T10" s="1554" t="s">
        <v>8</v>
      </c>
      <c r="U10" s="1555">
        <f t="shared" si="1"/>
        <v>100</v>
      </c>
      <c r="V10" s="1554" t="s">
        <v>8</v>
      </c>
      <c r="W10" s="1555">
        <f t="shared" si="2"/>
        <v>100</v>
      </c>
      <c r="X10" s="1556"/>
      <c r="Y10" s="4317" t="s">
        <v>533</v>
      </c>
      <c r="Z10" s="4318"/>
      <c r="AA10" s="1557">
        <f t="shared" ref="AA10:AA47" si="3">D10/F10</f>
        <v>1</v>
      </c>
      <c r="AB10" s="1557">
        <f t="shared" ref="AB10:AB47" si="4">D10/H10</f>
        <v>1</v>
      </c>
      <c r="AC10" s="1557">
        <f t="shared" ref="AC10:AC47" si="5">D10/J10</f>
        <v>1</v>
      </c>
    </row>
    <row r="11" spans="1:30" s="1216" customFormat="1" ht="20.25">
      <c r="A11" s="2869"/>
      <c r="B11" s="2876" t="s">
        <v>2754</v>
      </c>
      <c r="C11" s="2863"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20"/>
      <c r="M11" s="2117"/>
      <c r="N11" s="2117"/>
      <c r="O11" s="2122"/>
      <c r="P11" s="4286" t="s">
        <v>535</v>
      </c>
      <c r="Q11" s="1147" t="str">
        <f t="shared" ref="Q11:Q17" si="6">B11</f>
        <v>用途</v>
      </c>
      <c r="R11" s="1554" t="s">
        <v>8</v>
      </c>
      <c r="S11" s="1555">
        <f t="shared" si="0"/>
        <v>100</v>
      </c>
      <c r="T11" s="1554" t="s">
        <v>8</v>
      </c>
      <c r="U11" s="1555">
        <f t="shared" si="1"/>
        <v>100</v>
      </c>
      <c r="V11" s="1554" t="s">
        <v>8</v>
      </c>
      <c r="W11" s="1555">
        <f t="shared" si="2"/>
        <v>100</v>
      </c>
      <c r="X11" s="1556"/>
      <c r="Y11" s="4232" t="s">
        <v>536</v>
      </c>
      <c r="Z11" s="1146" t="str">
        <f t="shared" ref="Z11:Z17" si="7">Q11</f>
        <v>用途</v>
      </c>
      <c r="AA11" s="1557">
        <f t="shared" si="3"/>
        <v>1</v>
      </c>
      <c r="AB11" s="1557">
        <f t="shared" si="4"/>
        <v>1</v>
      </c>
      <c r="AC11" s="1557">
        <f t="shared" si="5"/>
        <v>1</v>
      </c>
    </row>
    <row r="12" spans="1:30" s="1334" customFormat="1" ht="27">
      <c r="A12" s="2870"/>
      <c r="B12" s="2875" t="s">
        <v>2755</v>
      </c>
      <c r="C12" s="910"/>
      <c r="D12" s="255">
        <v>100</v>
      </c>
      <c r="E12" s="529"/>
      <c r="F12" s="255">
        <f>ROUND(100/'数据-取费表'!G16,0)</f>
        <v>104</v>
      </c>
      <c r="G12" s="530"/>
      <c r="H12" s="255">
        <f>ROUND(100/'数据-取费表'!G16,0)</f>
        <v>104</v>
      </c>
      <c r="I12" s="530"/>
      <c r="J12" s="255">
        <f>ROUND(100/'数据-取费表'!G16,0)</f>
        <v>104</v>
      </c>
      <c r="K12" s="531"/>
      <c r="L12" s="2123"/>
      <c r="M12" s="2117"/>
      <c r="N12" s="2117"/>
      <c r="O12" s="2124"/>
      <c r="P12" s="4286"/>
      <c r="Q12" s="1147" t="str">
        <f t="shared" si="6"/>
        <v>土地使用年限（年）</v>
      </c>
      <c r="R12" s="1554" t="s">
        <v>8</v>
      </c>
      <c r="S12" s="1555">
        <f t="shared" si="0"/>
        <v>104</v>
      </c>
      <c r="T12" s="1554" t="s">
        <v>8</v>
      </c>
      <c r="U12" s="1555">
        <f t="shared" si="1"/>
        <v>104</v>
      </c>
      <c r="V12" s="1554" t="s">
        <v>8</v>
      </c>
      <c r="W12" s="1555">
        <f t="shared" si="2"/>
        <v>104</v>
      </c>
      <c r="X12" s="1556"/>
      <c r="Y12" s="4232"/>
      <c r="Z12" s="1146" t="str">
        <f t="shared" si="7"/>
        <v>土地使用年限（年）</v>
      </c>
      <c r="AA12" s="1557">
        <f t="shared" si="3"/>
        <v>0.96153846153846156</v>
      </c>
      <c r="AB12" s="1557">
        <f t="shared" si="4"/>
        <v>0.96153846153846156</v>
      </c>
      <c r="AC12" s="1557">
        <f t="shared" si="5"/>
        <v>0.96153846153846156</v>
      </c>
    </row>
    <row r="13" spans="1:30" ht="20.25">
      <c r="A13" s="2871"/>
      <c r="B13" s="2875" t="s">
        <v>2756</v>
      </c>
      <c r="C13" s="534">
        <f>'数据-汇总表'!I7</f>
        <v>0.8</v>
      </c>
      <c r="D13" s="255">
        <v>100</v>
      </c>
      <c r="E13" s="533">
        <v>1.5</v>
      </c>
      <c r="F13" s="255">
        <f>LOOKUP(E13,82:82,83:83)-LOOKUP(C13,82:82,83:83)+100</f>
        <v>97</v>
      </c>
      <c r="G13" s="534">
        <v>2.5</v>
      </c>
      <c r="H13" s="255">
        <f>LOOKUP(G13,82:82,83:83)-LOOKUP(C13,82:82,83:83)+100</f>
        <v>94</v>
      </c>
      <c r="I13" s="533">
        <v>2</v>
      </c>
      <c r="J13" s="255">
        <f>LOOKUP(I13,82:82,83:83)-LOOKUP(C13,82:82,83:83)+100</f>
        <v>94</v>
      </c>
      <c r="K13" s="535">
        <v>3</v>
      </c>
      <c r="L13" s="2125"/>
      <c r="M13" s="2117"/>
      <c r="N13" s="2117"/>
      <c r="O13" s="2126"/>
      <c r="P13" s="4286"/>
      <c r="Q13" s="1147" t="str">
        <f t="shared" si="6"/>
        <v>容积率</v>
      </c>
      <c r="R13" s="1554" t="s">
        <v>8</v>
      </c>
      <c r="S13" s="1555">
        <f t="shared" si="0"/>
        <v>97</v>
      </c>
      <c r="T13" s="1554" t="s">
        <v>8</v>
      </c>
      <c r="U13" s="1555">
        <f t="shared" si="1"/>
        <v>94</v>
      </c>
      <c r="V13" s="1554" t="s">
        <v>8</v>
      </c>
      <c r="W13" s="1555">
        <f t="shared" si="2"/>
        <v>94</v>
      </c>
      <c r="X13" s="1556"/>
      <c r="Y13" s="4232"/>
      <c r="Z13" s="1146" t="str">
        <f t="shared" si="7"/>
        <v>容积率</v>
      </c>
      <c r="AA13" s="1557">
        <f t="shared" si="3"/>
        <v>1.0309278350515463</v>
      </c>
      <c r="AB13" s="1557">
        <f t="shared" si="4"/>
        <v>1.0638297872340425</v>
      </c>
      <c r="AC13" s="1557">
        <f t="shared" si="5"/>
        <v>1.0638297872340425</v>
      </c>
    </row>
    <row r="14" spans="1:30" s="1216" customFormat="1" ht="20.25">
      <c r="A14" s="2868"/>
      <c r="B14" s="2877" t="s">
        <v>2757</v>
      </c>
      <c r="C14" s="2864"/>
      <c r="D14" s="538">
        <v>100</v>
      </c>
      <c r="E14" s="2864"/>
      <c r="F14" s="255">
        <f>SUMIF(84:84,E14,85:85)-SUMIF(84:84,C14,85:85)+100</f>
        <v>100</v>
      </c>
      <c r="G14" s="2864"/>
      <c r="H14" s="255">
        <f>SUMIF(84:84,G14,85:85)-SUMIF(84:84,C14,85:85)+100</f>
        <v>100</v>
      </c>
      <c r="I14" s="2864"/>
      <c r="J14" s="255">
        <f>SUMIF(84:84,I14,85:85)-SUMIF(84:84,C14,85:85)+100</f>
        <v>100</v>
      </c>
      <c r="K14" s="531"/>
      <c r="L14" s="2120"/>
      <c r="M14" s="2117"/>
      <c r="N14" s="2117"/>
      <c r="O14" s="2122"/>
      <c r="P14" s="4286"/>
      <c r="Q14" s="1147" t="str">
        <f t="shared" si="6"/>
        <v>配建</v>
      </c>
      <c r="R14" s="1554" t="s">
        <v>8</v>
      </c>
      <c r="S14" s="1555">
        <f t="shared" si="0"/>
        <v>100</v>
      </c>
      <c r="T14" s="1554" t="s">
        <v>8</v>
      </c>
      <c r="U14" s="1555">
        <f t="shared" si="1"/>
        <v>100</v>
      </c>
      <c r="V14" s="1554" t="s">
        <v>8</v>
      </c>
      <c r="W14" s="1555">
        <f t="shared" si="2"/>
        <v>100</v>
      </c>
      <c r="X14" s="1556"/>
      <c r="Y14" s="4232"/>
      <c r="Z14" s="1146"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4286"/>
      <c r="Q15" s="1147">
        <f t="shared" si="6"/>
        <v>111</v>
      </c>
      <c r="R15" s="1554" t="s">
        <v>8</v>
      </c>
      <c r="S15" s="1555">
        <f t="shared" si="0"/>
        <v>100</v>
      </c>
      <c r="T15" s="1554" t="s">
        <v>8</v>
      </c>
      <c r="U15" s="1555">
        <f t="shared" si="1"/>
        <v>100</v>
      </c>
      <c r="V15" s="1554" t="s">
        <v>8</v>
      </c>
      <c r="W15" s="1555">
        <f t="shared" si="2"/>
        <v>100</v>
      </c>
      <c r="X15" s="1556"/>
      <c r="Y15" s="4232"/>
      <c r="Z15" s="1146">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4286"/>
      <c r="Q16" s="1147">
        <f t="shared" si="6"/>
        <v>111</v>
      </c>
      <c r="R16" s="1554" t="s">
        <v>8</v>
      </c>
      <c r="S16" s="1555">
        <f t="shared" si="0"/>
        <v>100</v>
      </c>
      <c r="T16" s="1554" t="s">
        <v>8</v>
      </c>
      <c r="U16" s="1555">
        <f t="shared" si="1"/>
        <v>100</v>
      </c>
      <c r="V16" s="1554" t="s">
        <v>8</v>
      </c>
      <c r="W16" s="1555">
        <f t="shared" si="2"/>
        <v>100</v>
      </c>
      <c r="X16" s="1556"/>
      <c r="Y16" s="4232"/>
      <c r="Z16" s="1146">
        <f t="shared" si="7"/>
        <v>111</v>
      </c>
      <c r="AA16" s="1557">
        <f>D16/F16</f>
        <v>1</v>
      </c>
      <c r="AB16" s="1557">
        <f>D16/H16</f>
        <v>1</v>
      </c>
      <c r="AC16" s="1557">
        <f>D16/J16</f>
        <v>1</v>
      </c>
    </row>
    <row r="17" spans="1:29" ht="85.5">
      <c r="A17" s="2865" t="s">
        <v>2752</v>
      </c>
      <c r="B17" s="578" t="s">
        <v>295</v>
      </c>
      <c r="C17" s="548" t="str">
        <f>估价对象房地状况!C15</f>
        <v>周边居住氛围一遍，有潼南天地、卓然铂金公馆等住宅小区，居住社区成熟度较好</v>
      </c>
      <c r="D17" s="551">
        <v>100</v>
      </c>
      <c r="E17" s="3306" t="s">
        <v>3781</v>
      </c>
      <c r="F17" s="549">
        <f>SUMIF(90:90,E18,91:91)-SUMIF(90:90,C18,91:91)+100</f>
        <v>100</v>
      </c>
      <c r="G17" s="3308" t="s">
        <v>3378</v>
      </c>
      <c r="H17" s="549">
        <f>SUMIF(90:90,G18,91:91)-SUMIF(90:90,C18,91:91)+100</f>
        <v>100</v>
      </c>
      <c r="I17" s="552" t="s">
        <v>3377</v>
      </c>
      <c r="J17" s="549">
        <f>SUMIF(90:90,I18,91:91)-SUMIF(90:90,C18,91:91)+100</f>
        <v>100</v>
      </c>
      <c r="K17" s="535">
        <v>2</v>
      </c>
      <c r="L17" s="2127"/>
      <c r="M17" s="2117"/>
      <c r="N17" s="2117"/>
      <c r="O17" s="2126"/>
      <c r="P17" s="4320" t="s">
        <v>540</v>
      </c>
      <c r="Q17" s="1558" t="str">
        <f t="shared" si="6"/>
        <v>居住社区成熟度</v>
      </c>
      <c r="R17" s="1559" t="s">
        <v>8</v>
      </c>
      <c r="S17" s="1560">
        <f t="shared" si="0"/>
        <v>100</v>
      </c>
      <c r="T17" s="1559" t="s">
        <v>8</v>
      </c>
      <c r="U17" s="1560">
        <f t="shared" si="1"/>
        <v>100</v>
      </c>
      <c r="V17" s="1559" t="s">
        <v>8</v>
      </c>
      <c r="W17" s="1560">
        <f t="shared" si="2"/>
        <v>100</v>
      </c>
      <c r="X17" s="1553"/>
      <c r="Y17" s="4320" t="s">
        <v>540</v>
      </c>
      <c r="Z17" s="1561" t="str">
        <f t="shared" si="7"/>
        <v>居住社区成熟度</v>
      </c>
      <c r="AA17" s="1562">
        <f t="shared" si="3"/>
        <v>1</v>
      </c>
      <c r="AB17" s="1562">
        <f t="shared" si="4"/>
        <v>1</v>
      </c>
      <c r="AC17" s="1562">
        <f t="shared" si="5"/>
        <v>1</v>
      </c>
    </row>
    <row r="18" spans="1:29" ht="20.25">
      <c r="A18" s="532"/>
      <c r="B18" s="553"/>
      <c r="C18" s="554" t="s">
        <v>3013</v>
      </c>
      <c r="D18" s="557"/>
      <c r="E18" s="558" t="s">
        <v>3013</v>
      </c>
      <c r="F18" s="555"/>
      <c r="G18" s="556" t="s">
        <v>3013</v>
      </c>
      <c r="H18" s="559"/>
      <c r="I18" s="558" t="s">
        <v>3013</v>
      </c>
      <c r="J18" s="555"/>
      <c r="K18" s="531"/>
      <c r="L18" s="2127"/>
      <c r="M18" s="2117"/>
      <c r="N18" s="2117"/>
      <c r="O18" s="2126"/>
      <c r="P18" s="4321"/>
      <c r="Q18" s="1558"/>
      <c r="R18" s="1559"/>
      <c r="S18" s="1560"/>
      <c r="T18" s="1559"/>
      <c r="U18" s="1560"/>
      <c r="V18" s="1559"/>
      <c r="W18" s="1560"/>
      <c r="X18" s="1553"/>
      <c r="Y18" s="4321"/>
      <c r="Z18" s="1561"/>
      <c r="AA18" s="1562">
        <v>1</v>
      </c>
      <c r="AB18" s="1562">
        <v>1</v>
      </c>
      <c r="AC18" s="1562">
        <v>1</v>
      </c>
    </row>
    <row r="19" spans="1:29" ht="85.5">
      <c r="A19" s="532"/>
      <c r="B19" s="560" t="s">
        <v>541</v>
      </c>
      <c r="C19" s="561" t="str">
        <f>估价对象房地状况!C16</f>
        <v>估价对象周边商业为项目内部商业街，周边商业氛围较好，人流量较大，商业繁华度较好</v>
      </c>
      <c r="D19" s="563">
        <v>100</v>
      </c>
      <c r="E19" s="3307" t="s">
        <v>3376</v>
      </c>
      <c r="F19" s="559">
        <f>SUMIF(92:92,E20,93:93)-SUMIF(92:92,C20,93:93)+100</f>
        <v>98</v>
      </c>
      <c r="G19" s="3309" t="s">
        <v>3782</v>
      </c>
      <c r="H19" s="565">
        <f>SUMIF(92:92,G20,93:93)-SUMIF(92:92,C20,93:93)+100</f>
        <v>100</v>
      </c>
      <c r="I19" s="3309" t="s">
        <v>3782</v>
      </c>
      <c r="J19" s="565">
        <f>SUMIF(92:92,I20,93:93)-SUMIF(92:92,C20,93:93)+100</f>
        <v>100</v>
      </c>
      <c r="K19" s="535">
        <v>2</v>
      </c>
      <c r="L19" s="2127"/>
      <c r="M19" s="2117"/>
      <c r="N19" s="2117"/>
      <c r="O19" s="2126"/>
      <c r="P19" s="4321"/>
      <c r="Q19" s="1558" t="str">
        <f>B19</f>
        <v>商业繁华度</v>
      </c>
      <c r="R19" s="1559" t="s">
        <v>8</v>
      </c>
      <c r="S19" s="1560">
        <f>F19</f>
        <v>98</v>
      </c>
      <c r="T19" s="1559" t="s">
        <v>8</v>
      </c>
      <c r="U19" s="1560">
        <f>H19</f>
        <v>100</v>
      </c>
      <c r="V19" s="1559" t="s">
        <v>8</v>
      </c>
      <c r="W19" s="1560">
        <f>J19</f>
        <v>100</v>
      </c>
      <c r="X19" s="1553"/>
      <c r="Y19" s="4321"/>
      <c r="Z19" s="1561" t="str">
        <f>Q19</f>
        <v>商业繁华度</v>
      </c>
      <c r="AA19" s="1562">
        <f t="shared" si="3"/>
        <v>1.0204081632653061</v>
      </c>
      <c r="AB19" s="1562">
        <f t="shared" si="4"/>
        <v>1</v>
      </c>
      <c r="AC19" s="1562">
        <f t="shared" si="5"/>
        <v>1</v>
      </c>
    </row>
    <row r="20" spans="1:29" ht="20.25">
      <c r="A20" s="532"/>
      <c r="B20" s="566"/>
      <c r="C20" s="567" t="s">
        <v>3013</v>
      </c>
      <c r="D20" s="563"/>
      <c r="E20" s="569" t="s">
        <v>3014</v>
      </c>
      <c r="F20" s="559"/>
      <c r="G20" s="568" t="s">
        <v>3013</v>
      </c>
      <c r="H20" s="555"/>
      <c r="I20" s="569" t="s">
        <v>3013</v>
      </c>
      <c r="J20" s="555"/>
      <c r="K20" s="531"/>
      <c r="L20" s="2127"/>
      <c r="M20" s="2117"/>
      <c r="N20" s="2117"/>
      <c r="O20" s="2126"/>
      <c r="P20" s="4321"/>
      <c r="Q20" s="1558"/>
      <c r="R20" s="1559"/>
      <c r="S20" s="1560"/>
      <c r="T20" s="1559"/>
      <c r="U20" s="1560"/>
      <c r="V20" s="1559"/>
      <c r="W20" s="1560"/>
      <c r="X20" s="1553"/>
      <c r="Y20" s="4321"/>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4321"/>
      <c r="Q21" s="1558" t="str">
        <f>B21</f>
        <v>办公集聚程度</v>
      </c>
      <c r="R21" s="1559" t="s">
        <v>8</v>
      </c>
      <c r="S21" s="1560">
        <f>F21</f>
        <v>100</v>
      </c>
      <c r="T21" s="1559" t="s">
        <v>8</v>
      </c>
      <c r="U21" s="1560">
        <f>H21</f>
        <v>100</v>
      </c>
      <c r="V21" s="1559" t="s">
        <v>8</v>
      </c>
      <c r="W21" s="1560">
        <f>J21</f>
        <v>100</v>
      </c>
      <c r="X21" s="1553"/>
      <c r="Y21" s="4321"/>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4321"/>
      <c r="Q22" s="1558"/>
      <c r="R22" s="1559"/>
      <c r="S22" s="1560"/>
      <c r="T22" s="1559"/>
      <c r="U22" s="1560"/>
      <c r="V22" s="1559"/>
      <c r="W22" s="1560"/>
      <c r="X22" s="1553"/>
      <c r="Y22" s="4321"/>
      <c r="Z22" s="1561"/>
      <c r="AA22" s="1562">
        <v>1</v>
      </c>
      <c r="AB22" s="1562">
        <v>1</v>
      </c>
      <c r="AC22" s="1562">
        <v>1</v>
      </c>
    </row>
    <row r="23" spans="1:29" ht="128.25">
      <c r="A23" s="532"/>
      <c r="B23" s="560" t="s">
        <v>543</v>
      </c>
      <c r="C23" s="573" t="str">
        <f>估价对象房地状况!C18</f>
        <v>周边道路密集程度一般、公共交通通达情况一般，有107路，203路、等公交线路通过，停车便捷程度一般，综合评价交通便捷度一般。</v>
      </c>
      <c r="D23" s="563">
        <v>100</v>
      </c>
      <c r="E23" s="564" t="s">
        <v>3372</v>
      </c>
      <c r="F23" s="565">
        <f>SUMIF(96:96,E24,97:97)-SUMIF(96:96,C24,97:97)+100</f>
        <v>100</v>
      </c>
      <c r="G23" s="3309" t="s">
        <v>3379</v>
      </c>
      <c r="H23" s="559">
        <f>SUMIF(96:96,G24,97:97)-SUMIF(96:96,C24,97:97)+100</f>
        <v>100</v>
      </c>
      <c r="I23" s="564" t="s">
        <v>3383</v>
      </c>
      <c r="J23" s="559">
        <f>SUMIF(96:96,I24,97:97)-SUMIF(96:96,C24,97:97)+100</f>
        <v>100</v>
      </c>
      <c r="K23" s="535">
        <v>2</v>
      </c>
      <c r="L23" s="2127"/>
      <c r="M23" s="2117"/>
      <c r="N23" s="2117"/>
      <c r="O23" s="2126"/>
      <c r="P23" s="4321"/>
      <c r="Q23" s="1558" t="str">
        <f>B23</f>
        <v>交通便捷度</v>
      </c>
      <c r="R23" s="1559" t="s">
        <v>8</v>
      </c>
      <c r="S23" s="1560">
        <f>F23</f>
        <v>100</v>
      </c>
      <c r="T23" s="1559" t="s">
        <v>8</v>
      </c>
      <c r="U23" s="1560">
        <f>H23</f>
        <v>100</v>
      </c>
      <c r="V23" s="1559" t="s">
        <v>8</v>
      </c>
      <c r="W23" s="1560">
        <f>J23</f>
        <v>100</v>
      </c>
      <c r="X23" s="1553"/>
      <c r="Y23" s="4321"/>
      <c r="Z23" s="1561" t="str">
        <f>Q23</f>
        <v>交通便捷度</v>
      </c>
      <c r="AA23" s="1562">
        <f t="shared" si="3"/>
        <v>1</v>
      </c>
      <c r="AB23" s="1562">
        <f t="shared" si="4"/>
        <v>1</v>
      </c>
      <c r="AC23" s="1562">
        <f t="shared" si="5"/>
        <v>1</v>
      </c>
    </row>
    <row r="24" spans="1:29" ht="20.25">
      <c r="A24" s="532"/>
      <c r="B24" s="578"/>
      <c r="C24" s="554" t="s">
        <v>3014</v>
      </c>
      <c r="D24" s="557"/>
      <c r="E24" s="558" t="s">
        <v>3014</v>
      </c>
      <c r="F24" s="555"/>
      <c r="G24" s="556" t="s">
        <v>3014</v>
      </c>
      <c r="H24" s="555"/>
      <c r="I24" s="558" t="s">
        <v>3014</v>
      </c>
      <c r="J24" s="555"/>
      <c r="K24" s="531"/>
      <c r="L24" s="2127"/>
      <c r="M24" s="2117"/>
      <c r="N24" s="2117"/>
      <c r="O24" s="2126"/>
      <c r="P24" s="4321"/>
      <c r="Q24" s="1558"/>
      <c r="R24" s="1559"/>
      <c r="S24" s="1560"/>
      <c r="T24" s="1559"/>
      <c r="U24" s="1560"/>
      <c r="V24" s="1559"/>
      <c r="W24" s="1560"/>
      <c r="X24" s="1553"/>
      <c r="Y24" s="4321"/>
      <c r="Z24" s="1561"/>
      <c r="AA24" s="1562">
        <v>1</v>
      </c>
      <c r="AB24" s="1562">
        <v>1</v>
      </c>
      <c r="AC24" s="1562">
        <v>1</v>
      </c>
    </row>
    <row r="25" spans="1:29" ht="28.5">
      <c r="A25" s="515"/>
      <c r="B25" s="259" t="s">
        <v>544</v>
      </c>
      <c r="C25" s="573" t="str">
        <f>估价对象房地状况!C19</f>
        <v>区域土地利用方向较一致；</v>
      </c>
      <c r="D25" s="563">
        <v>100</v>
      </c>
      <c r="E25" s="564" t="s">
        <v>3370</v>
      </c>
      <c r="F25" s="565">
        <f>SUMIF(98:98,E26,99:99)-SUMIF(98:98,C26,99:99)+100</f>
        <v>100</v>
      </c>
      <c r="G25" s="562" t="s">
        <v>3370</v>
      </c>
      <c r="H25" s="559">
        <f>SUMIF(98:98,G26,99:99)-SUMIF(98:98,C26,99:99)+100</f>
        <v>100</v>
      </c>
      <c r="I25" s="564" t="s">
        <v>3370</v>
      </c>
      <c r="J25" s="559">
        <f>SUMIF(98:98,I26,99:99)-SUMIF(98:98,C26,99:99)+100</f>
        <v>100</v>
      </c>
      <c r="K25" s="535">
        <v>2</v>
      </c>
      <c r="L25" s="2127"/>
      <c r="M25" s="2117"/>
      <c r="N25" s="2117"/>
      <c r="O25" s="2126"/>
      <c r="P25" s="4321"/>
      <c r="Q25" s="1558" t="str">
        <f t="shared" ref="Q25:Q39" si="8">B25</f>
        <v>区域土地利用方向</v>
      </c>
      <c r="R25" s="1559" t="s">
        <v>8</v>
      </c>
      <c r="S25" s="1560">
        <f>F25</f>
        <v>100</v>
      </c>
      <c r="T25" s="1559" t="s">
        <v>8</v>
      </c>
      <c r="U25" s="1560">
        <f>H25</f>
        <v>100</v>
      </c>
      <c r="V25" s="1559" t="s">
        <v>8</v>
      </c>
      <c r="W25" s="1560">
        <f>J25</f>
        <v>100</v>
      </c>
      <c r="X25" s="1553"/>
      <c r="Y25" s="4321"/>
      <c r="Z25" s="1561" t="str">
        <f>Q25</f>
        <v>区域土地利用方向</v>
      </c>
      <c r="AA25" s="1562">
        <f t="shared" si="3"/>
        <v>1</v>
      </c>
      <c r="AB25" s="1562">
        <f t="shared" si="4"/>
        <v>1</v>
      </c>
      <c r="AC25" s="1562">
        <f t="shared" si="5"/>
        <v>1</v>
      </c>
    </row>
    <row r="26" spans="1:29" ht="20.25">
      <c r="A26" s="515"/>
      <c r="B26" s="1007"/>
      <c r="C26" s="554" t="s">
        <v>3013</v>
      </c>
      <c r="D26" s="557"/>
      <c r="E26" s="558" t="s">
        <v>3013</v>
      </c>
      <c r="F26" s="555"/>
      <c r="G26" s="556" t="s">
        <v>3013</v>
      </c>
      <c r="H26" s="555"/>
      <c r="I26" s="558" t="s">
        <v>3013</v>
      </c>
      <c r="J26" s="555"/>
      <c r="K26" s="531"/>
      <c r="L26" s="2127"/>
      <c r="M26" s="2117"/>
      <c r="N26" s="2117"/>
      <c r="O26" s="2126"/>
      <c r="P26" s="4321"/>
      <c r="Q26" s="1558"/>
      <c r="R26" s="1559"/>
      <c r="S26" s="1560"/>
      <c r="T26" s="1559"/>
      <c r="U26" s="1560"/>
      <c r="V26" s="1559"/>
      <c r="W26" s="1560"/>
      <c r="X26" s="1553"/>
      <c r="Y26" s="4321"/>
      <c r="Z26" s="1561"/>
      <c r="AA26" s="1562"/>
      <c r="AB26" s="1562"/>
      <c r="AC26" s="1562"/>
    </row>
    <row r="27" spans="1:29" ht="85.5">
      <c r="A27" s="515"/>
      <c r="B27" s="578" t="s">
        <v>545</v>
      </c>
      <c r="C27" s="561" t="str">
        <f>估价对象房地状况!C20</f>
        <v>周边自然环境（项目内部天鹅湖）；人文环境（潼南区图书馆），综合评价环境状况较好；</v>
      </c>
      <c r="D27" s="563">
        <v>100</v>
      </c>
      <c r="E27" s="3307" t="s">
        <v>3375</v>
      </c>
      <c r="F27" s="559">
        <f>SUMIF(100:100,E28,101:101)-SUMIF(100:100,C28,101:101)+100</f>
        <v>96</v>
      </c>
      <c r="G27" s="3309" t="s">
        <v>3381</v>
      </c>
      <c r="H27" s="559">
        <f>SUMIF(100:100,G28,101:101)-SUMIF(100:100,C28,101:101)+100</f>
        <v>100</v>
      </c>
      <c r="I27" s="564" t="s">
        <v>3380</v>
      </c>
      <c r="J27" s="559">
        <f>SUMIF(100:100,I28,101:101)-SUMIF(100:100,C28,101:101)+100</f>
        <v>100</v>
      </c>
      <c r="K27" s="535">
        <v>2</v>
      </c>
      <c r="L27" s="2127"/>
      <c r="M27" s="2117"/>
      <c r="N27" s="2117"/>
      <c r="O27" s="2126"/>
      <c r="P27" s="4321"/>
      <c r="Q27" s="1558" t="str">
        <f t="shared" si="8"/>
        <v>自然及人文环境状况</v>
      </c>
      <c r="R27" s="1559" t="s">
        <v>8</v>
      </c>
      <c r="S27" s="1560">
        <f>F27</f>
        <v>96</v>
      </c>
      <c r="T27" s="1559" t="s">
        <v>8</v>
      </c>
      <c r="U27" s="1560">
        <f>H27</f>
        <v>100</v>
      </c>
      <c r="V27" s="1559" t="s">
        <v>8</v>
      </c>
      <c r="W27" s="1560">
        <f>J27</f>
        <v>100</v>
      </c>
      <c r="X27" s="1553"/>
      <c r="Y27" s="4321"/>
      <c r="Z27" s="1561" t="str">
        <f>Q27</f>
        <v>自然及人文环境状况</v>
      </c>
      <c r="AA27" s="1562">
        <f t="shared" si="3"/>
        <v>1.0416666666666667</v>
      </c>
      <c r="AB27" s="1562">
        <f t="shared" si="4"/>
        <v>1</v>
      </c>
      <c r="AC27" s="1562">
        <f t="shared" si="5"/>
        <v>1</v>
      </c>
    </row>
    <row r="28" spans="1:29" ht="20.25">
      <c r="A28" s="515"/>
      <c r="B28" s="566"/>
      <c r="C28" s="554" t="s">
        <v>3013</v>
      </c>
      <c r="D28" s="557"/>
      <c r="E28" s="576" t="s">
        <v>3384</v>
      </c>
      <c r="F28" s="555"/>
      <c r="G28" s="554" t="s">
        <v>3013</v>
      </c>
      <c r="H28" s="555"/>
      <c r="I28" s="576" t="s">
        <v>3013</v>
      </c>
      <c r="J28" s="555"/>
      <c r="K28" s="531"/>
      <c r="L28" s="2127"/>
      <c r="M28" s="2117"/>
      <c r="N28" s="2117"/>
      <c r="O28" s="2126"/>
      <c r="P28" s="4321"/>
      <c r="Q28" s="1558"/>
      <c r="R28" s="1559"/>
      <c r="S28" s="1560"/>
      <c r="T28" s="1559"/>
      <c r="U28" s="1560"/>
      <c r="V28" s="1559"/>
      <c r="W28" s="1560"/>
      <c r="X28" s="1553"/>
      <c r="Y28" s="4321"/>
      <c r="Z28" s="1561"/>
      <c r="AA28" s="1562">
        <v>1</v>
      </c>
      <c r="AB28" s="1562">
        <v>1</v>
      </c>
      <c r="AC28" s="1562">
        <v>1</v>
      </c>
    </row>
    <row r="29" spans="1:29" s="1216" customFormat="1" ht="128.25">
      <c r="A29" s="577"/>
      <c r="B29" s="2555" t="s">
        <v>2546</v>
      </c>
      <c r="C29" s="573" t="str">
        <f>估价对象房地状况!C21</f>
        <v>所在区域2公里范围内有银行（中国邮政储蓄银行）、学校（巴川中学）、商业（无）、医院（无）等配套设施，公共配套设施一般；</v>
      </c>
      <c r="D29" s="563">
        <v>100</v>
      </c>
      <c r="E29" s="564" t="s">
        <v>3407</v>
      </c>
      <c r="F29" s="559">
        <f>SUMIF(102:102,E30,103:103)-SUMIF(102:102,C30,103:103)+100</f>
        <v>100</v>
      </c>
      <c r="G29" s="562" t="s">
        <v>3382</v>
      </c>
      <c r="H29" s="559">
        <f>SUMIF(102:102,G30,103:103)-SUMIF(102:102,C30,103:103)+100</f>
        <v>102</v>
      </c>
      <c r="I29" s="564" t="s">
        <v>3382</v>
      </c>
      <c r="J29" s="559">
        <f>SUMIF(102:102,I30,103:103)-SUMIF(102:102,C30,103:103)+100</f>
        <v>102</v>
      </c>
      <c r="K29" s="535">
        <v>2</v>
      </c>
      <c r="L29" s="2120"/>
      <c r="M29" s="2117"/>
      <c r="N29" s="2117"/>
      <c r="O29" s="2122"/>
      <c r="P29" s="4321"/>
      <c r="Q29" s="1147" t="str">
        <f t="shared" si="8"/>
        <v>公共配套设施</v>
      </c>
      <c r="R29" s="1554" t="s">
        <v>8</v>
      </c>
      <c r="S29" s="1555">
        <f>F29</f>
        <v>100</v>
      </c>
      <c r="T29" s="1554" t="s">
        <v>8</v>
      </c>
      <c r="U29" s="1555">
        <f>H29</f>
        <v>102</v>
      </c>
      <c r="V29" s="1554" t="s">
        <v>8</v>
      </c>
      <c r="W29" s="1555">
        <f>J29</f>
        <v>102</v>
      </c>
      <c r="X29" s="1556"/>
      <c r="Y29" s="4321"/>
      <c r="Z29" s="1146" t="str">
        <f>Q29</f>
        <v>公共配套设施</v>
      </c>
      <c r="AA29" s="1562">
        <f>D29/F29</f>
        <v>1</v>
      </c>
      <c r="AB29" s="1562">
        <f>D29/H29</f>
        <v>0.98039215686274506</v>
      </c>
      <c r="AC29" s="1562">
        <f>D29/J29</f>
        <v>0.98039215686274506</v>
      </c>
    </row>
    <row r="30" spans="1:29" s="1216" customFormat="1" ht="20.25">
      <c r="A30" s="577"/>
      <c r="B30" s="566"/>
      <c r="C30" s="579" t="s">
        <v>3014</v>
      </c>
      <c r="D30" s="557"/>
      <c r="E30" s="576" t="s">
        <v>3014</v>
      </c>
      <c r="F30" s="555"/>
      <c r="G30" s="554" t="s">
        <v>3013</v>
      </c>
      <c r="H30" s="555"/>
      <c r="I30" s="576" t="s">
        <v>3013</v>
      </c>
      <c r="J30" s="555"/>
      <c r="K30" s="531"/>
      <c r="L30" s="2120"/>
      <c r="M30" s="2117"/>
      <c r="N30" s="2117"/>
      <c r="O30" s="2122"/>
      <c r="P30" s="4321"/>
      <c r="Q30" s="1147"/>
      <c r="R30" s="1554"/>
      <c r="S30" s="1555"/>
      <c r="T30" s="1554"/>
      <c r="U30" s="1555"/>
      <c r="V30" s="1554"/>
      <c r="W30" s="1555"/>
      <c r="X30" s="1556"/>
      <c r="Y30" s="4321"/>
      <c r="Z30" s="1146"/>
      <c r="AA30" s="1562">
        <v>1</v>
      </c>
      <c r="AB30" s="1562">
        <v>1</v>
      </c>
      <c r="AC30" s="1562">
        <v>1</v>
      </c>
    </row>
    <row r="31" spans="1:29" s="1216" customFormat="1" ht="28.5">
      <c r="A31" s="577"/>
      <c r="B31" s="2555" t="s">
        <v>2547</v>
      </c>
      <c r="C31" s="573" t="str">
        <f>估价对象房地状况!C22</f>
        <v>所在区域基础设施水平达六通</v>
      </c>
      <c r="D31" s="563">
        <v>100</v>
      </c>
      <c r="E31" s="564" t="s">
        <v>3373</v>
      </c>
      <c r="F31" s="559">
        <f>SUMIF(104:104,E32,105:105)-SUMIF(104:104,C32,105:105)+100</f>
        <v>100</v>
      </c>
      <c r="G31" s="562" t="s">
        <v>3373</v>
      </c>
      <c r="H31" s="559">
        <f>SUMIF(104:104,G32,105:105)-SUMIF(104:104,C32,105:105)+100</f>
        <v>100</v>
      </c>
      <c r="I31" s="564" t="s">
        <v>3373</v>
      </c>
      <c r="J31" s="559">
        <f>SUMIF(104:104,I32,105:105)-SUMIF(104:104,C32,105:105)+100</f>
        <v>100</v>
      </c>
      <c r="K31" s="535">
        <v>2</v>
      </c>
      <c r="L31" s="2120"/>
      <c r="M31" s="2117"/>
      <c r="N31" s="2117"/>
      <c r="O31" s="2122"/>
      <c r="P31" s="4321"/>
      <c r="Q31" s="2542" t="str">
        <f t="shared" ref="Q31" si="9">B31</f>
        <v>基础设施水平</v>
      </c>
      <c r="R31" s="1554" t="s">
        <v>8</v>
      </c>
      <c r="S31" s="1555">
        <f>F31</f>
        <v>100</v>
      </c>
      <c r="T31" s="1554" t="s">
        <v>8</v>
      </c>
      <c r="U31" s="1555">
        <f>H31</f>
        <v>100</v>
      </c>
      <c r="V31" s="1554" t="s">
        <v>8</v>
      </c>
      <c r="W31" s="1555">
        <f>J31</f>
        <v>100</v>
      </c>
      <c r="X31" s="1556"/>
      <c r="Y31" s="4321"/>
      <c r="Z31" s="2539" t="str">
        <f>Q31</f>
        <v>基础设施水平</v>
      </c>
      <c r="AA31" s="1562">
        <f>D31/F31</f>
        <v>1</v>
      </c>
      <c r="AB31" s="1562">
        <f>D31/H31</f>
        <v>1</v>
      </c>
      <c r="AC31" s="1562">
        <f>D31/J31</f>
        <v>1</v>
      </c>
    </row>
    <row r="32" spans="1:29" s="1216" customFormat="1" ht="20.25">
      <c r="A32" s="577"/>
      <c r="B32" s="566"/>
      <c r="C32" s="579" t="s">
        <v>3029</v>
      </c>
      <c r="D32" s="557"/>
      <c r="E32" s="2556" t="s">
        <v>3029</v>
      </c>
      <c r="F32" s="555"/>
      <c r="G32" s="579" t="s">
        <v>3029</v>
      </c>
      <c r="H32" s="555"/>
      <c r="I32" s="579" t="s">
        <v>3029</v>
      </c>
      <c r="J32" s="555"/>
      <c r="K32" s="531"/>
      <c r="L32" s="2120"/>
      <c r="M32" s="2117"/>
      <c r="N32" s="2117"/>
      <c r="O32" s="2122"/>
      <c r="P32" s="4321"/>
      <c r="Q32" s="2542"/>
      <c r="R32" s="1554"/>
      <c r="S32" s="1555"/>
      <c r="T32" s="1554"/>
      <c r="U32" s="1555"/>
      <c r="V32" s="1554"/>
      <c r="W32" s="1555"/>
      <c r="X32" s="1556"/>
      <c r="Y32" s="4321"/>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4321"/>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4321"/>
      <c r="Z33" s="1561" t="str">
        <f t="shared" ref="Z33:Z47" si="13">Q33</f>
        <v>临街状况</v>
      </c>
      <c r="AA33" s="1562">
        <f t="shared" si="3"/>
        <v>1</v>
      </c>
      <c r="AB33" s="1562">
        <f t="shared" si="4"/>
        <v>1</v>
      </c>
      <c r="AC33" s="1562">
        <f t="shared" si="5"/>
        <v>1</v>
      </c>
    </row>
    <row r="34" spans="1:29" ht="27">
      <c r="A34" s="532"/>
      <c r="B34" s="578" t="s">
        <v>548</v>
      </c>
      <c r="C34" s="3309" t="s">
        <v>3389</v>
      </c>
      <c r="D34" s="563">
        <v>100</v>
      </c>
      <c r="E34" s="3307" t="s">
        <v>3392</v>
      </c>
      <c r="F34" s="559">
        <f>SUMIF(108:108,E35,109:109)-SUMIF(108:108,C35,109:109)+100</f>
        <v>101</v>
      </c>
      <c r="G34" s="3309" t="s">
        <v>3390</v>
      </c>
      <c r="H34" s="559">
        <f>SUMIF(108:108,G35,109:109)-SUMIF(108:108,C35,109:109)+100</f>
        <v>100</v>
      </c>
      <c r="I34" s="3307" t="s">
        <v>3391</v>
      </c>
      <c r="J34" s="559">
        <f>SUMIF(108:108,I35,109:109)-SUMIF(108:108,C35,109:109)+100</f>
        <v>100</v>
      </c>
      <c r="K34" s="535">
        <v>1</v>
      </c>
      <c r="L34" s="2127"/>
      <c r="M34" s="2117"/>
      <c r="N34" s="2117"/>
      <c r="O34" s="2126"/>
      <c r="P34" s="4321"/>
      <c r="Q34" s="1558" t="str">
        <f t="shared" si="8"/>
        <v>毗邻道路的类型与等级</v>
      </c>
      <c r="R34" s="1559" t="s">
        <v>8</v>
      </c>
      <c r="S34" s="1560">
        <f t="shared" si="10"/>
        <v>101</v>
      </c>
      <c r="T34" s="1559" t="s">
        <v>8</v>
      </c>
      <c r="U34" s="1560">
        <f t="shared" si="11"/>
        <v>100</v>
      </c>
      <c r="V34" s="1559" t="s">
        <v>8</v>
      </c>
      <c r="W34" s="1560">
        <f t="shared" si="12"/>
        <v>100</v>
      </c>
      <c r="X34" s="1553"/>
      <c r="Y34" s="4321"/>
      <c r="Z34" s="1561" t="str">
        <f t="shared" si="13"/>
        <v>毗邻道路的类型与等级</v>
      </c>
      <c r="AA34" s="1562">
        <f t="shared" si="3"/>
        <v>0.99009900990099009</v>
      </c>
      <c r="AB34" s="1562">
        <f t="shared" si="4"/>
        <v>1</v>
      </c>
      <c r="AC34" s="1562">
        <f t="shared" si="5"/>
        <v>1</v>
      </c>
    </row>
    <row r="35" spans="1:29" ht="20.25">
      <c r="A35" s="532"/>
      <c r="B35" s="566"/>
      <c r="C35" s="554" t="s">
        <v>3388</v>
      </c>
      <c r="D35" s="557"/>
      <c r="E35" s="576" t="s">
        <v>3393</v>
      </c>
      <c r="F35" s="555"/>
      <c r="G35" s="554" t="s">
        <v>3388</v>
      </c>
      <c r="H35" s="555"/>
      <c r="I35" s="576" t="s">
        <v>3388</v>
      </c>
      <c r="J35" s="555"/>
      <c r="K35" s="581"/>
      <c r="L35" s="2127"/>
      <c r="M35" s="2117"/>
      <c r="N35" s="2117"/>
      <c r="O35" s="2126"/>
      <c r="P35" s="4321"/>
      <c r="Q35" s="1558"/>
      <c r="R35" s="1559"/>
      <c r="S35" s="1560"/>
      <c r="T35" s="1559"/>
      <c r="U35" s="1560"/>
      <c r="V35" s="1559"/>
      <c r="W35" s="1560"/>
      <c r="X35" s="1553"/>
      <c r="Y35" s="4321"/>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4321"/>
      <c r="Q36" s="1558" t="str">
        <f t="shared" si="8"/>
        <v>土地级别</v>
      </c>
      <c r="R36" s="1559" t="s">
        <v>8</v>
      </c>
      <c r="S36" s="1560">
        <f t="shared" si="10"/>
        <v>100</v>
      </c>
      <c r="T36" s="1559" t="s">
        <v>8</v>
      </c>
      <c r="U36" s="1560">
        <f t="shared" si="11"/>
        <v>100</v>
      </c>
      <c r="V36" s="1559" t="s">
        <v>8</v>
      </c>
      <c r="W36" s="1560">
        <f t="shared" si="12"/>
        <v>100</v>
      </c>
      <c r="X36" s="1553"/>
      <c r="Y36" s="4321"/>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4321"/>
      <c r="Q37" s="1558">
        <f t="shared" si="8"/>
        <v>111</v>
      </c>
      <c r="R37" s="1559" t="s">
        <v>8</v>
      </c>
      <c r="S37" s="1560">
        <f t="shared" si="10"/>
        <v>100</v>
      </c>
      <c r="T37" s="1559" t="s">
        <v>8</v>
      </c>
      <c r="U37" s="1560">
        <f t="shared" si="11"/>
        <v>100</v>
      </c>
      <c r="V37" s="1559" t="s">
        <v>8</v>
      </c>
      <c r="W37" s="1560">
        <f t="shared" si="12"/>
        <v>100</v>
      </c>
      <c r="X37" s="1553"/>
      <c r="Y37" s="4321"/>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4322" t="s">
        <v>550</v>
      </c>
      <c r="Q38" s="1558">
        <f t="shared" si="8"/>
        <v>111</v>
      </c>
      <c r="R38" s="1559" t="s">
        <v>8</v>
      </c>
      <c r="S38" s="1560">
        <f t="shared" si="10"/>
        <v>100</v>
      </c>
      <c r="T38" s="1559" t="s">
        <v>8</v>
      </c>
      <c r="U38" s="1560">
        <f t="shared" si="11"/>
        <v>100</v>
      </c>
      <c r="V38" s="1559" t="s">
        <v>8</v>
      </c>
      <c r="W38" s="1560">
        <f t="shared" si="12"/>
        <v>100</v>
      </c>
      <c r="X38" s="1553"/>
      <c r="Y38" s="4323"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4323"/>
      <c r="Q39" s="1558">
        <f t="shared" si="8"/>
        <v>111</v>
      </c>
      <c r="R39" s="1563" t="s">
        <v>8</v>
      </c>
      <c r="S39" s="1564">
        <f t="shared" si="10"/>
        <v>100</v>
      </c>
      <c r="T39" s="1563" t="s">
        <v>8</v>
      </c>
      <c r="U39" s="1564">
        <f t="shared" si="11"/>
        <v>100</v>
      </c>
      <c r="V39" s="1563" t="s">
        <v>8</v>
      </c>
      <c r="W39" s="1564">
        <f t="shared" si="12"/>
        <v>100</v>
      </c>
      <c r="X39" s="1565"/>
      <c r="Y39" s="4323"/>
      <c r="Z39" s="1566">
        <f t="shared" si="13"/>
        <v>111</v>
      </c>
      <c r="AA39" s="1562">
        <f t="shared" si="3"/>
        <v>1</v>
      </c>
      <c r="AB39" s="1562">
        <f t="shared" si="4"/>
        <v>1</v>
      </c>
      <c r="AC39" s="1562">
        <f t="shared" si="5"/>
        <v>1</v>
      </c>
    </row>
    <row r="40" spans="1:29" ht="20.25">
      <c r="A40" s="2862" t="s">
        <v>2753</v>
      </c>
      <c r="B40" s="595" t="s">
        <v>552</v>
      </c>
      <c r="C40" s="596">
        <f>'数据-基础表'!A3</f>
        <v>55432.25</v>
      </c>
      <c r="D40" s="597">
        <v>100</v>
      </c>
      <c r="E40" s="596">
        <f>Sheet2!D2</f>
        <v>26682.38</v>
      </c>
      <c r="F40" s="597">
        <f>LOOKUP(E40,119:119,120:120)-LOOKUP(C40,119:119,120:120)+100</f>
        <v>96</v>
      </c>
      <c r="G40" s="596">
        <f>Sheet2!D8</f>
        <v>32866.69</v>
      </c>
      <c r="H40" s="597">
        <f>LOOKUP(G40,119:119,120:120)-LOOKUP(C40,119:119,120:120)+100</f>
        <v>98</v>
      </c>
      <c r="I40" s="598">
        <f>Sheet2!D16</f>
        <v>35913.18</v>
      </c>
      <c r="J40" s="597">
        <f>LOOKUP(I40,119:119,120:120)-LOOKUP(C40,119:119,120:120)+100</f>
        <v>98</v>
      </c>
      <c r="K40" s="581"/>
      <c r="L40" s="2127"/>
      <c r="M40" s="2117"/>
      <c r="N40" s="2117"/>
      <c r="O40" s="2126"/>
      <c r="P40" s="4323"/>
      <c r="Q40" s="1558" t="str">
        <f>B40</f>
        <v>宗地面积</v>
      </c>
      <c r="R40" s="1559" t="s">
        <v>8</v>
      </c>
      <c r="S40" s="1560">
        <f t="shared" si="10"/>
        <v>96</v>
      </c>
      <c r="T40" s="1559" t="s">
        <v>8</v>
      </c>
      <c r="U40" s="1560">
        <f t="shared" si="11"/>
        <v>98</v>
      </c>
      <c r="V40" s="1559" t="s">
        <v>8</v>
      </c>
      <c r="W40" s="1560">
        <f t="shared" si="12"/>
        <v>98</v>
      </c>
      <c r="X40" s="1553"/>
      <c r="Y40" s="4323"/>
      <c r="Z40" s="1561" t="str">
        <f t="shared" si="13"/>
        <v>宗地面积</v>
      </c>
      <c r="AA40" s="1562">
        <f t="shared" si="3"/>
        <v>1.0416666666666667</v>
      </c>
      <c r="AB40" s="1562">
        <f t="shared" si="4"/>
        <v>1.0204081632653061</v>
      </c>
      <c r="AC40" s="1562">
        <f t="shared" si="5"/>
        <v>1.0204081632653061</v>
      </c>
    </row>
    <row r="41" spans="1:29" ht="20.25">
      <c r="A41" s="594"/>
      <c r="B41" s="527" t="s">
        <v>553</v>
      </c>
      <c r="C41" s="599" t="s">
        <v>3133</v>
      </c>
      <c r="D41" s="540">
        <v>100</v>
      </c>
      <c r="E41" s="599" t="s">
        <v>3133</v>
      </c>
      <c r="F41" s="540">
        <f>SUMIF(121:121,E41,122:122)-SUMIF(121:121,C41,122:122)+100</f>
        <v>100</v>
      </c>
      <c r="G41" s="599" t="s">
        <v>3133</v>
      </c>
      <c r="H41" s="540">
        <f>SUMIF(121:121,G41,122:122)-SUMIF(121:121,C41,122:122)+100</f>
        <v>100</v>
      </c>
      <c r="I41" s="599" t="s">
        <v>3133</v>
      </c>
      <c r="J41" s="540">
        <f>SUMIF(121:121,I41,122:122)-SUMIF(121:121,C41,122:122)+100</f>
        <v>100</v>
      </c>
      <c r="K41" s="584">
        <v>3</v>
      </c>
      <c r="L41" s="2127"/>
      <c r="M41" s="2117"/>
      <c r="N41" s="2117"/>
      <c r="O41" s="2126"/>
      <c r="P41" s="4323"/>
      <c r="Q41" s="1558" t="str">
        <f t="shared" ref="Q41:Q47" si="14">B41</f>
        <v>宗地形状</v>
      </c>
      <c r="R41" s="1559" t="s">
        <v>8</v>
      </c>
      <c r="S41" s="1560">
        <f t="shared" si="10"/>
        <v>100</v>
      </c>
      <c r="T41" s="1559" t="s">
        <v>8</v>
      </c>
      <c r="U41" s="1560">
        <f t="shared" si="11"/>
        <v>100</v>
      </c>
      <c r="V41" s="1559" t="s">
        <v>8</v>
      </c>
      <c r="W41" s="1560">
        <f t="shared" si="12"/>
        <v>100</v>
      </c>
      <c r="X41" s="1553"/>
      <c r="Y41" s="4323"/>
      <c r="Z41" s="1561" t="str">
        <f t="shared" si="13"/>
        <v>宗地形状</v>
      </c>
      <c r="AA41" s="1562">
        <f t="shared" si="3"/>
        <v>1</v>
      </c>
      <c r="AB41" s="1562">
        <f t="shared" si="4"/>
        <v>1</v>
      </c>
      <c r="AC41" s="1562">
        <f t="shared" si="5"/>
        <v>1</v>
      </c>
    </row>
    <row r="42" spans="1:29" ht="20.25">
      <c r="A42" s="594"/>
      <c r="B42" s="527" t="s">
        <v>554</v>
      </c>
      <c r="C42" s="599" t="s">
        <v>3137</v>
      </c>
      <c r="D42" s="540">
        <v>100</v>
      </c>
      <c r="E42" s="599" t="s">
        <v>3137</v>
      </c>
      <c r="F42" s="540">
        <f>SUMIF(123:123,E42,124:124)-SUMIF(123:123,C42,124:124)+100</f>
        <v>100</v>
      </c>
      <c r="G42" s="599" t="s">
        <v>3137</v>
      </c>
      <c r="H42" s="540">
        <f>SUMIF(123:123,G42,124:124)-SUMIF(123:123,C42,124:124)+100</f>
        <v>100</v>
      </c>
      <c r="I42" s="599" t="s">
        <v>3137</v>
      </c>
      <c r="J42" s="540">
        <f>SUMIF(123:123,I42,124:124)-SUMIF(123:123,C42,124:124)+100</f>
        <v>100</v>
      </c>
      <c r="K42" s="584">
        <v>2</v>
      </c>
      <c r="L42" s="2127"/>
      <c r="M42" s="2117"/>
      <c r="N42" s="2117"/>
      <c r="O42" s="2126"/>
      <c r="P42" s="4323"/>
      <c r="Q42" s="1558" t="str">
        <f t="shared" si="14"/>
        <v>临街宽度及深度</v>
      </c>
      <c r="R42" s="1559" t="s">
        <v>8</v>
      </c>
      <c r="S42" s="1560">
        <f t="shared" si="10"/>
        <v>100</v>
      </c>
      <c r="T42" s="1559" t="s">
        <v>8</v>
      </c>
      <c r="U42" s="1560">
        <f t="shared" si="11"/>
        <v>100</v>
      </c>
      <c r="V42" s="1559" t="s">
        <v>8</v>
      </c>
      <c r="W42" s="1560">
        <f t="shared" si="12"/>
        <v>100</v>
      </c>
      <c r="X42" s="1553"/>
      <c r="Y42" s="4323"/>
      <c r="Z42" s="1561" t="str">
        <f t="shared" si="13"/>
        <v>临街宽度及深度</v>
      </c>
      <c r="AA42" s="1562">
        <f t="shared" si="3"/>
        <v>1</v>
      </c>
      <c r="AB42" s="1562">
        <f t="shared" si="4"/>
        <v>1</v>
      </c>
      <c r="AC42" s="1562">
        <f t="shared" si="5"/>
        <v>1</v>
      </c>
    </row>
    <row r="43" spans="1:29" s="1216" customFormat="1" ht="20.25">
      <c r="A43" s="600"/>
      <c r="B43" s="1880" t="s">
        <v>2424</v>
      </c>
      <c r="C43" s="601" t="s">
        <v>3029</v>
      </c>
      <c r="D43" s="255">
        <v>100</v>
      </c>
      <c r="E43" s="601" t="s">
        <v>3035</v>
      </c>
      <c r="F43" s="540">
        <f>SUMIF(125:125,E43,126:126)-SUMIF(125:125,C43,126:126)+100</f>
        <v>98</v>
      </c>
      <c r="G43" s="601" t="s">
        <v>3035</v>
      </c>
      <c r="H43" s="540">
        <f>SUMIF(125:125,G43,126:126)-SUMIF(125:125,C43,126:126)+100</f>
        <v>98</v>
      </c>
      <c r="I43" s="601" t="s">
        <v>3035</v>
      </c>
      <c r="J43" s="540">
        <f>SUMIF(125:125,I43,126:126)-SUMIF(125:125,C43,126:126)+100</f>
        <v>98</v>
      </c>
      <c r="K43" s="584">
        <v>2</v>
      </c>
      <c r="L43" s="2120"/>
      <c r="M43" s="2117"/>
      <c r="N43" s="2117"/>
      <c r="O43" s="2122"/>
      <c r="P43" s="4323"/>
      <c r="Q43" s="1558" t="str">
        <f t="shared" si="14"/>
        <v>宗地开发程度</v>
      </c>
      <c r="R43" s="1554" t="s">
        <v>8</v>
      </c>
      <c r="S43" s="1555">
        <f t="shared" si="10"/>
        <v>98</v>
      </c>
      <c r="T43" s="1554" t="s">
        <v>8</v>
      </c>
      <c r="U43" s="1555">
        <f t="shared" si="11"/>
        <v>98</v>
      </c>
      <c r="V43" s="1554" t="s">
        <v>8</v>
      </c>
      <c r="W43" s="1555">
        <f t="shared" si="12"/>
        <v>98</v>
      </c>
      <c r="X43" s="1556"/>
      <c r="Y43" s="4323"/>
      <c r="Z43" s="1146" t="str">
        <f t="shared" si="13"/>
        <v>宗地开发程度</v>
      </c>
      <c r="AA43" s="1557">
        <f t="shared" si="3"/>
        <v>1.0204081632653061</v>
      </c>
      <c r="AB43" s="1557">
        <f t="shared" si="4"/>
        <v>1.0204081632653061</v>
      </c>
      <c r="AC43" s="1557">
        <f t="shared" si="5"/>
        <v>1.0204081632653061</v>
      </c>
    </row>
    <row r="44" spans="1:29" ht="20.25">
      <c r="A44" s="594"/>
      <c r="B44" s="527" t="s">
        <v>555</v>
      </c>
      <c r="C44" s="599" t="s">
        <v>3013</v>
      </c>
      <c r="D44" s="540">
        <v>100</v>
      </c>
      <c r="E44" s="599" t="s">
        <v>3013</v>
      </c>
      <c r="F44" s="540">
        <f>SUMIF(127:127,E44,128:128)-SUMIF(127:127,C44,128:128)+100</f>
        <v>100</v>
      </c>
      <c r="G44" s="599" t="s">
        <v>3013</v>
      </c>
      <c r="H44" s="540">
        <f>SUMIF(127:127,G44,128:128)-SUMIF(127:127,C44,128:128)+100</f>
        <v>100</v>
      </c>
      <c r="I44" s="599" t="s">
        <v>3013</v>
      </c>
      <c r="J44" s="540">
        <f>SUMIF(127:127,I44,128:128)-SUMIF(127:127,C44,128:128)+100</f>
        <v>100</v>
      </c>
      <c r="K44" s="584">
        <v>2</v>
      </c>
      <c r="L44" s="2127"/>
      <c r="M44" s="2117"/>
      <c r="N44" s="2117"/>
      <c r="O44" s="2126"/>
      <c r="P44" s="4323" t="s">
        <v>550</v>
      </c>
      <c r="Q44" s="1558" t="str">
        <f t="shared" si="14"/>
        <v>工程地质条件</v>
      </c>
      <c r="R44" s="1559" t="s">
        <v>8</v>
      </c>
      <c r="S44" s="1560">
        <f t="shared" si="10"/>
        <v>100</v>
      </c>
      <c r="T44" s="1559" t="s">
        <v>8</v>
      </c>
      <c r="U44" s="1560">
        <f t="shared" si="11"/>
        <v>100</v>
      </c>
      <c r="V44" s="1559" t="s">
        <v>8</v>
      </c>
      <c r="W44" s="1560">
        <f t="shared" si="12"/>
        <v>100</v>
      </c>
      <c r="X44" s="1553"/>
      <c r="Y44" s="4323"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4323"/>
      <c r="Q45" s="1558">
        <f t="shared" si="14"/>
        <v>111</v>
      </c>
      <c r="R45" s="1559" t="s">
        <v>8</v>
      </c>
      <c r="S45" s="1560">
        <f t="shared" si="10"/>
        <v>100</v>
      </c>
      <c r="T45" s="1559" t="s">
        <v>8</v>
      </c>
      <c r="U45" s="1560">
        <f t="shared" si="11"/>
        <v>100</v>
      </c>
      <c r="V45" s="1559" t="s">
        <v>8</v>
      </c>
      <c r="W45" s="1560">
        <f t="shared" si="12"/>
        <v>100</v>
      </c>
      <c r="X45" s="1553"/>
      <c r="Y45" s="4323"/>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4323"/>
      <c r="Q46" s="1558">
        <f t="shared" si="14"/>
        <v>111</v>
      </c>
      <c r="R46" s="1559" t="s">
        <v>8</v>
      </c>
      <c r="S46" s="1560">
        <f t="shared" si="10"/>
        <v>100</v>
      </c>
      <c r="T46" s="1559" t="s">
        <v>8</v>
      </c>
      <c r="U46" s="1560">
        <f t="shared" si="11"/>
        <v>100</v>
      </c>
      <c r="V46" s="1559" t="s">
        <v>8</v>
      </c>
      <c r="W46" s="1560">
        <f t="shared" si="12"/>
        <v>100</v>
      </c>
      <c r="X46" s="1553"/>
      <c r="Y46" s="4323"/>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4323"/>
      <c r="Q47" s="1558">
        <f t="shared" si="14"/>
        <v>111</v>
      </c>
      <c r="R47" s="1563" t="s">
        <v>8</v>
      </c>
      <c r="S47" s="1564">
        <f t="shared" si="10"/>
        <v>100</v>
      </c>
      <c r="T47" s="1563" t="s">
        <v>8</v>
      </c>
      <c r="U47" s="1564">
        <f t="shared" si="11"/>
        <v>100</v>
      </c>
      <c r="V47" s="1563" t="s">
        <v>8</v>
      </c>
      <c r="W47" s="1564">
        <f t="shared" si="12"/>
        <v>100</v>
      </c>
      <c r="X47" s="1565"/>
      <c r="Y47" s="4323"/>
      <c r="Z47" s="1566">
        <f t="shared" si="13"/>
        <v>111</v>
      </c>
      <c r="AA47" s="1562">
        <f t="shared" si="3"/>
        <v>1</v>
      </c>
      <c r="AB47" s="1562">
        <f t="shared" si="4"/>
        <v>1</v>
      </c>
      <c r="AC47" s="1562">
        <f t="shared" si="5"/>
        <v>1</v>
      </c>
    </row>
    <row r="48" spans="1:29" ht="20.25">
      <c r="A48" s="607" t="s">
        <v>556</v>
      </c>
      <c r="B48" s="608" t="s">
        <v>3139</v>
      </c>
      <c r="C48" s="609" t="s">
        <v>1</v>
      </c>
      <c r="D48" s="610"/>
      <c r="E48" s="3320">
        <f>Sheet2!K2</f>
        <v>1459.99</v>
      </c>
      <c r="F48" s="3321"/>
      <c r="G48" s="3322">
        <f>Sheet2!K8</f>
        <v>1296.1500000000001</v>
      </c>
      <c r="H48" s="3323"/>
      <c r="I48" s="3320">
        <f>Sheet2!K16</f>
        <v>1485</v>
      </c>
      <c r="J48" s="614"/>
      <c r="K48" s="1336"/>
      <c r="L48" s="2129"/>
      <c r="M48" s="2117"/>
      <c r="N48" s="2117"/>
      <c r="O48" s="2130"/>
      <c r="P48" s="4286" t="str">
        <f>A48</f>
        <v>成交单价</v>
      </c>
      <c r="Q48" s="4286"/>
      <c r="R48" s="4287">
        <f>E48</f>
        <v>1459.99</v>
      </c>
      <c r="S48" s="4287"/>
      <c r="T48" s="4287">
        <f>G48</f>
        <v>1296.1500000000001</v>
      </c>
      <c r="U48" s="4287"/>
      <c r="V48" s="4287">
        <f>I48</f>
        <v>1485</v>
      </c>
      <c r="W48" s="4287"/>
      <c r="X48" s="1545"/>
      <c r="Y48" s="1567"/>
      <c r="Z48" s="1545"/>
      <c r="AA48" s="1545"/>
      <c r="AB48" s="1545"/>
      <c r="AC48" s="1545"/>
    </row>
    <row r="49" spans="1:29" ht="21" thickBot="1">
      <c r="A49" s="615" t="s">
        <v>2691</v>
      </c>
      <c r="B49" s="616"/>
      <c r="C49" s="617">
        <f>R50</f>
        <v>1538</v>
      </c>
      <c r="D49" s="618"/>
      <c r="E49" s="617">
        <f>R49</f>
        <v>1635</v>
      </c>
      <c r="F49" s="619"/>
      <c r="G49" s="620">
        <f>T49</f>
        <v>1381</v>
      </c>
      <c r="H49" s="618"/>
      <c r="I49" s="617">
        <f>V49</f>
        <v>1599</v>
      </c>
      <c r="J49" s="618"/>
      <c r="K49" s="1337"/>
      <c r="L49" s="2129"/>
      <c r="M49" s="2117"/>
      <c r="N49" s="2117"/>
      <c r="O49" s="2130"/>
      <c r="P49" s="4286" t="str">
        <f>A49</f>
        <v>比较价格（元/平方米）</v>
      </c>
      <c r="Q49" s="4286"/>
      <c r="R49" s="4288">
        <f>ROUND(PRODUCT(R48,AA9:AA47),0)</f>
        <v>1635</v>
      </c>
      <c r="S49" s="4288"/>
      <c r="T49" s="4288">
        <f>ROUND(PRODUCT(T48,AB9:AB47),0)</f>
        <v>1381</v>
      </c>
      <c r="U49" s="4288"/>
      <c r="V49" s="4288">
        <f>ROUND(PRODUCT(V48,AC9:AC47),0)</f>
        <v>1599</v>
      </c>
      <c r="W49" s="4288"/>
      <c r="X49" s="1545"/>
      <c r="Y49" s="1545"/>
      <c r="Z49" s="1545"/>
      <c r="AA49" s="1545"/>
      <c r="AB49" s="1545"/>
      <c r="AC49" s="1545"/>
    </row>
    <row r="50" spans="1:29" ht="21" thickBot="1">
      <c r="A50" s="621" t="s">
        <v>2931</v>
      </c>
      <c r="B50" s="622"/>
      <c r="C50" s="623">
        <f>R50</f>
        <v>1538</v>
      </c>
      <c r="D50" s="623"/>
      <c r="E50" s="623"/>
      <c r="F50" s="623"/>
      <c r="G50" s="623"/>
      <c r="H50" s="623"/>
      <c r="I50" s="623"/>
      <c r="J50" s="623"/>
      <c r="K50" s="1338"/>
      <c r="L50" s="2129"/>
      <c r="M50" s="2117"/>
      <c r="N50" s="2117"/>
      <c r="O50" s="2130"/>
      <c r="P50" s="4283" t="str">
        <f>A50</f>
        <v>估价对象XX用房的比较价格（楼面单价，元/平方米）</v>
      </c>
      <c r="Q50" s="4284"/>
      <c r="R50" s="4285">
        <f>ROUND(AVERAGE(R49:V49),0)</f>
        <v>1538</v>
      </c>
      <c r="S50" s="4285"/>
      <c r="T50" s="4285"/>
      <c r="U50" s="4285"/>
      <c r="V50" s="4285"/>
      <c r="W50" s="4285"/>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0.11987068404578105</v>
      </c>
      <c r="F53" s="627" t="str">
        <f>IF(OR(E53&gt;=0.3,E53&lt;=-0.3),"超过30%","")</f>
        <v/>
      </c>
      <c r="G53" s="626">
        <f>IF(G48&lt;G49,G49/G48-1,G48/G49-1)</f>
        <v>6.5463102264398332E-2</v>
      </c>
      <c r="H53" s="627" t="str">
        <f>IF(OR(G53&gt;=0.3,G53&lt;=-0.3),"超过30%","")</f>
        <v/>
      </c>
      <c r="I53" s="626">
        <f>IF(I48&lt;I49,I49/I48-1,I48/I49-1)</f>
        <v>7.6767676767676818E-2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0.18392469225199126</v>
      </c>
      <c r="F54" s="627" t="str">
        <f>IF(OR(E54&gt;=0.2,E54&lt;=-0.2),"超过20%","")</f>
        <v/>
      </c>
      <c r="G54" s="626">
        <f>IF(G49&lt;I49,I49/G49-1,G49/I49-1)</f>
        <v>0.15785662563359892</v>
      </c>
      <c r="H54" s="627" t="str">
        <f>IF(OR(G54&gt;=0.2,G54&lt;=-0.2),"超过20%","")</f>
        <v/>
      </c>
      <c r="I54" s="626">
        <f>IF(I49&lt;E49,E49/I49-1,I49/E49-1)</f>
        <v>2.2514071294559068E-2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0.12640512286386607</v>
      </c>
      <c r="F55" s="627" t="str">
        <f>IF(OR(E55&gt;=0.3,E55&lt;=-0.3),"超过30%","")</f>
        <v/>
      </c>
      <c r="G55" s="626">
        <f>IF(G48&lt;I48,I48/G48-1,G48/I48-1)</f>
        <v>0.14570072908228204</v>
      </c>
      <c r="H55" s="627" t="str">
        <f>IF(OR(G55&gt;=0.3,G55&lt;=-0.3),"超过30%","")</f>
        <v/>
      </c>
      <c r="I55" s="626">
        <f>IF(I48&lt;E48,E48/I48-1,I48/E48-1)</f>
        <v>1.7130254316810367E-2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4312" t="s">
        <v>2281</v>
      </c>
      <c r="H57" s="4313"/>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1538</v>
      </c>
      <c r="C58" s="635">
        <v>1</v>
      </c>
      <c r="D58" s="2213">
        <v>1</v>
      </c>
      <c r="E58" s="635">
        <f>'数据-汇总表'!E8+'数据-汇总表'!E9</f>
        <v>43718.01</v>
      </c>
      <c r="F58" s="636">
        <f t="shared" ref="F58:F67" si="15">ROUND(B58*E58/10000,0)</f>
        <v>6724</v>
      </c>
      <c r="G58" s="4314"/>
      <c r="H58" s="4315"/>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4316"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4316"/>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4316"/>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4316"/>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0</v>
      </c>
      <c r="C63" s="378">
        <f t="shared" si="16"/>
        <v>0</v>
      </c>
      <c r="D63" s="2214">
        <v>0.25</v>
      </c>
      <c r="E63" s="641">
        <f>'数据-汇总表'!E11</f>
        <v>0</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18144.46</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61862.47</v>
      </c>
      <c r="F68" s="644">
        <f>IF(B48="楼面地价",SUM(F58:F67),ROUND(C50*E68/10000,0))</f>
        <v>6724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2019-7-1</v>
      </c>
      <c r="D70" s="2754">
        <f>EDATE(C70,-3)</f>
        <v>43556</v>
      </c>
      <c r="E70" s="2754">
        <f t="shared" ref="E70:N70" si="18">EDATE(D70,-3)</f>
        <v>43466</v>
      </c>
      <c r="F70" s="2754">
        <f t="shared" si="18"/>
        <v>43374</v>
      </c>
      <c r="G70" s="2754">
        <f t="shared" si="18"/>
        <v>43282</v>
      </c>
      <c r="H70" s="2754">
        <f t="shared" si="18"/>
        <v>43191</v>
      </c>
      <c r="I70" s="2754">
        <f t="shared" si="18"/>
        <v>43101</v>
      </c>
      <c r="J70" s="2754">
        <f t="shared" si="18"/>
        <v>43009</v>
      </c>
      <c r="K70" s="2754">
        <f t="shared" si="18"/>
        <v>42917</v>
      </c>
      <c r="L70" s="2754">
        <f t="shared" si="18"/>
        <v>42826</v>
      </c>
      <c r="M70" s="2754">
        <f t="shared" si="18"/>
        <v>42736</v>
      </c>
      <c r="N70" s="2754">
        <f t="shared" si="18"/>
        <v>42644</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2645</v>
      </c>
      <c r="B73" s="479" t="str">
        <f>"北京市平均增长率"&amp;TEXT(SUMIF(基准地价!N21:N25,A73,基准地价!P21:P25),"0.00%")</f>
        <v>北京市平均增长率2.04%</v>
      </c>
      <c r="C73" s="894">
        <v>100</v>
      </c>
      <c r="D73" s="730">
        <v>99</v>
      </c>
      <c r="E73" s="730">
        <v>98</v>
      </c>
      <c r="F73" s="730">
        <v>97</v>
      </c>
      <c r="G73" s="730">
        <v>96</v>
      </c>
      <c r="H73" s="730"/>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2644</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9" t="s">
        <v>3124</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88" t="s">
        <v>3125</v>
      </c>
      <c r="D108" s="3188" t="s">
        <v>3126</v>
      </c>
      <c r="E108" s="3188" t="s">
        <v>3127</v>
      </c>
      <c r="F108" s="3188" t="s">
        <v>3128</v>
      </c>
      <c r="G108" s="3188" t="s">
        <v>3129</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10000(含)-30000</v>
      </c>
      <c r="E118" s="704" t="str">
        <f t="shared" si="25"/>
        <v>30000(含)-50000</v>
      </c>
      <c r="F118" s="704" t="str">
        <f t="shared" si="25"/>
        <v>50000(含)-100000</v>
      </c>
      <c r="G118" s="704" t="str">
        <f t="shared" si="25"/>
        <v>100000(含)-150000</v>
      </c>
      <c r="H118" s="704" t="str">
        <f t="shared" si="25"/>
        <v>150000(含)-200000</v>
      </c>
      <c r="I118" s="704" t="str">
        <f t="shared" si="25"/>
        <v>200000(含)-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30000</v>
      </c>
      <c r="F119" s="730">
        <v>50000</v>
      </c>
      <c r="G119" s="730">
        <v>100000</v>
      </c>
      <c r="H119" s="730">
        <v>150000</v>
      </c>
      <c r="I119" s="730">
        <v>200000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88</v>
      </c>
      <c r="D120" s="726">
        <v>90</v>
      </c>
      <c r="E120" s="726">
        <v>92</v>
      </c>
      <c r="F120" s="726">
        <v>94</v>
      </c>
      <c r="G120" s="726">
        <v>96</v>
      </c>
      <c r="H120" s="726">
        <v>98</v>
      </c>
      <c r="I120" s="726">
        <v>100</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0" t="s">
        <v>3132</v>
      </c>
      <c r="D121" s="3190" t="s">
        <v>3134</v>
      </c>
      <c r="E121" s="3190" t="s">
        <v>3135</v>
      </c>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188" t="s">
        <v>3138</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1" t="s">
        <v>3131</v>
      </c>
      <c r="D125" s="1371" t="s">
        <v>3136</v>
      </c>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8" t="s">
        <v>3130</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4292" t="s">
        <v>522</v>
      </c>
      <c r="D6" s="4293"/>
      <c r="E6" s="4326" t="s">
        <v>523</v>
      </c>
      <c r="F6" s="4327"/>
      <c r="G6" s="4292" t="s">
        <v>524</v>
      </c>
      <c r="H6" s="4293"/>
      <c r="I6" s="4292" t="s">
        <v>525</v>
      </c>
      <c r="J6" s="4293"/>
      <c r="K6" s="514" t="s">
        <v>526</v>
      </c>
      <c r="L6" s="2118"/>
      <c r="M6" s="2119"/>
      <c r="N6" s="2119"/>
      <c r="O6" s="2119"/>
      <c r="P6" s="4294" t="s">
        <v>527</v>
      </c>
      <c r="Q6" s="4295"/>
      <c r="R6" s="4300" t="s">
        <v>523</v>
      </c>
      <c r="S6" s="4301"/>
      <c r="T6" s="4300" t="s">
        <v>524</v>
      </c>
      <c r="U6" s="4301"/>
      <c r="V6" s="4287" t="s">
        <v>525</v>
      </c>
      <c r="W6" s="4287"/>
      <c r="X6" s="1553"/>
      <c r="Y6" s="4300" t="s">
        <v>527</v>
      </c>
      <c r="Z6" s="4301"/>
      <c r="AA6" s="4289" t="s">
        <v>523</v>
      </c>
      <c r="AB6" s="4290" t="s">
        <v>524</v>
      </c>
      <c r="AC6" s="4289" t="s">
        <v>525</v>
      </c>
    </row>
    <row r="7" spans="1:29" ht="15">
      <c r="A7" s="515"/>
      <c r="B7" s="516"/>
      <c r="C7" s="4308" t="s">
        <v>2925</v>
      </c>
      <c r="D7" s="4309"/>
      <c r="E7" s="4328" t="s">
        <v>2926</v>
      </c>
      <c r="F7" s="4329"/>
      <c r="G7" s="4308" t="s">
        <v>2927</v>
      </c>
      <c r="H7" s="4309"/>
      <c r="I7" s="4308" t="s">
        <v>2928</v>
      </c>
      <c r="J7" s="4309"/>
      <c r="K7" s="514"/>
      <c r="L7" s="2118"/>
      <c r="M7" s="2119"/>
      <c r="N7" s="2119"/>
      <c r="O7" s="2119"/>
      <c r="P7" s="4296"/>
      <c r="Q7" s="4297"/>
      <c r="R7" s="4302"/>
      <c r="S7" s="4303"/>
      <c r="T7" s="4302"/>
      <c r="U7" s="4303"/>
      <c r="V7" s="4287"/>
      <c r="W7" s="4287"/>
      <c r="X7" s="1553"/>
      <c r="Y7" s="4302"/>
      <c r="Z7" s="4303"/>
      <c r="AA7" s="4290"/>
      <c r="AB7" s="4290"/>
      <c r="AC7" s="4290"/>
    </row>
    <row r="8" spans="1:29" ht="15.75" thickBot="1">
      <c r="A8" s="517"/>
      <c r="B8" s="518"/>
      <c r="C8" s="4306" t="s">
        <v>2929</v>
      </c>
      <c r="D8" s="4307"/>
      <c r="E8" s="4324" t="s">
        <v>2929</v>
      </c>
      <c r="F8" s="4325"/>
      <c r="G8" s="4306" t="s">
        <v>2929</v>
      </c>
      <c r="H8" s="4307"/>
      <c r="I8" s="4306" t="s">
        <v>2929</v>
      </c>
      <c r="J8" s="4307"/>
      <c r="K8" s="514" t="s">
        <v>528</v>
      </c>
      <c r="L8" s="2118"/>
      <c r="M8" s="2119"/>
      <c r="N8" s="2119"/>
      <c r="O8" s="2119"/>
      <c r="P8" s="4298"/>
      <c r="Q8" s="4299"/>
      <c r="R8" s="4302"/>
      <c r="S8" s="4303"/>
      <c r="T8" s="4304"/>
      <c r="U8" s="4305"/>
      <c r="V8" s="4287"/>
      <c r="W8" s="4287"/>
      <c r="X8" s="1553"/>
      <c r="Y8" s="4304"/>
      <c r="Z8" s="4305"/>
      <c r="AA8" s="4291"/>
      <c r="AB8" s="4291"/>
      <c r="AC8" s="4291"/>
    </row>
    <row r="9" spans="1:29" s="1216" customFormat="1" ht="15.75" thickBot="1">
      <c r="A9" s="2867"/>
      <c r="B9" s="2874" t="s">
        <v>529</v>
      </c>
      <c r="C9" s="519">
        <f>'数据-取费表'!B2</f>
        <v>43647</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4317" t="s">
        <v>530</v>
      </c>
      <c r="Q9" s="4319"/>
      <c r="R9" s="1554" t="s">
        <v>8</v>
      </c>
      <c r="S9" s="1555">
        <f t="shared" ref="S9:S17" si="0">F9</f>
        <v>0</v>
      </c>
      <c r="T9" s="1554" t="s">
        <v>8</v>
      </c>
      <c r="U9" s="1555">
        <f t="shared" ref="U9:U17" si="1">H9</f>
        <v>0</v>
      </c>
      <c r="V9" s="1554" t="s">
        <v>8</v>
      </c>
      <c r="W9" s="1555">
        <f t="shared" ref="W9:W17" si="2">J9</f>
        <v>0</v>
      </c>
      <c r="X9" s="1556"/>
      <c r="Y9" s="4317" t="s">
        <v>530</v>
      </c>
      <c r="Z9" s="4318"/>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4317" t="s">
        <v>533</v>
      </c>
      <c r="Q10" s="4318"/>
      <c r="R10" s="1554" t="s">
        <v>8</v>
      </c>
      <c r="S10" s="1555">
        <f t="shared" si="0"/>
        <v>0</v>
      </c>
      <c r="T10" s="1554" t="s">
        <v>8</v>
      </c>
      <c r="U10" s="1555">
        <f t="shared" si="1"/>
        <v>0</v>
      </c>
      <c r="V10" s="1554" t="s">
        <v>8</v>
      </c>
      <c r="W10" s="1555">
        <f t="shared" si="2"/>
        <v>0</v>
      </c>
      <c r="X10" s="1556"/>
      <c r="Y10" s="4317" t="s">
        <v>533</v>
      </c>
      <c r="Z10" s="4318"/>
      <c r="AA10" s="1557" t="e">
        <f t="shared" ref="AA10:AA42" si="3">D10/F10</f>
        <v>#DIV/0!</v>
      </c>
      <c r="AB10" s="1557" t="e">
        <f t="shared" ref="AB10:AB42" si="4">D10/H10</f>
        <v>#DIV/0!</v>
      </c>
      <c r="AC10" s="1557" t="e">
        <f t="shared" ref="AC10:AC42" si="5">D10/J10</f>
        <v>#DIV/0!</v>
      </c>
    </row>
    <row r="11" spans="1:29" s="1216" customFormat="1" ht="15">
      <c r="A11" s="2869"/>
      <c r="B11" s="2876" t="s">
        <v>2754</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4286" t="s">
        <v>535</v>
      </c>
      <c r="Q11" s="1147" t="str">
        <f t="shared" ref="Q11:Q17" si="6">B11</f>
        <v>用途</v>
      </c>
      <c r="R11" s="1554" t="s">
        <v>8</v>
      </c>
      <c r="S11" s="1555">
        <f t="shared" si="0"/>
        <v>100</v>
      </c>
      <c r="T11" s="1554" t="s">
        <v>8</v>
      </c>
      <c r="U11" s="1555">
        <f t="shared" si="1"/>
        <v>100</v>
      </c>
      <c r="V11" s="1554" t="s">
        <v>8</v>
      </c>
      <c r="W11" s="1555">
        <f t="shared" si="2"/>
        <v>100</v>
      </c>
      <c r="X11" s="1556"/>
      <c r="Y11" s="4232" t="s">
        <v>536</v>
      </c>
      <c r="Z11" s="1146" t="str">
        <f t="shared" ref="Z11:Z17" si="7">Q11</f>
        <v>用途</v>
      </c>
      <c r="AA11" s="1557">
        <f t="shared" si="3"/>
        <v>1</v>
      </c>
      <c r="AB11" s="1557">
        <f t="shared" si="4"/>
        <v>1</v>
      </c>
      <c r="AC11" s="1557">
        <f t="shared" si="5"/>
        <v>1</v>
      </c>
    </row>
    <row r="12" spans="1:29" s="1334" customFormat="1" ht="27">
      <c r="A12" s="2870"/>
      <c r="B12" s="2875" t="s">
        <v>2755</v>
      </c>
      <c r="C12" s="528"/>
      <c r="D12" s="255">
        <v>100</v>
      </c>
      <c r="E12" s="528"/>
      <c r="F12" s="255">
        <f>ROUND(100/'数据-取费表'!G16,0)</f>
        <v>104</v>
      </c>
      <c r="G12" s="528"/>
      <c r="H12" s="255">
        <f>ROUND(100/'数据-取费表'!G16,0)</f>
        <v>104</v>
      </c>
      <c r="I12" s="528"/>
      <c r="J12" s="255">
        <f>ROUND(100/'数据-取费表'!G16,0)</f>
        <v>104</v>
      </c>
      <c r="K12" s="531"/>
      <c r="L12" s="2123"/>
      <c r="M12" s="2163"/>
      <c r="N12" s="2163"/>
      <c r="O12" s="2124"/>
      <c r="P12" s="4286"/>
      <c r="Q12" s="1147" t="str">
        <f t="shared" si="6"/>
        <v>土地使用年限（年）</v>
      </c>
      <c r="R12" s="1554" t="s">
        <v>8</v>
      </c>
      <c r="S12" s="1555">
        <f t="shared" si="0"/>
        <v>104</v>
      </c>
      <c r="T12" s="1554" t="s">
        <v>8</v>
      </c>
      <c r="U12" s="1555">
        <f t="shared" si="1"/>
        <v>104</v>
      </c>
      <c r="V12" s="1554" t="s">
        <v>8</v>
      </c>
      <c r="W12" s="1555">
        <f t="shared" si="2"/>
        <v>104</v>
      </c>
      <c r="X12" s="1556"/>
      <c r="Y12" s="4232"/>
      <c r="Z12" s="1146" t="str">
        <f t="shared" si="7"/>
        <v>土地使用年限（年）</v>
      </c>
      <c r="AA12" s="1557">
        <f t="shared" si="3"/>
        <v>0.96153846153846156</v>
      </c>
      <c r="AB12" s="1557">
        <f t="shared" si="4"/>
        <v>0.96153846153846156</v>
      </c>
      <c r="AC12" s="1557">
        <f t="shared" si="5"/>
        <v>0.96153846153846156</v>
      </c>
    </row>
    <row r="13" spans="1:29" ht="15">
      <c r="A13" s="2871"/>
      <c r="B13" s="2875"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4286"/>
      <c r="Q13" s="1147" t="str">
        <f t="shared" si="6"/>
        <v>容积率</v>
      </c>
      <c r="R13" s="1554" t="s">
        <v>8</v>
      </c>
      <c r="S13" s="1555" t="e">
        <f t="shared" si="0"/>
        <v>#N/A</v>
      </c>
      <c r="T13" s="1554" t="s">
        <v>8</v>
      </c>
      <c r="U13" s="1555" t="e">
        <f t="shared" si="1"/>
        <v>#N/A</v>
      </c>
      <c r="V13" s="1554" t="s">
        <v>8</v>
      </c>
      <c r="W13" s="1555" t="e">
        <f t="shared" si="2"/>
        <v>#N/A</v>
      </c>
      <c r="X13" s="1556"/>
      <c r="Y13" s="4232"/>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4286"/>
      <c r="Q14" s="1147">
        <f t="shared" si="6"/>
        <v>111</v>
      </c>
      <c r="R14" s="1554" t="s">
        <v>8</v>
      </c>
      <c r="S14" s="1555">
        <f t="shared" si="0"/>
        <v>100</v>
      </c>
      <c r="T14" s="1554" t="s">
        <v>8</v>
      </c>
      <c r="U14" s="1555">
        <f t="shared" si="1"/>
        <v>100</v>
      </c>
      <c r="V14" s="1554" t="s">
        <v>8</v>
      </c>
      <c r="W14" s="1555">
        <f t="shared" si="2"/>
        <v>100</v>
      </c>
      <c r="X14" s="1556"/>
      <c r="Y14" s="4232"/>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4286"/>
      <c r="Q15" s="1147">
        <f t="shared" si="6"/>
        <v>111</v>
      </c>
      <c r="R15" s="1554" t="s">
        <v>8</v>
      </c>
      <c r="S15" s="1555">
        <f t="shared" si="0"/>
        <v>100</v>
      </c>
      <c r="T15" s="1554" t="s">
        <v>8</v>
      </c>
      <c r="U15" s="1555">
        <f t="shared" si="1"/>
        <v>100</v>
      </c>
      <c r="V15" s="1554" t="s">
        <v>8</v>
      </c>
      <c r="W15" s="1555">
        <f t="shared" si="2"/>
        <v>100</v>
      </c>
      <c r="X15" s="1556"/>
      <c r="Y15" s="4232"/>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4286"/>
      <c r="Q16" s="1147">
        <f t="shared" si="6"/>
        <v>111</v>
      </c>
      <c r="R16" s="1554" t="s">
        <v>8</v>
      </c>
      <c r="S16" s="1555">
        <f t="shared" si="0"/>
        <v>100</v>
      </c>
      <c r="T16" s="1554" t="s">
        <v>8</v>
      </c>
      <c r="U16" s="1555">
        <f t="shared" si="1"/>
        <v>100</v>
      </c>
      <c r="V16" s="1554" t="s">
        <v>8</v>
      </c>
      <c r="W16" s="1555">
        <f t="shared" si="2"/>
        <v>100</v>
      </c>
      <c r="X16" s="1556"/>
      <c r="Y16" s="4232"/>
      <c r="Z16" s="1146">
        <f t="shared" si="7"/>
        <v>111</v>
      </c>
      <c r="AA16" s="1557">
        <f t="shared" si="3"/>
        <v>1</v>
      </c>
      <c r="AB16" s="1557">
        <f t="shared" si="4"/>
        <v>1</v>
      </c>
      <c r="AC16" s="1557">
        <f t="shared" si="5"/>
        <v>1</v>
      </c>
    </row>
    <row r="17" spans="1:29" ht="57">
      <c r="A17" s="2865"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4320" t="s">
        <v>540</v>
      </c>
      <c r="Q17" s="1558" t="str">
        <f t="shared" si="6"/>
        <v>产业集聚程度</v>
      </c>
      <c r="R17" s="1559" t="s">
        <v>8</v>
      </c>
      <c r="S17" s="1560">
        <f t="shared" si="0"/>
        <v>100</v>
      </c>
      <c r="T17" s="1559" t="s">
        <v>8</v>
      </c>
      <c r="U17" s="1560">
        <f t="shared" si="1"/>
        <v>100</v>
      </c>
      <c r="V17" s="1559" t="s">
        <v>8</v>
      </c>
      <c r="W17" s="1560">
        <f t="shared" si="2"/>
        <v>100</v>
      </c>
      <c r="X17" s="1553"/>
      <c r="Y17" s="4320"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4321"/>
      <c r="Q18" s="1558"/>
      <c r="R18" s="1559"/>
      <c r="S18" s="1560"/>
      <c r="T18" s="1559"/>
      <c r="U18" s="1560"/>
      <c r="V18" s="1559"/>
      <c r="W18" s="1560"/>
      <c r="X18" s="1553"/>
      <c r="Y18" s="4321"/>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4321"/>
      <c r="Q19" s="1558" t="str">
        <f>B19</f>
        <v>交通便捷度</v>
      </c>
      <c r="R19" s="1559" t="s">
        <v>8</v>
      </c>
      <c r="S19" s="1560">
        <f>F19</f>
        <v>100</v>
      </c>
      <c r="T19" s="1559" t="s">
        <v>8</v>
      </c>
      <c r="U19" s="1560">
        <f>H19</f>
        <v>100</v>
      </c>
      <c r="V19" s="1559" t="s">
        <v>8</v>
      </c>
      <c r="W19" s="1560">
        <f>J19</f>
        <v>100</v>
      </c>
      <c r="X19" s="1553"/>
      <c r="Y19" s="4321"/>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4321"/>
      <c r="Q20" s="1558"/>
      <c r="R20" s="1559"/>
      <c r="S20" s="1560"/>
      <c r="T20" s="1559"/>
      <c r="U20" s="1560"/>
      <c r="V20" s="1559"/>
      <c r="W20" s="1560"/>
      <c r="X20" s="1553"/>
      <c r="Y20" s="4321"/>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4321"/>
      <c r="Q21" s="1558" t="str">
        <f t="shared" ref="Q21:Q35" si="8">B21</f>
        <v>区域土地利用方向</v>
      </c>
      <c r="R21" s="1559" t="s">
        <v>8</v>
      </c>
      <c r="S21" s="1560">
        <f>F21</f>
        <v>100</v>
      </c>
      <c r="T21" s="1559" t="s">
        <v>8</v>
      </c>
      <c r="U21" s="1560">
        <f>H21</f>
        <v>100</v>
      </c>
      <c r="V21" s="1559" t="s">
        <v>8</v>
      </c>
      <c r="W21" s="1560">
        <f>J21</f>
        <v>100</v>
      </c>
      <c r="X21" s="1553"/>
      <c r="Y21" s="4321"/>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4321"/>
      <c r="Q22" s="1558"/>
      <c r="R22" s="1559"/>
      <c r="S22" s="1560"/>
      <c r="T22" s="1559"/>
      <c r="U22" s="1560"/>
      <c r="V22" s="1559"/>
      <c r="W22" s="1560"/>
      <c r="X22" s="1553"/>
      <c r="Y22" s="4321"/>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4321"/>
      <c r="Q23" s="1558" t="str">
        <f t="shared" si="8"/>
        <v>环境状况</v>
      </c>
      <c r="R23" s="1559" t="s">
        <v>8</v>
      </c>
      <c r="S23" s="1560">
        <f>F23</f>
        <v>100</v>
      </c>
      <c r="T23" s="1559" t="s">
        <v>8</v>
      </c>
      <c r="U23" s="1560">
        <f>H23</f>
        <v>100</v>
      </c>
      <c r="V23" s="1559" t="s">
        <v>8</v>
      </c>
      <c r="W23" s="1560">
        <f>J23</f>
        <v>100</v>
      </c>
      <c r="X23" s="1553"/>
      <c r="Y23" s="4321"/>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4321"/>
      <c r="Q24" s="1558"/>
      <c r="R24" s="1559"/>
      <c r="S24" s="1560"/>
      <c r="T24" s="1559"/>
      <c r="U24" s="1560"/>
      <c r="V24" s="1559"/>
      <c r="W24" s="1560"/>
      <c r="X24" s="1553"/>
      <c r="Y24" s="4321"/>
      <c r="Z24" s="1561"/>
      <c r="AA24" s="1562">
        <v>1</v>
      </c>
      <c r="AB24" s="1562">
        <v>1</v>
      </c>
      <c r="AC24" s="1562">
        <v>1</v>
      </c>
    </row>
    <row r="25" spans="1:29" s="1216" customFormat="1" ht="42.75">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4321"/>
      <c r="Q25" s="1147" t="str">
        <f t="shared" si="8"/>
        <v>公共配套设施</v>
      </c>
      <c r="R25" s="1554" t="s">
        <v>8</v>
      </c>
      <c r="S25" s="1555">
        <f>F25</f>
        <v>100</v>
      </c>
      <c r="T25" s="1554" t="s">
        <v>8</v>
      </c>
      <c r="U25" s="1555">
        <f>H25</f>
        <v>100</v>
      </c>
      <c r="V25" s="1554" t="s">
        <v>8</v>
      </c>
      <c r="W25" s="1555">
        <f>J25</f>
        <v>100</v>
      </c>
      <c r="X25" s="1556"/>
      <c r="Y25" s="4321"/>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4321"/>
      <c r="Q26" s="1147"/>
      <c r="R26" s="1554"/>
      <c r="S26" s="1555"/>
      <c r="T26" s="1554"/>
      <c r="U26" s="1555"/>
      <c r="V26" s="1554"/>
      <c r="W26" s="1555"/>
      <c r="X26" s="1556"/>
      <c r="Y26" s="4321"/>
      <c r="Z26" s="1146"/>
      <c r="AA26" s="1557">
        <v>1</v>
      </c>
      <c r="AB26" s="1557">
        <v>1</v>
      </c>
      <c r="AC26" s="1557">
        <v>1</v>
      </c>
    </row>
    <row r="27" spans="1:29" s="1216" customFormat="1" ht="28.5">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4321"/>
      <c r="Q27" s="2542" t="str">
        <f t="shared" ref="Q27" si="9">B27</f>
        <v>基础设施水平</v>
      </c>
      <c r="R27" s="1554" t="s">
        <v>8</v>
      </c>
      <c r="S27" s="1555">
        <f>F27</f>
        <v>100</v>
      </c>
      <c r="T27" s="1554" t="s">
        <v>8</v>
      </c>
      <c r="U27" s="1555">
        <f>H27</f>
        <v>100</v>
      </c>
      <c r="V27" s="1554" t="s">
        <v>8</v>
      </c>
      <c r="W27" s="1555">
        <f>J27</f>
        <v>100</v>
      </c>
      <c r="X27" s="1556"/>
      <c r="Y27" s="4321"/>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4321"/>
      <c r="Q28" s="2542"/>
      <c r="R28" s="1554"/>
      <c r="S28" s="1555"/>
      <c r="T28" s="1554"/>
      <c r="U28" s="1555"/>
      <c r="V28" s="1554"/>
      <c r="W28" s="1555"/>
      <c r="X28" s="1556"/>
      <c r="Y28" s="4321"/>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4321"/>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4321"/>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4321"/>
      <c r="Q30" s="1558" t="str">
        <f t="shared" si="8"/>
        <v>毗邻道路的类型与等级</v>
      </c>
      <c r="R30" s="1559" t="s">
        <v>8</v>
      </c>
      <c r="S30" s="1560">
        <f t="shared" si="10"/>
        <v>100</v>
      </c>
      <c r="T30" s="1559" t="s">
        <v>8</v>
      </c>
      <c r="U30" s="1560">
        <f t="shared" si="11"/>
        <v>100</v>
      </c>
      <c r="V30" s="1559" t="s">
        <v>8</v>
      </c>
      <c r="W30" s="1560">
        <f t="shared" si="12"/>
        <v>100</v>
      </c>
      <c r="X30" s="1553"/>
      <c r="Y30" s="4321"/>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4321"/>
      <c r="Q31" s="1558"/>
      <c r="R31" s="1559"/>
      <c r="S31" s="1560"/>
      <c r="T31" s="1559"/>
      <c r="U31" s="1560"/>
      <c r="V31" s="1559"/>
      <c r="W31" s="1560"/>
      <c r="X31" s="1553"/>
      <c r="Y31" s="4321"/>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4321"/>
      <c r="Q32" s="1558" t="str">
        <f t="shared" si="8"/>
        <v>土地级别</v>
      </c>
      <c r="R32" s="1559" t="s">
        <v>8</v>
      </c>
      <c r="S32" s="1560">
        <f t="shared" si="10"/>
        <v>100</v>
      </c>
      <c r="T32" s="1559" t="s">
        <v>8</v>
      </c>
      <c r="U32" s="1560">
        <f t="shared" si="11"/>
        <v>100</v>
      </c>
      <c r="V32" s="1559" t="s">
        <v>8</v>
      </c>
      <c r="W32" s="1560">
        <f t="shared" si="12"/>
        <v>100</v>
      </c>
      <c r="X32" s="1553"/>
      <c r="Y32" s="4321"/>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4321"/>
      <c r="Q33" s="1558">
        <f t="shared" si="8"/>
        <v>111</v>
      </c>
      <c r="R33" s="1559" t="s">
        <v>8</v>
      </c>
      <c r="S33" s="1560">
        <f t="shared" si="10"/>
        <v>100</v>
      </c>
      <c r="T33" s="1559" t="s">
        <v>8</v>
      </c>
      <c r="U33" s="1560">
        <f t="shared" si="11"/>
        <v>100</v>
      </c>
      <c r="V33" s="1559" t="s">
        <v>8</v>
      </c>
      <c r="W33" s="1560">
        <f t="shared" si="12"/>
        <v>100</v>
      </c>
      <c r="X33" s="1553"/>
      <c r="Y33" s="4321"/>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4322" t="s">
        <v>550</v>
      </c>
      <c r="Q34" s="1558">
        <f t="shared" si="8"/>
        <v>111</v>
      </c>
      <c r="R34" s="1559" t="s">
        <v>8</v>
      </c>
      <c r="S34" s="1560">
        <f t="shared" si="10"/>
        <v>100</v>
      </c>
      <c r="T34" s="1559" t="s">
        <v>8</v>
      </c>
      <c r="U34" s="1560">
        <f t="shared" si="11"/>
        <v>100</v>
      </c>
      <c r="V34" s="1559" t="s">
        <v>8</v>
      </c>
      <c r="W34" s="1560">
        <f t="shared" si="12"/>
        <v>100</v>
      </c>
      <c r="X34" s="1553"/>
      <c r="Y34" s="4323"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4323"/>
      <c r="Q35" s="1558">
        <f t="shared" si="8"/>
        <v>111</v>
      </c>
      <c r="R35" s="1563" t="s">
        <v>8</v>
      </c>
      <c r="S35" s="1564">
        <f t="shared" si="10"/>
        <v>100</v>
      </c>
      <c r="T35" s="1563" t="s">
        <v>8</v>
      </c>
      <c r="U35" s="1564">
        <f t="shared" si="11"/>
        <v>100</v>
      </c>
      <c r="V35" s="1563" t="s">
        <v>8</v>
      </c>
      <c r="W35" s="1564">
        <f t="shared" si="12"/>
        <v>100</v>
      </c>
      <c r="X35" s="1565"/>
      <c r="Y35" s="4323"/>
      <c r="Z35" s="1566">
        <f t="shared" si="13"/>
        <v>111</v>
      </c>
      <c r="AA35" s="1562">
        <f t="shared" si="3"/>
        <v>1</v>
      </c>
      <c r="AB35" s="1562">
        <f t="shared" si="4"/>
        <v>1</v>
      </c>
      <c r="AC35" s="1562">
        <f t="shared" si="5"/>
        <v>1</v>
      </c>
    </row>
    <row r="36" spans="1:29" ht="15">
      <c r="A36" s="2862"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4323"/>
      <c r="Q36" s="1558" t="str">
        <f>B36</f>
        <v>宗地面积</v>
      </c>
      <c r="R36" s="1559" t="s">
        <v>8</v>
      </c>
      <c r="S36" s="1560" t="e">
        <f t="shared" si="10"/>
        <v>#N/A</v>
      </c>
      <c r="T36" s="1559" t="s">
        <v>8</v>
      </c>
      <c r="U36" s="1560" t="e">
        <f t="shared" si="11"/>
        <v>#N/A</v>
      </c>
      <c r="V36" s="1559" t="s">
        <v>8</v>
      </c>
      <c r="W36" s="1560" t="e">
        <f t="shared" si="12"/>
        <v>#N/A</v>
      </c>
      <c r="X36" s="1553"/>
      <c r="Y36" s="4323"/>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4323"/>
      <c r="Q37" s="1558" t="str">
        <f t="shared" ref="Q37:Q42" si="14">B37</f>
        <v>宗地形状</v>
      </c>
      <c r="R37" s="1559" t="s">
        <v>8</v>
      </c>
      <c r="S37" s="1560">
        <f t="shared" si="10"/>
        <v>100</v>
      </c>
      <c r="T37" s="1559" t="s">
        <v>8</v>
      </c>
      <c r="U37" s="1560">
        <f t="shared" si="11"/>
        <v>100</v>
      </c>
      <c r="V37" s="1559" t="s">
        <v>8</v>
      </c>
      <c r="W37" s="1560">
        <f t="shared" si="12"/>
        <v>100</v>
      </c>
      <c r="X37" s="1553"/>
      <c r="Y37" s="4323"/>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4323"/>
      <c r="Q38" s="1558" t="str">
        <f t="shared" si="14"/>
        <v>宗地开发程度</v>
      </c>
      <c r="R38" s="1554" t="s">
        <v>8</v>
      </c>
      <c r="S38" s="1555">
        <f t="shared" si="10"/>
        <v>100</v>
      </c>
      <c r="T38" s="1554" t="s">
        <v>8</v>
      </c>
      <c r="U38" s="1555">
        <f t="shared" si="11"/>
        <v>100</v>
      </c>
      <c r="V38" s="1554" t="s">
        <v>8</v>
      </c>
      <c r="W38" s="1555">
        <f t="shared" si="12"/>
        <v>100</v>
      </c>
      <c r="X38" s="1556"/>
      <c r="Y38" s="4323"/>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4323" t="s">
        <v>601</v>
      </c>
      <c r="Q39" s="1558" t="str">
        <f t="shared" si="14"/>
        <v>工程地质条件</v>
      </c>
      <c r="R39" s="1559" t="s">
        <v>8</v>
      </c>
      <c r="S39" s="1560">
        <f t="shared" si="10"/>
        <v>100</v>
      </c>
      <c r="T39" s="1559" t="s">
        <v>8</v>
      </c>
      <c r="U39" s="1560">
        <f t="shared" si="11"/>
        <v>100</v>
      </c>
      <c r="V39" s="1559" t="s">
        <v>8</v>
      </c>
      <c r="W39" s="1560">
        <f t="shared" si="12"/>
        <v>100</v>
      </c>
      <c r="X39" s="1553"/>
      <c r="Y39" s="4323"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4323"/>
      <c r="Q40" s="1558">
        <f t="shared" si="14"/>
        <v>111</v>
      </c>
      <c r="R40" s="1559" t="s">
        <v>8</v>
      </c>
      <c r="S40" s="1560">
        <f t="shared" si="10"/>
        <v>100</v>
      </c>
      <c r="T40" s="1559" t="s">
        <v>8</v>
      </c>
      <c r="U40" s="1560">
        <f t="shared" si="11"/>
        <v>100</v>
      </c>
      <c r="V40" s="1559" t="s">
        <v>8</v>
      </c>
      <c r="W40" s="1560">
        <f t="shared" si="12"/>
        <v>100</v>
      </c>
      <c r="X40" s="1553"/>
      <c r="Y40" s="4323"/>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4323"/>
      <c r="Q41" s="1558">
        <f t="shared" si="14"/>
        <v>111</v>
      </c>
      <c r="R41" s="1559" t="s">
        <v>8</v>
      </c>
      <c r="S41" s="1560">
        <f t="shared" si="10"/>
        <v>100</v>
      </c>
      <c r="T41" s="1559" t="s">
        <v>8</v>
      </c>
      <c r="U41" s="1560">
        <f t="shared" si="11"/>
        <v>100</v>
      </c>
      <c r="V41" s="1559" t="s">
        <v>8</v>
      </c>
      <c r="W41" s="1560">
        <f t="shared" si="12"/>
        <v>100</v>
      </c>
      <c r="X41" s="1553"/>
      <c r="Y41" s="4323"/>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4323"/>
      <c r="Q42" s="1558">
        <f t="shared" si="14"/>
        <v>111</v>
      </c>
      <c r="R42" s="1563" t="s">
        <v>8</v>
      </c>
      <c r="S42" s="1564">
        <f t="shared" si="10"/>
        <v>100</v>
      </c>
      <c r="T42" s="1563" t="s">
        <v>8</v>
      </c>
      <c r="U42" s="1564">
        <f t="shared" si="11"/>
        <v>100</v>
      </c>
      <c r="V42" s="1563" t="s">
        <v>8</v>
      </c>
      <c r="W42" s="1564">
        <f t="shared" si="12"/>
        <v>100</v>
      </c>
      <c r="X42" s="1565"/>
      <c r="Y42" s="4323"/>
      <c r="Z42" s="1566">
        <f t="shared" si="13"/>
        <v>111</v>
      </c>
      <c r="AA42" s="1562">
        <f t="shared" si="3"/>
        <v>1</v>
      </c>
      <c r="AB42" s="1562">
        <f t="shared" si="4"/>
        <v>1</v>
      </c>
      <c r="AC42" s="1562">
        <f t="shared" si="5"/>
        <v>1</v>
      </c>
    </row>
    <row r="43" spans="1:29" ht="15">
      <c r="A43" s="607" t="s">
        <v>556</v>
      </c>
      <c r="B43" s="608" t="s">
        <v>2930</v>
      </c>
      <c r="C43" s="609" t="s">
        <v>1</v>
      </c>
      <c r="D43" s="610"/>
      <c r="E43" s="611"/>
      <c r="F43" s="612"/>
      <c r="G43" s="613"/>
      <c r="H43" s="614"/>
      <c r="I43" s="611"/>
      <c r="J43" s="614"/>
      <c r="K43" s="1336"/>
      <c r="L43" s="2129"/>
      <c r="M43" s="2119"/>
      <c r="N43" s="2119"/>
      <c r="O43" s="2130"/>
      <c r="P43" s="4286" t="str">
        <f>A43</f>
        <v>成交单价</v>
      </c>
      <c r="Q43" s="4286"/>
      <c r="R43" s="4287">
        <f>E43</f>
        <v>0</v>
      </c>
      <c r="S43" s="4287"/>
      <c r="T43" s="4287">
        <f>G43</f>
        <v>0</v>
      </c>
      <c r="U43" s="4287"/>
      <c r="V43" s="4287">
        <f>I43</f>
        <v>0</v>
      </c>
      <c r="W43" s="4287"/>
      <c r="X43" s="1545"/>
      <c r="Y43" s="1567"/>
      <c r="Z43" s="1545"/>
      <c r="AA43" s="1545"/>
      <c r="AB43" s="1545"/>
      <c r="AC43" s="1545"/>
    </row>
    <row r="44" spans="1:29" ht="15.75" thickBot="1">
      <c r="A44" s="615" t="s">
        <v>2691</v>
      </c>
      <c r="B44" s="616"/>
      <c r="C44" s="617" t="e">
        <f>R45</f>
        <v>#DIV/0!</v>
      </c>
      <c r="D44" s="618"/>
      <c r="E44" s="617" t="e">
        <f>R44</f>
        <v>#DIV/0!</v>
      </c>
      <c r="F44" s="619"/>
      <c r="G44" s="620" t="e">
        <f>T44</f>
        <v>#DIV/0!</v>
      </c>
      <c r="H44" s="618"/>
      <c r="I44" s="617" t="e">
        <f>V44</f>
        <v>#DIV/0!</v>
      </c>
      <c r="J44" s="618"/>
      <c r="K44" s="1337"/>
      <c r="L44" s="2129"/>
      <c r="M44" s="2119"/>
      <c r="N44" s="2119"/>
      <c r="O44" s="2130"/>
      <c r="P44" s="4286" t="str">
        <f>A44</f>
        <v>比较价格（元/平方米）</v>
      </c>
      <c r="Q44" s="4286"/>
      <c r="R44" s="4288" t="e">
        <f>ROUND(PRODUCT(R43,AA9:AA42),0)</f>
        <v>#DIV/0!</v>
      </c>
      <c r="S44" s="4288"/>
      <c r="T44" s="4288" t="e">
        <f>ROUND(PRODUCT(T43,AB9:AB42),0)</f>
        <v>#DIV/0!</v>
      </c>
      <c r="U44" s="4288"/>
      <c r="V44" s="4288" t="e">
        <f>ROUND(PRODUCT(V43,AC9:AC42),0)</f>
        <v>#DIV/0!</v>
      </c>
      <c r="W44" s="4288"/>
      <c r="X44" s="1545"/>
      <c r="Y44" s="1545"/>
      <c r="Z44" s="1545"/>
      <c r="AA44" s="1545"/>
      <c r="AB44" s="1545"/>
      <c r="AC44" s="1545"/>
    </row>
    <row r="45" spans="1:29" ht="15.75" thickBot="1">
      <c r="A45" s="621" t="s">
        <v>2931</v>
      </c>
      <c r="B45" s="622"/>
      <c r="C45" s="623" t="e">
        <f>R45</f>
        <v>#DIV/0!</v>
      </c>
      <c r="D45" s="623"/>
      <c r="E45" s="623"/>
      <c r="F45" s="623"/>
      <c r="G45" s="623"/>
      <c r="H45" s="623"/>
      <c r="I45" s="623"/>
      <c r="J45" s="623"/>
      <c r="K45" s="1338"/>
      <c r="L45" s="2129"/>
      <c r="M45" s="2119"/>
      <c r="N45" s="2119"/>
      <c r="O45" s="2130"/>
      <c r="P45" s="4283" t="str">
        <f>A45</f>
        <v>估价对象XX用房的比较价格（楼面单价，元/平方米）</v>
      </c>
      <c r="Q45" s="4284"/>
      <c r="R45" s="4285" t="e">
        <f>ROUND(AVERAGE(R44:V44),0)</f>
        <v>#DIV/0!</v>
      </c>
      <c r="S45" s="4285"/>
      <c r="T45" s="4285"/>
      <c r="U45" s="4285"/>
      <c r="V45" s="4285"/>
      <c r="W45" s="4285"/>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4330" t="s">
        <v>2284</v>
      </c>
      <c r="H52" s="4331"/>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43718.01</v>
      </c>
      <c r="F53" s="1935" t="e">
        <f t="shared" ref="F53:F62" si="15">ROUND(B53*E53/10000,0)</f>
        <v>#DIV/0!</v>
      </c>
      <c r="G53" s="4332"/>
      <c r="H53" s="433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4334"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4334"/>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4334"/>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4334"/>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18144.46</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55432.25</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2019-7-1</v>
      </c>
      <c r="D65" s="2754">
        <f>EDATE(C65,-3)</f>
        <v>43556</v>
      </c>
      <c r="E65" s="2754">
        <f t="shared" ref="E65:N65" si="18">EDATE(D65,-3)</f>
        <v>43466</v>
      </c>
      <c r="F65" s="2754">
        <f t="shared" si="18"/>
        <v>43374</v>
      </c>
      <c r="G65" s="2754">
        <f t="shared" si="18"/>
        <v>43282</v>
      </c>
      <c r="H65" s="2754">
        <f t="shared" si="18"/>
        <v>43191</v>
      </c>
      <c r="I65" s="2754">
        <f t="shared" si="18"/>
        <v>43101</v>
      </c>
      <c r="J65" s="2754">
        <f t="shared" si="18"/>
        <v>43009</v>
      </c>
      <c r="K65" s="2754">
        <f t="shared" si="18"/>
        <v>42917</v>
      </c>
      <c r="L65" s="2754">
        <f t="shared" si="18"/>
        <v>42826</v>
      </c>
      <c r="M65" s="2754">
        <f t="shared" si="18"/>
        <v>42736</v>
      </c>
      <c r="N65" s="2754">
        <f t="shared" si="18"/>
        <v>42644</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2531</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2647</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2760</v>
      </c>
      <c r="S1" s="2891" t="s">
        <v>2761</v>
      </c>
      <c r="T1" s="2891" t="s">
        <v>2782</v>
      </c>
      <c r="U1" s="2891" t="s">
        <v>2783</v>
      </c>
      <c r="V1" s="2891" t="s">
        <v>2784</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0.8</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48"/>
      <c r="L4" s="1870" t="s">
        <v>2241</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1" t="e">
        <f>ROUND(C6+C16,0)</f>
        <v>#DIV/0!</v>
      </c>
      <c r="E5" s="3071"/>
      <c r="F5" s="1412"/>
      <c r="G5" s="1413"/>
      <c r="H5" s="1413"/>
      <c r="I5" s="1413"/>
      <c r="J5" s="1414"/>
      <c r="K5" s="3149"/>
      <c r="L5" s="1870" t="s">
        <v>2242</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4346"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2763</v>
      </c>
      <c r="X7" s="2882">
        <f>G2</f>
        <v>0</v>
      </c>
      <c r="Y7" s="2882" t="s">
        <v>2764</v>
      </c>
      <c r="Z7" s="2883">
        <f>G3</f>
        <v>0.8</v>
      </c>
      <c r="AA7" s="2177"/>
      <c r="AB7" s="2177"/>
      <c r="AC7" s="2178"/>
      <c r="AD7" s="2884"/>
      <c r="AE7" s="2884"/>
      <c r="AF7" s="2884"/>
      <c r="AG7" s="2884"/>
      <c r="AH7" s="2884"/>
      <c r="AI7" s="2884"/>
      <c r="AJ7" s="2885"/>
    </row>
    <row r="8" spans="1:39" ht="15">
      <c r="A8" s="4347"/>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4336" t="s">
        <v>2781</v>
      </c>
      <c r="X8" s="4337"/>
      <c r="Y8" s="1834" t="s">
        <v>2765</v>
      </c>
      <c r="Z8" s="1834" t="s">
        <v>2766</v>
      </c>
      <c r="AA8" s="1834" t="s">
        <v>2767</v>
      </c>
      <c r="AB8" s="1834" t="s">
        <v>2768</v>
      </c>
      <c r="AC8" s="1834" t="s">
        <v>2769</v>
      </c>
      <c r="AD8" s="1834" t="s">
        <v>2770</v>
      </c>
      <c r="AE8" s="1834" t="s">
        <v>2771</v>
      </c>
      <c r="AF8" s="1834" t="s">
        <v>2772</v>
      </c>
      <c r="AG8" s="1834" t="s">
        <v>2773</v>
      </c>
      <c r="AH8" s="1834" t="s">
        <v>2774</v>
      </c>
      <c r="AI8" s="1834" t="s">
        <v>2775</v>
      </c>
      <c r="AJ8" s="1834" t="s">
        <v>2776</v>
      </c>
    </row>
    <row r="9" spans="1:39" ht="15">
      <c r="A9" s="4347"/>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4335" t="s">
        <v>2777</v>
      </c>
      <c r="X9" s="2886" t="s">
        <v>2778</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4347"/>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4335"/>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4347"/>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4335" t="s">
        <v>2779</v>
      </c>
      <c r="X11" s="1048" t="s">
        <v>2764</v>
      </c>
      <c r="Y11" s="1638">
        <f>$G$3</f>
        <v>0.8</v>
      </c>
      <c r="Z11" s="1638">
        <f t="shared" ref="Z11:AJ11" si="3">$G$3</f>
        <v>0.8</v>
      </c>
      <c r="AA11" s="1638">
        <f t="shared" si="3"/>
        <v>0.8</v>
      </c>
      <c r="AB11" s="1638">
        <f t="shared" si="3"/>
        <v>0.8</v>
      </c>
      <c r="AC11" s="1638">
        <f t="shared" si="3"/>
        <v>0.8</v>
      </c>
      <c r="AD11" s="1638">
        <f t="shared" si="3"/>
        <v>0.8</v>
      </c>
      <c r="AE11" s="1638">
        <f t="shared" si="3"/>
        <v>0.8</v>
      </c>
      <c r="AF11" s="1638">
        <f t="shared" si="3"/>
        <v>0.8</v>
      </c>
      <c r="AG11" s="1638">
        <f t="shared" si="3"/>
        <v>0.8</v>
      </c>
      <c r="AH11" s="1638">
        <f t="shared" si="3"/>
        <v>0.8</v>
      </c>
      <c r="AI11" s="1638">
        <f t="shared" si="3"/>
        <v>0.8</v>
      </c>
      <c r="AJ11" s="1638">
        <f t="shared" si="3"/>
        <v>0.8</v>
      </c>
    </row>
    <row r="12" spans="1:39" ht="25.5" thickBot="1">
      <c r="A12" s="4346"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4335"/>
      <c r="X12" s="2889" t="s">
        <v>2780</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4348"/>
      <c r="B13" s="1440" t="s">
        <v>1696</v>
      </c>
      <c r="C13" s="1441" t="s">
        <v>1697</v>
      </c>
      <c r="D13" s="1085" t="s">
        <v>1698</v>
      </c>
      <c r="E13" s="1085" t="s">
        <v>1699</v>
      </c>
      <c r="F13" s="1442" t="s">
        <v>948</v>
      </c>
      <c r="G13" s="1443" t="s">
        <v>1642</v>
      </c>
      <c r="H13" s="1444" t="s">
        <v>1642</v>
      </c>
      <c r="I13" s="1445" t="s">
        <v>1642</v>
      </c>
      <c r="J13" s="1446" t="s">
        <v>1642</v>
      </c>
      <c r="K13" s="3164"/>
      <c r="L13" s="3164"/>
      <c r="M13" s="3164"/>
      <c r="N13" s="3164"/>
      <c r="O13" s="3164"/>
      <c r="P13" s="1397"/>
      <c r="Q13" s="2174"/>
      <c r="R13" s="2892">
        <v>12</v>
      </c>
      <c r="S13" s="2881"/>
      <c r="T13" s="2892" t="e">
        <f t="shared" si="0"/>
        <v>#DIV/0!</v>
      </c>
      <c r="U13" s="2881"/>
      <c r="V13" s="2892" t="e">
        <f t="shared" si="1"/>
        <v>#DIV/0!</v>
      </c>
      <c r="W13" s="4335"/>
      <c r="X13" s="2889"/>
      <c r="Y13" s="2888">
        <f>(-0.163*(Y12^2)-0.59*Y12+7617)*(10^(-4))/Y11</f>
        <v>0.952125</v>
      </c>
      <c r="Z13" s="2888">
        <f t="shared" ref="Z13:AJ13" si="5">(-0.163*(Z12^2)-0.59*Z12+7617)*(10^(-4))/Z11</f>
        <v>0.952125</v>
      </c>
      <c r="AA13" s="2888">
        <f t="shared" si="5"/>
        <v>0.952125</v>
      </c>
      <c r="AB13" s="2888">
        <f t="shared" si="5"/>
        <v>0.952125</v>
      </c>
      <c r="AC13" s="2888">
        <f t="shared" si="5"/>
        <v>0.952125</v>
      </c>
      <c r="AD13" s="2888">
        <f t="shared" si="5"/>
        <v>0.952125</v>
      </c>
      <c r="AE13" s="2888">
        <f t="shared" si="5"/>
        <v>0.952125</v>
      </c>
      <c r="AF13" s="2888">
        <f t="shared" si="5"/>
        <v>0.952125</v>
      </c>
      <c r="AG13" s="2888">
        <f t="shared" si="5"/>
        <v>0.952125</v>
      </c>
      <c r="AH13" s="2888">
        <f t="shared" si="5"/>
        <v>0.952125</v>
      </c>
      <c r="AI13" s="2888">
        <f t="shared" si="5"/>
        <v>0.952125</v>
      </c>
      <c r="AJ13" s="2888">
        <f t="shared" si="5"/>
        <v>0.952125</v>
      </c>
    </row>
    <row r="14" spans="1:39" ht="12.75" customHeight="1">
      <c r="A14" s="4348"/>
      <c r="B14" s="1447"/>
      <c r="C14" s="1448"/>
      <c r="D14" s="1449"/>
      <c r="E14" s="1449"/>
      <c r="F14" s="1450"/>
      <c r="G14" s="1451" t="s">
        <v>949</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4349"/>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4346" t="s">
        <v>1838</v>
      </c>
      <c r="B16" s="1423" t="s">
        <v>950</v>
      </c>
      <c r="C16" s="1052" t="e">
        <f>ROUND(IF(F17="与级别开发程度一致",0,(G17-E17)/C17),0)</f>
        <v>#DIV/0!</v>
      </c>
      <c r="D16" s="4343" t="s">
        <v>954</v>
      </c>
      <c r="E16" s="4344"/>
      <c r="F16" s="4343" t="s">
        <v>951</v>
      </c>
      <c r="G16" s="4344"/>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4350"/>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0" t="s">
        <v>955</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t="e">
        <f>ROUND(IF(H19="按公示增长率计算",SUMPRODUCT((地价!A3:A27=YEAR(G19)&amp;"-"&amp;ROUNDUP(MONTH(G19)/3,0))*(地价!X2:AB2=E2)*(地价!X3:AB27)),IF(H19="地价指数",M20/M19,(1+I19)^O19)),4)</f>
        <v>#VALUE!</v>
      </c>
      <c r="D19" s="1462" t="s">
        <v>957</v>
      </c>
      <c r="E19" s="1054">
        <v>41640</v>
      </c>
      <c r="F19" s="1462" t="s">
        <v>958</v>
      </c>
      <c r="G19" s="1055">
        <f>'数据-取费表'!B2</f>
        <v>43647</v>
      </c>
      <c r="H19" s="1463"/>
      <c r="I19" s="2740" t="str">
        <f>IF(H19="季度增幅（自定义）",SUMIF(N21:N24,E2,O21:O24),"")</f>
        <v/>
      </c>
      <c r="J19" s="1459"/>
      <c r="K19" s="3149"/>
      <c r="L19" s="2992" t="s">
        <v>2839</v>
      </c>
      <c r="M19" s="2993">
        <f>ROUND(SUMIF(地价!B2:F2,E2,地价!B27:F27),0)</f>
        <v>0</v>
      </c>
      <c r="N19" s="2742" t="s">
        <v>1676</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6">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2840</v>
      </c>
      <c r="M20" s="3158">
        <f>ROUND(SUMPRODUCT((地价!A4:A27=YEAR(G19)&amp;"-"&amp;ROUNDUP(MONTH(G19)/3,0))*(地价!B2:F2=E2)*(地价!B4:F27)),0)</f>
        <v>0</v>
      </c>
      <c r="N20" s="2745" t="s">
        <v>2643</v>
      </c>
      <c r="O20" s="2743" t="s">
        <v>2642</v>
      </c>
      <c r="P20" s="2744" t="s">
        <v>2648</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2759</v>
      </c>
      <c r="C21" s="1154">
        <f>IF(B21="容积率修正",IF(G3&lt;=10,D22,J22),C23)</f>
        <v>0</v>
      </c>
      <c r="D21" s="1469"/>
      <c r="E21" s="1469"/>
      <c r="F21" s="1469"/>
      <c r="G21" s="1469"/>
      <c r="H21" s="1469"/>
      <c r="I21" s="1469"/>
      <c r="J21" s="1470"/>
      <c r="K21" s="3149"/>
      <c r="L21" s="1469"/>
      <c r="M21" s="1469"/>
      <c r="N21" s="1466" t="s">
        <v>975</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0.8</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0.8</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69"/>
      <c r="M22" s="1469"/>
      <c r="N22" s="1466" t="s">
        <v>978</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923</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3"/>
      <c r="L24" s="1469"/>
      <c r="M24" s="1469"/>
      <c r="N24" s="1466" t="s">
        <v>981</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9" t="s">
        <v>2646</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4353" t="s">
        <v>2956</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4354"/>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4354"/>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4355"/>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2983</v>
      </c>
      <c r="C41" s="839" t="e">
        <f>ROUND(POWER(1+E41,H41-G41)*(POWER(1+E41,G41)-1)/(POWER(1+E41,H41)-1),4)</f>
        <v>#DIV/0!</v>
      </c>
      <c r="D41" s="378" t="s">
        <v>2981</v>
      </c>
      <c r="E41" s="3146">
        <f>G20</f>
        <v>0</v>
      </c>
      <c r="F41" s="378" t="s">
        <v>2982</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48">
      <c r="A47" s="1063" t="s">
        <v>1020</v>
      </c>
      <c r="B47" s="2375" t="str">
        <f>估价对象房地状况!C16</f>
        <v>估价对象周边商业为项目内部商业街，周边商业氛围较好，人流量较大，商业繁华度较好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60">
      <c r="A48" s="1063" t="s">
        <v>1021</v>
      </c>
      <c r="B48" s="2372" t="str">
        <f>估价对象房地状况!C18</f>
        <v>周边道路密集程度一般、公共交通通达情况一般，有107路，203路、等公交线路通过，停车便捷程度一般，综合评价交通便捷度一般。</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t="str">
        <f>估价对象房地状况!C19</f>
        <v>区域土地利用方向较一致；</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8" t="s">
        <v>2933</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t="str">
        <f>估价对象房地状况!C24</f>
        <v>城市次干道-创意大道</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7" t="s">
        <v>2932</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60">
      <c r="A53" s="2404" t="s">
        <v>1026</v>
      </c>
      <c r="B53" s="2373" t="str">
        <f>估价对象房地状况!C21</f>
        <v>所在区域2公里范围内有银行（中国邮政储蓄银行）、学校（巴川中学）、商业（无）、医院（无）等配套设施，公共配套设施一般；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所在区域基础设施水平达六通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48.75" thickBot="1">
      <c r="A55" s="2405" t="s">
        <v>1028</v>
      </c>
      <c r="B55" s="2376" t="str">
        <f>估价对象房地状况!C20</f>
        <v>周边自然环境（项目内部天鹅湖）；人文环境（潼南区图书馆），综合评价环境状况较好；</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60">
      <c r="A59" s="1063" t="s">
        <v>1021</v>
      </c>
      <c r="B59" s="2372" t="str">
        <f>估价对象房地状况!C18</f>
        <v>周边道路密集程度一般、公共交通通达情况一般，有107路，203路、等公交线路通过，停车便捷程度一般，综合评价交通便捷度一般。</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t="str">
        <f>估价对象房地状况!C19</f>
        <v>区域土地利用方向较一致；</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8" t="s">
        <v>2934</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t="str">
        <f>估价对象房地状况!C24</f>
        <v>城市次干道-创意大道</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7" t="s">
        <v>2932</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60">
      <c r="A64" s="1063" t="s">
        <v>1026</v>
      </c>
      <c r="B64" s="2373" t="str">
        <f>估价对象房地状况!C21</f>
        <v>所在区域2公里范围内有银行（中国邮政储蓄银行）、学校（巴川中学）、商业（无）、医院（无）等配套设施，公共配套设施一般；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所在区域基础设施水平达六通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48.75" thickBot="1">
      <c r="A66" s="2405" t="s">
        <v>1028</v>
      </c>
      <c r="B66" s="2377" t="str">
        <f>估价对象房地状况!C20</f>
        <v>周边自然环境（项目内部天鹅湖）；人文环境（潼南区图书馆），综合评价环境状况较好；</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36">
      <c r="A69" s="1063" t="s">
        <v>1032</v>
      </c>
      <c r="B69" s="2375" t="str">
        <f>估价对象房地状况!C15</f>
        <v>周边居住氛围一遍，有潼南天地、卓然铂金公馆等住宅小区，居住社区成熟度较好</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60">
      <c r="A70" s="1063" t="s">
        <v>1033</v>
      </c>
      <c r="B70" s="2372" t="str">
        <f>估价对象房地状况!C18</f>
        <v>周边道路密集程度一般、公共交通通达情况一般，有107路，203路、等公交线路通过，停车便捷程度一般，综合评价交通便捷度一般。</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t="str">
        <f>估价对象房地状况!C19</f>
        <v>区域土地利用方向较一致；</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t="str">
        <f>估价对象房地状况!C24</f>
        <v>城市次干道-创意大道</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60">
      <c r="A73" s="1063" t="s">
        <v>1026</v>
      </c>
      <c r="B73" s="2373" t="str">
        <f>估价对象房地状况!C21</f>
        <v>所在区域2公里范围内有银行（中国邮政储蓄银行）、学校（巴川中学）、商业（无）、医院（无）等配套设施，公共配套设施一般；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所在区域基础设施水平达六通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7" t="s">
        <v>2932</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48">
      <c r="A76" s="1063" t="s">
        <v>1028</v>
      </c>
      <c r="B76" s="2375" t="str">
        <f>估价对象房地状况!C20</f>
        <v>周边自然环境（项目内部天鹅湖）；人文环境（潼南区图书馆），综合评价环境状况较好；</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7" t="s">
        <v>2932</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4351" t="s">
        <v>1633</v>
      </c>
      <c r="B90" s="4351"/>
      <c r="C90" s="4351"/>
      <c r="D90" s="4351"/>
      <c r="E90" s="4351"/>
      <c r="F90" s="4351"/>
      <c r="G90" s="4351"/>
      <c r="H90" s="4351"/>
      <c r="I90" s="4351"/>
      <c r="J90" s="4351"/>
      <c r="K90" s="2414"/>
      <c r="L90" s="2414"/>
      <c r="M90" s="2414"/>
      <c r="N90" s="2414"/>
    </row>
    <row r="91" spans="1:40">
      <c r="A91" s="4352" t="s">
        <v>1443</v>
      </c>
      <c r="B91" s="4352" t="s">
        <v>1634</v>
      </c>
      <c r="C91" s="1136" t="s">
        <v>1635</v>
      </c>
      <c r="D91" s="1137"/>
      <c r="E91" s="1137"/>
      <c r="F91" s="1137"/>
      <c r="G91" s="1137"/>
      <c r="H91" s="1137"/>
      <c r="I91" s="1137"/>
      <c r="J91" s="1138"/>
      <c r="K91" s="1130"/>
      <c r="L91" s="1130"/>
      <c r="M91" s="1130"/>
      <c r="N91" s="1130"/>
    </row>
    <row r="92" spans="1:40">
      <c r="A92" s="4352"/>
      <c r="B92" s="4352"/>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4338"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433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433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433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433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433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4339"/>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434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4338" t="s">
        <v>1637</v>
      </c>
      <c r="B101" s="1143" t="s">
        <v>906</v>
      </c>
      <c r="C101" s="1144">
        <f>$G$3</f>
        <v>0.8</v>
      </c>
      <c r="D101" s="1144">
        <f t="shared" ref="D101:N101" si="31">$G$3</f>
        <v>0.8</v>
      </c>
      <c r="E101" s="1144">
        <f t="shared" si="31"/>
        <v>0.8</v>
      </c>
      <c r="F101" s="1144">
        <f t="shared" si="31"/>
        <v>0.8</v>
      </c>
      <c r="G101" s="1144">
        <f t="shared" si="31"/>
        <v>0.8</v>
      </c>
      <c r="H101" s="1144">
        <f t="shared" si="31"/>
        <v>0.8</v>
      </c>
      <c r="I101" s="1144">
        <f t="shared" si="31"/>
        <v>0.8</v>
      </c>
      <c r="J101" s="1144">
        <f t="shared" si="31"/>
        <v>0.8</v>
      </c>
      <c r="K101" s="1144">
        <f t="shared" si="31"/>
        <v>0.8</v>
      </c>
      <c r="L101" s="1144">
        <f t="shared" si="31"/>
        <v>0.8</v>
      </c>
      <c r="M101" s="1144">
        <f t="shared" si="31"/>
        <v>0.8</v>
      </c>
      <c r="N101" s="1144">
        <f t="shared" si="31"/>
        <v>0.8</v>
      </c>
    </row>
    <row r="102" spans="1:14">
      <c r="A102" s="4339"/>
      <c r="B102" s="1139">
        <v>1</v>
      </c>
      <c r="C102" s="1140">
        <f>1.9362/C101</f>
        <v>2.4202499999999998</v>
      </c>
      <c r="D102" s="1140">
        <f>1.9362/D101</f>
        <v>2.4202499999999998</v>
      </c>
      <c r="E102" s="1140">
        <f>1.8629/E101</f>
        <v>2.3286249999999997</v>
      </c>
      <c r="F102" s="1140">
        <f>1.8629/F101</f>
        <v>2.3286249999999997</v>
      </c>
      <c r="G102" s="1140">
        <f>1.8629/G101</f>
        <v>2.3286249999999997</v>
      </c>
      <c r="H102" s="1140">
        <f>1.8629/H101</f>
        <v>2.3286249999999997</v>
      </c>
      <c r="I102" s="1140">
        <f>1.8629/I101</f>
        <v>2.3286249999999997</v>
      </c>
      <c r="J102" s="1140">
        <f>1.942/J101</f>
        <v>2.4274999999999998</v>
      </c>
      <c r="K102" s="1140">
        <f>1.942/K101</f>
        <v>2.4274999999999998</v>
      </c>
      <c r="L102" s="1140">
        <f>1.942/L101</f>
        <v>2.4274999999999998</v>
      </c>
      <c r="M102" s="1140">
        <f>1.942/M101</f>
        <v>2.4274999999999998</v>
      </c>
      <c r="N102" s="1140">
        <f>1.942/N101</f>
        <v>2.4274999999999998</v>
      </c>
    </row>
    <row r="103" spans="1:14">
      <c r="A103" s="4339"/>
      <c r="B103" s="1139">
        <v>2</v>
      </c>
      <c r="C103" s="1140">
        <f>1.4198/C101</f>
        <v>1.7747499999999998</v>
      </c>
      <c r="D103" s="1140">
        <f>1.4198/D101</f>
        <v>1.7747499999999998</v>
      </c>
      <c r="E103" s="1140">
        <f>1.3372/E101</f>
        <v>1.6714999999999998</v>
      </c>
      <c r="F103" s="1140">
        <f>1.3372/F101</f>
        <v>1.6714999999999998</v>
      </c>
      <c r="G103" s="1140">
        <f>1.3372/G101</f>
        <v>1.6714999999999998</v>
      </c>
      <c r="H103" s="1140">
        <f>1.3372/H101</f>
        <v>1.6714999999999998</v>
      </c>
      <c r="I103" s="1140">
        <f>1.3372/I101</f>
        <v>1.6714999999999998</v>
      </c>
      <c r="J103" s="1140">
        <f>1.2799/J101</f>
        <v>1.5998749999999999</v>
      </c>
      <c r="K103" s="1140">
        <f>1.2799/K101</f>
        <v>1.5998749999999999</v>
      </c>
      <c r="L103" s="1140">
        <f>1.2799/L101</f>
        <v>1.5998749999999999</v>
      </c>
      <c r="M103" s="1140">
        <f>1.2799/M101</f>
        <v>1.5998749999999999</v>
      </c>
      <c r="N103" s="1140">
        <f>1.2799/N101</f>
        <v>1.5998749999999999</v>
      </c>
    </row>
    <row r="104" spans="1:14">
      <c r="A104" s="4339"/>
      <c r="B104" s="1139">
        <v>3</v>
      </c>
      <c r="C104" s="1140">
        <f>1.1594/C101</f>
        <v>1.4492499999999999</v>
      </c>
      <c r="D104" s="1140">
        <f>1.1594/D101</f>
        <v>1.4492499999999999</v>
      </c>
      <c r="E104" s="1140">
        <f>1.0788/E101</f>
        <v>1.3484999999999998</v>
      </c>
      <c r="F104" s="1140">
        <f>1.0788/F101</f>
        <v>1.3484999999999998</v>
      </c>
      <c r="G104" s="1140">
        <f>1.0788/G101</f>
        <v>1.3484999999999998</v>
      </c>
      <c r="H104" s="1140">
        <f>1.0788/H101</f>
        <v>1.3484999999999998</v>
      </c>
      <c r="I104" s="1140">
        <f>1.0788/I101</f>
        <v>1.3484999999999998</v>
      </c>
      <c r="J104" s="1140">
        <f>1.0072/J101</f>
        <v>1.2590000000000001</v>
      </c>
      <c r="K104" s="1140">
        <f>1.0072/K101</f>
        <v>1.2590000000000001</v>
      </c>
      <c r="L104" s="1140">
        <f>1.0072/L101</f>
        <v>1.2590000000000001</v>
      </c>
      <c r="M104" s="1140">
        <f>1.0072/M101</f>
        <v>1.2590000000000001</v>
      </c>
      <c r="N104" s="1140">
        <f>1.0072/N101</f>
        <v>1.2590000000000001</v>
      </c>
    </row>
    <row r="105" spans="1:14">
      <c r="A105" s="4339"/>
      <c r="B105" s="1139">
        <v>4</v>
      </c>
      <c r="C105" s="1140">
        <f>0.9622/C101</f>
        <v>1.20275</v>
      </c>
      <c r="D105" s="1140">
        <f>0.9622/D101</f>
        <v>1.20275</v>
      </c>
      <c r="E105" s="1140">
        <f>0.8656/E101</f>
        <v>1.0820000000000001</v>
      </c>
      <c r="F105" s="1140">
        <f>0.8656/F101</f>
        <v>1.0820000000000001</v>
      </c>
      <c r="G105" s="1140">
        <f>0.8656/G101</f>
        <v>1.0820000000000001</v>
      </c>
      <c r="H105" s="1140">
        <f>0.8656/H101</f>
        <v>1.0820000000000001</v>
      </c>
      <c r="I105" s="1140">
        <f>0.8656/I101</f>
        <v>1.0820000000000001</v>
      </c>
      <c r="J105" s="1140">
        <f>0.7525/J101</f>
        <v>0.94062499999999993</v>
      </c>
      <c r="K105" s="1140">
        <f>0.7525/K101</f>
        <v>0.94062499999999993</v>
      </c>
      <c r="L105" s="1140">
        <f>0.7525/L101</f>
        <v>0.94062499999999993</v>
      </c>
      <c r="M105" s="1140">
        <f>0.7525/M101</f>
        <v>0.94062499999999993</v>
      </c>
      <c r="N105" s="1140">
        <f>0.7525/N101</f>
        <v>0.94062499999999993</v>
      </c>
    </row>
    <row r="106" spans="1:14">
      <c r="A106" s="4339"/>
      <c r="B106" s="1139">
        <v>5</v>
      </c>
      <c r="C106" s="1140">
        <f>0.8417/C101</f>
        <v>1.052125</v>
      </c>
      <c r="D106" s="1140">
        <f>0.8417/D101</f>
        <v>1.052125</v>
      </c>
      <c r="E106" s="1140">
        <f>0.7371/E101</f>
        <v>0.92137499999999994</v>
      </c>
      <c r="F106" s="1140">
        <f>0.7371/F101</f>
        <v>0.92137499999999994</v>
      </c>
      <c r="G106" s="1140">
        <f>0.7371/G101</f>
        <v>0.92137499999999994</v>
      </c>
      <c r="H106" s="1140">
        <f>0.7371/H101</f>
        <v>0.92137499999999994</v>
      </c>
      <c r="I106" s="1140">
        <f>0.7371/I101</f>
        <v>0.92137499999999994</v>
      </c>
      <c r="J106" s="1140">
        <f>0.5659/J101</f>
        <v>0.70737499999999986</v>
      </c>
      <c r="K106" s="1140">
        <f>0.5659/K101</f>
        <v>0.70737499999999986</v>
      </c>
      <c r="L106" s="1140">
        <f>0.5659/L101</f>
        <v>0.70737499999999986</v>
      </c>
      <c r="M106" s="1140">
        <f>0.5659/M101</f>
        <v>0.70737499999999986</v>
      </c>
      <c r="N106" s="1140">
        <f>0.5659/N101</f>
        <v>0.70737499999999986</v>
      </c>
    </row>
    <row r="107" spans="1:14">
      <c r="A107" s="4339"/>
      <c r="B107" s="1139">
        <v>6</v>
      </c>
      <c r="C107" s="1140">
        <f>0.7608/C101</f>
        <v>0.95099999999999996</v>
      </c>
      <c r="D107" s="1140">
        <f>0.7608/D101</f>
        <v>0.95099999999999996</v>
      </c>
      <c r="E107" s="1140">
        <f>0.6482/E101</f>
        <v>0.81024999999999991</v>
      </c>
      <c r="F107" s="1140">
        <f>0.6482/F101</f>
        <v>0.81024999999999991</v>
      </c>
      <c r="G107" s="1140">
        <f>0.6482/G101</f>
        <v>0.81024999999999991</v>
      </c>
      <c r="H107" s="1140">
        <f>0.6482/H101</f>
        <v>0.81024999999999991</v>
      </c>
      <c r="I107" s="1140">
        <f>0.6482/I101</f>
        <v>0.81024999999999991</v>
      </c>
      <c r="J107" s="1140">
        <f>0.4525/J101</f>
        <v>0.56562499999999993</v>
      </c>
      <c r="K107" s="1140">
        <f>0.4525/K101</f>
        <v>0.56562499999999993</v>
      </c>
      <c r="L107" s="1140">
        <f>0.4525/L101</f>
        <v>0.56562499999999993</v>
      </c>
      <c r="M107" s="1140">
        <f>0.4525/M101</f>
        <v>0.56562499999999993</v>
      </c>
      <c r="N107" s="1140">
        <f>0.4525/N101</f>
        <v>0.56562499999999993</v>
      </c>
    </row>
    <row r="108" spans="1:14">
      <c r="A108" s="4339"/>
      <c r="B108" s="4341"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4340"/>
      <c r="B109" s="4342"/>
      <c r="C109" s="1142">
        <f>(-0.163*(C108^2)-0.59*C108+7617)*(10^(-4))/C101</f>
        <v>0.95023099999999994</v>
      </c>
      <c r="D109" s="1142">
        <f>(-0.163*(D108^2)-0.59*D108+7617)*(10^(-4))/D101</f>
        <v>0.95023099999999994</v>
      </c>
      <c r="E109" s="1142">
        <f>(-0.161*(E108^2)-7.509*E108+6533)*(10^(-4))/E101</f>
        <v>0.80782799999999999</v>
      </c>
      <c r="F109" s="1142">
        <f>(-0.161*(F108^2)-7.509*F108+6533)*(10^(-4))/F101</f>
        <v>0.80782799999999999</v>
      </c>
      <c r="G109" s="1142">
        <f>(-0.161*(G108^2)-7.509*G108+6533)*(10^(-4))/G101</f>
        <v>0.80782799999999999</v>
      </c>
      <c r="H109" s="1142">
        <f>(-0.161*(H108^2)-7.509*H108+6533)*(10^(-4))/H101</f>
        <v>0.80782799999999999</v>
      </c>
      <c r="I109" s="1142">
        <f>(-0.161*(I108^2)-7.509*I108+6533)*(10^(-4))/I101</f>
        <v>0.80782799999999999</v>
      </c>
      <c r="J109" s="1142">
        <f>(-0.214*(J108^2)-21.991*J108+4665)*(10^(-4))/J101</f>
        <v>0.55942199999999997</v>
      </c>
      <c r="K109" s="1142">
        <f>(-0.214*(K108^2)-21.991*K108+4665)*(10^(-4))/K101</f>
        <v>0.55942199999999997</v>
      </c>
      <c r="L109" s="1142">
        <f>(-0.214*(L108^2)-21.991*L108+4665)*(10^(-4))/L101</f>
        <v>0.55942199999999997</v>
      </c>
      <c r="M109" s="1142">
        <f>(-0.214*(M108^2)-21.991*M108+4665)*(10^(-4))/M101</f>
        <v>0.55942199999999997</v>
      </c>
      <c r="N109" s="1142">
        <f>(-0.214*(N108^2)-21.991*N108+4665)*(10^(-4))/N101</f>
        <v>0.55942199999999997</v>
      </c>
    </row>
    <row r="110" spans="1:14">
      <c r="A110" s="4345" t="s">
        <v>1639</v>
      </c>
      <c r="B110" s="4345"/>
      <c r="C110" s="4345"/>
      <c r="D110" s="4345"/>
      <c r="E110" s="4345"/>
      <c r="F110" s="4345"/>
      <c r="G110" s="4345"/>
      <c r="H110" s="4345"/>
      <c r="I110" s="4345"/>
      <c r="J110" s="4345"/>
      <c r="K110" s="2412"/>
      <c r="L110" s="2412"/>
      <c r="M110" s="2412"/>
      <c r="N110" s="2412"/>
    </row>
    <row r="112" spans="1:14" ht="12.75" thickBot="1"/>
    <row r="113" spans="1:13" ht="25.5" thickBot="1">
      <c r="A113" s="1016" t="s">
        <v>896</v>
      </c>
      <c r="B113" s="2415">
        <f>G3</f>
        <v>0.8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0.92600000000000005</v>
      </c>
      <c r="C115" s="1030">
        <f>B115</f>
        <v>0.92600000000000005</v>
      </c>
      <c r="D115" s="1030">
        <f>ROUND(0.8331-0.0109*B113,4)</f>
        <v>0.82440000000000002</v>
      </c>
      <c r="E115" s="1030">
        <f>D115</f>
        <v>0.82440000000000002</v>
      </c>
      <c r="F115" s="1030">
        <f>E115</f>
        <v>0.82440000000000002</v>
      </c>
      <c r="G115" s="1030">
        <f>F115</f>
        <v>0.82440000000000002</v>
      </c>
      <c r="H115" s="1030">
        <f>G115</f>
        <v>0.82440000000000002</v>
      </c>
      <c r="I115" s="1030">
        <f>ROUND(0.689-0.0155*B113,4)</f>
        <v>0.67659999999999998</v>
      </c>
      <c r="J115" s="1030">
        <f t="shared" ref="J115:M118" si="33">I115</f>
        <v>0.67659999999999998</v>
      </c>
      <c r="K115" s="1030">
        <f t="shared" si="33"/>
        <v>0.67659999999999998</v>
      </c>
      <c r="L115" s="1030">
        <f t="shared" si="33"/>
        <v>0.67659999999999998</v>
      </c>
      <c r="M115" s="1031">
        <f t="shared" si="33"/>
        <v>0.67659999999999998</v>
      </c>
    </row>
    <row r="116" spans="1:13" ht="12.75">
      <c r="A116" s="1029" t="s">
        <v>901</v>
      </c>
      <c r="B116" s="1030">
        <f>ROUND(0.949-0.012*B113,4)</f>
        <v>0.93940000000000001</v>
      </c>
      <c r="C116" s="1030">
        <f>B116</f>
        <v>0.93940000000000001</v>
      </c>
      <c r="D116" s="1030">
        <f>ROUND(0.8567-0.013*B113,4)</f>
        <v>0.84630000000000005</v>
      </c>
      <c r="E116" s="1030">
        <f t="shared" ref="E116:H117" si="34">D116</f>
        <v>0.84630000000000005</v>
      </c>
      <c r="F116" s="1030">
        <f t="shared" si="34"/>
        <v>0.84630000000000005</v>
      </c>
      <c r="G116" s="1030">
        <f t="shared" si="34"/>
        <v>0.84630000000000005</v>
      </c>
      <c r="H116" s="1030">
        <f t="shared" si="34"/>
        <v>0.84630000000000005</v>
      </c>
      <c r="I116" s="1030">
        <f>ROUND(0.7694-0.014*B113,4)</f>
        <v>0.75819999999999999</v>
      </c>
      <c r="J116" s="1030">
        <f t="shared" si="33"/>
        <v>0.75819999999999999</v>
      </c>
      <c r="K116" s="1030">
        <f t="shared" si="33"/>
        <v>0.75819999999999999</v>
      </c>
      <c r="L116" s="1030">
        <f t="shared" si="33"/>
        <v>0.75819999999999999</v>
      </c>
      <c r="M116" s="1031">
        <f t="shared" si="33"/>
        <v>0.75819999999999999</v>
      </c>
    </row>
    <row r="117" spans="1:13" ht="12.75">
      <c r="A117" s="1032" t="s">
        <v>902</v>
      </c>
      <c r="B117" s="1030">
        <f>ROUND(0.8808-0.006*B113,4)</f>
        <v>0.876</v>
      </c>
      <c r="C117" s="1030">
        <f>B117</f>
        <v>0.876</v>
      </c>
      <c r="D117" s="1030">
        <f>ROUND(0.8748-0.008*B113,4)</f>
        <v>0.86839999999999995</v>
      </c>
      <c r="E117" s="1030">
        <f t="shared" si="34"/>
        <v>0.86839999999999995</v>
      </c>
      <c r="F117" s="1030">
        <f t="shared" si="34"/>
        <v>0.86839999999999995</v>
      </c>
      <c r="G117" s="1030">
        <f t="shared" si="34"/>
        <v>0.86839999999999995</v>
      </c>
      <c r="H117" s="1030">
        <f t="shared" si="34"/>
        <v>0.86839999999999995</v>
      </c>
      <c r="I117" s="1030">
        <f>ROUND(0.7412-0.0095*B113,4)</f>
        <v>0.73360000000000003</v>
      </c>
      <c r="J117" s="1030">
        <f t="shared" si="33"/>
        <v>0.73360000000000003</v>
      </c>
      <c r="K117" s="1030">
        <f t="shared" si="33"/>
        <v>0.73360000000000003</v>
      </c>
      <c r="L117" s="1030">
        <f t="shared" si="33"/>
        <v>0.73360000000000003</v>
      </c>
      <c r="M117" s="1031">
        <f t="shared" si="33"/>
        <v>0.73360000000000003</v>
      </c>
    </row>
    <row r="118" spans="1:13" ht="13.5" thickBot="1">
      <c r="A118" s="1033" t="s">
        <v>903</v>
      </c>
      <c r="B118" s="1034">
        <f>ROUND(0.7275-0.01*B113,4)</f>
        <v>0.71950000000000003</v>
      </c>
      <c r="C118" s="1034">
        <f>B118</f>
        <v>0.71950000000000003</v>
      </c>
      <c r="D118" s="1034">
        <f>ROUND(0.7043-0.012*B113,4)</f>
        <v>0.69469999999999998</v>
      </c>
      <c r="E118" s="1034">
        <f>D118</f>
        <v>0.69469999999999998</v>
      </c>
      <c r="F118" s="1034">
        <f>E118</f>
        <v>0.69469999999999998</v>
      </c>
      <c r="G118" s="1034">
        <f>ROUND(0.6299-0.0122*B113,4)</f>
        <v>0.62009999999999998</v>
      </c>
      <c r="H118" s="1034">
        <f>G118</f>
        <v>0.62009999999999998</v>
      </c>
      <c r="I118" s="1034">
        <f>ROUND(0.5667-0.0136*B113,4)</f>
        <v>0.55579999999999996</v>
      </c>
      <c r="J118" s="1034">
        <f t="shared" si="33"/>
        <v>0.55579999999999996</v>
      </c>
      <c r="K118" s="1034">
        <f t="shared" si="33"/>
        <v>0.55579999999999996</v>
      </c>
      <c r="L118" s="1034">
        <f t="shared" si="33"/>
        <v>0.55579999999999996</v>
      </c>
      <c r="M118" s="1035">
        <f t="shared" si="33"/>
        <v>0.55579999999999996</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2986</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4352" t="s">
        <v>1007</v>
      </c>
      <c r="B18" s="1150" t="s">
        <v>1446</v>
      </c>
      <c r="C18" s="1127" t="s">
        <v>1447</v>
      </c>
      <c r="D18" s="1128"/>
      <c r="E18" s="1150">
        <v>1</v>
      </c>
      <c r="F18" s="1129" t="s">
        <v>1448</v>
      </c>
      <c r="G18" s="1130"/>
      <c r="H18" s="1101"/>
      <c r="I18" s="1101"/>
    </row>
    <row r="19" spans="1:9" s="1584" customFormat="1" ht="19.5" customHeight="1">
      <c r="A19" s="4352"/>
      <c r="B19" s="4352" t="s">
        <v>1449</v>
      </c>
      <c r="C19" s="1127" t="s">
        <v>1450</v>
      </c>
      <c r="D19" s="1128"/>
      <c r="E19" s="1150">
        <v>0.9</v>
      </c>
      <c r="F19" s="1129" t="s">
        <v>1451</v>
      </c>
      <c r="G19" s="1130"/>
      <c r="H19" s="1101"/>
      <c r="I19" s="1101"/>
    </row>
    <row r="20" spans="1:9" s="1584" customFormat="1" ht="19.5" customHeight="1">
      <c r="A20" s="4352"/>
      <c r="B20" s="4352"/>
      <c r="C20" s="1127" t="s">
        <v>1452</v>
      </c>
      <c r="D20" s="1128"/>
      <c r="E20" s="1150">
        <v>1.1000000000000001</v>
      </c>
      <c r="F20" s="1129" t="s">
        <v>1453</v>
      </c>
      <c r="G20" s="1130"/>
      <c r="H20" s="1101"/>
      <c r="I20" s="1101"/>
    </row>
    <row r="21" spans="1:9" s="1584" customFormat="1" ht="19.5" customHeight="1">
      <c r="A21" s="4352"/>
      <c r="B21" s="4352"/>
      <c r="C21" s="1127" t="s">
        <v>1454</v>
      </c>
      <c r="D21" s="1128"/>
      <c r="E21" s="1150">
        <v>0.8</v>
      </c>
      <c r="F21" s="1129" t="s">
        <v>1455</v>
      </c>
      <c r="G21" s="1130"/>
      <c r="H21" s="1101"/>
      <c r="I21" s="1101"/>
    </row>
    <row r="22" spans="1:9" s="1584" customFormat="1" ht="19.5" customHeight="1">
      <c r="A22" s="4352"/>
      <c r="B22" s="4352"/>
      <c r="C22" s="1127" t="s">
        <v>1456</v>
      </c>
      <c r="D22" s="1128"/>
      <c r="E22" s="1150">
        <v>0.5</v>
      </c>
      <c r="F22" s="1129"/>
      <c r="G22" s="1130"/>
      <c r="H22" s="1101"/>
      <c r="I22" s="1101"/>
    </row>
    <row r="23" spans="1:9" s="1584" customFormat="1" ht="19.5" customHeight="1">
      <c r="A23" s="4352" t="s">
        <v>1029</v>
      </c>
      <c r="B23" s="1150" t="s">
        <v>1446</v>
      </c>
      <c r="C23" s="1127" t="s">
        <v>1457</v>
      </c>
      <c r="D23" s="1128"/>
      <c r="E23" s="1150">
        <v>1</v>
      </c>
      <c r="F23" s="1129" t="s">
        <v>1458</v>
      </c>
      <c r="G23" s="1130"/>
      <c r="H23" s="1101"/>
      <c r="I23" s="1101"/>
    </row>
    <row r="24" spans="1:9" s="1584" customFormat="1" ht="19.5" customHeight="1">
      <c r="A24" s="4352"/>
      <c r="B24" s="4352" t="s">
        <v>1449</v>
      </c>
      <c r="C24" s="1127" t="s">
        <v>1459</v>
      </c>
      <c r="D24" s="1128"/>
      <c r="E24" s="1150">
        <v>0.5</v>
      </c>
      <c r="F24" s="1129"/>
      <c r="G24" s="1130"/>
      <c r="H24" s="1101"/>
      <c r="I24" s="1101"/>
    </row>
    <row r="25" spans="1:9" s="1584" customFormat="1" ht="19.5" customHeight="1">
      <c r="A25" s="4352"/>
      <c r="B25" s="4352"/>
      <c r="C25" s="1127" t="s">
        <v>1460</v>
      </c>
      <c r="D25" s="1128"/>
      <c r="E25" s="1150">
        <v>1.1000000000000001</v>
      </c>
      <c r="F25" s="1129"/>
      <c r="G25" s="1130"/>
      <c r="H25" s="1101"/>
      <c r="I25" s="1101"/>
    </row>
    <row r="26" spans="1:9" s="1584" customFormat="1" ht="19.5" customHeight="1">
      <c r="A26" s="4352"/>
      <c r="B26" s="4352"/>
      <c r="C26" s="1127" t="s">
        <v>1461</v>
      </c>
      <c r="D26" s="1128"/>
      <c r="E26" s="1150">
        <v>1.1000000000000001</v>
      </c>
      <c r="F26" s="1129"/>
      <c r="G26" s="1130"/>
      <c r="H26" s="1101"/>
      <c r="I26" s="1101"/>
    </row>
    <row r="27" spans="1:9" s="1584" customFormat="1" ht="19.5" customHeight="1">
      <c r="A27" s="4352"/>
      <c r="B27" s="4352"/>
      <c r="C27" s="1127" t="s">
        <v>1462</v>
      </c>
      <c r="D27" s="1128"/>
      <c r="E27" s="1150">
        <v>0.9</v>
      </c>
      <c r="F27" s="1129" t="s">
        <v>1463</v>
      </c>
      <c r="G27" s="1130"/>
      <c r="H27" s="1101"/>
      <c r="I27" s="1101"/>
    </row>
    <row r="28" spans="1:9" s="1584" customFormat="1" ht="19.5" customHeight="1">
      <c r="A28" s="4352"/>
      <c r="B28" s="4352"/>
      <c r="C28" s="1127" t="s">
        <v>1464</v>
      </c>
      <c r="D28" s="1128"/>
      <c r="E28" s="1150">
        <v>0.9</v>
      </c>
      <c r="F28" s="1129" t="s">
        <v>1465</v>
      </c>
      <c r="G28" s="1130"/>
      <c r="H28" s="1101"/>
      <c r="I28" s="1101"/>
    </row>
    <row r="29" spans="1:9" s="1584" customFormat="1" ht="19.5" customHeight="1">
      <c r="A29" s="4352"/>
      <c r="B29" s="4352"/>
      <c r="C29" s="1127" t="s">
        <v>1466</v>
      </c>
      <c r="D29" s="1128"/>
      <c r="E29" s="1150">
        <v>0.9</v>
      </c>
      <c r="F29" s="1129" t="s">
        <v>1467</v>
      </c>
      <c r="G29" s="1130"/>
      <c r="H29" s="1101"/>
      <c r="I29" s="1101"/>
    </row>
    <row r="30" spans="1:9" s="1584" customFormat="1" ht="19.5" customHeight="1">
      <c r="A30" s="4352"/>
      <c r="B30" s="4352"/>
      <c r="C30" s="1127" t="s">
        <v>1468</v>
      </c>
      <c r="D30" s="1128"/>
      <c r="E30" s="1150">
        <v>0.9</v>
      </c>
      <c r="F30" s="1129" t="s">
        <v>1469</v>
      </c>
      <c r="G30" s="1130"/>
      <c r="H30" s="1101"/>
      <c r="I30" s="1101"/>
    </row>
    <row r="31" spans="1:9" s="1584" customFormat="1" ht="19.5" customHeight="1">
      <c r="A31" s="4352"/>
      <c r="B31" s="4352"/>
      <c r="C31" s="1127" t="s">
        <v>1470</v>
      </c>
      <c r="D31" s="1128"/>
      <c r="E31" s="1150">
        <v>0.8</v>
      </c>
      <c r="F31" s="1129" t="s">
        <v>1471</v>
      </c>
      <c r="G31" s="1130"/>
      <c r="H31" s="1101"/>
      <c r="I31" s="1101"/>
    </row>
    <row r="32" spans="1:9" s="1584" customFormat="1" ht="19.5" customHeight="1">
      <c r="A32" s="4352"/>
      <c r="B32" s="4352"/>
      <c r="C32" s="1127" t="s">
        <v>1472</v>
      </c>
      <c r="D32" s="1128"/>
      <c r="E32" s="1150">
        <v>0.8</v>
      </c>
      <c r="F32" s="1129" t="s">
        <v>1473</v>
      </c>
      <c r="G32" s="1130"/>
      <c r="H32" s="1101"/>
      <c r="I32" s="1101"/>
    </row>
    <row r="33" spans="1:9" s="1584" customFormat="1" ht="19.5" customHeight="1">
      <c r="A33" s="4352" t="s">
        <v>1474</v>
      </c>
      <c r="B33" s="1150" t="s">
        <v>1446</v>
      </c>
      <c r="C33" s="1127" t="s">
        <v>1475</v>
      </c>
      <c r="D33" s="1128"/>
      <c r="E33" s="1150">
        <v>1</v>
      </c>
      <c r="F33" s="1129" t="s">
        <v>1476</v>
      </c>
      <c r="G33" s="1130"/>
      <c r="H33" s="1101"/>
      <c r="I33" s="1101"/>
    </row>
    <row r="34" spans="1:9" s="1584" customFormat="1" ht="19.5" customHeight="1">
      <c r="A34" s="4352"/>
      <c r="B34" s="1150" t="s">
        <v>1449</v>
      </c>
      <c r="C34" s="1127" t="s">
        <v>1477</v>
      </c>
      <c r="D34" s="1128"/>
      <c r="E34" s="1150">
        <v>1.5</v>
      </c>
      <c r="F34" s="1129" t="s">
        <v>1478</v>
      </c>
      <c r="G34" s="1130"/>
      <c r="H34" s="1101"/>
      <c r="I34" s="1101"/>
    </row>
    <row r="35" spans="1:9" s="1584" customFormat="1" ht="19.5" customHeight="1">
      <c r="A35" s="4352" t="s">
        <v>1432</v>
      </c>
      <c r="B35" s="1150" t="s">
        <v>1446</v>
      </c>
      <c r="C35" s="1127" t="s">
        <v>1479</v>
      </c>
      <c r="D35" s="1128"/>
      <c r="E35" s="1150">
        <v>1</v>
      </c>
      <c r="F35" s="1129" t="s">
        <v>1480</v>
      </c>
      <c r="G35" s="1130"/>
      <c r="H35" s="1101"/>
      <c r="I35" s="1101"/>
    </row>
    <row r="36" spans="1:9" s="1584" customFormat="1" ht="19.5" customHeight="1">
      <c r="A36" s="4352"/>
      <c r="B36" s="4352" t="s">
        <v>1449</v>
      </c>
      <c r="C36" s="1127" t="s">
        <v>1481</v>
      </c>
      <c r="D36" s="1128"/>
      <c r="E36" s="1150">
        <v>1</v>
      </c>
      <c r="F36" s="1129" t="s">
        <v>1482</v>
      </c>
      <c r="G36" s="1130"/>
      <c r="H36" s="1101"/>
      <c r="I36" s="1101"/>
    </row>
    <row r="37" spans="1:9" s="1584" customFormat="1" ht="19.5" customHeight="1">
      <c r="A37" s="4352"/>
      <c r="B37" s="4352"/>
      <c r="C37" s="1127" t="s">
        <v>1483</v>
      </c>
      <c r="D37" s="1128"/>
      <c r="E37" s="1150">
        <v>1.5</v>
      </c>
      <c r="F37" s="1129" t="s">
        <v>1484</v>
      </c>
      <c r="G37" s="1130"/>
      <c r="H37" s="1101"/>
      <c r="I37" s="1101"/>
    </row>
    <row r="38" spans="1:9" s="1584" customFormat="1" ht="19.5" customHeight="1">
      <c r="A38" s="4352"/>
      <c r="B38" s="4352"/>
      <c r="C38" s="1127" t="s">
        <v>1485</v>
      </c>
      <c r="D38" s="1128"/>
      <c r="E38" s="1150">
        <v>1</v>
      </c>
      <c r="F38" s="1129" t="s">
        <v>1486</v>
      </c>
      <c r="G38" s="1130"/>
      <c r="H38" s="1101"/>
      <c r="I38" s="1101"/>
    </row>
    <row r="39" spans="1:9" s="1584" customFormat="1" ht="19.5" customHeight="1">
      <c r="A39" s="4352"/>
      <c r="B39" s="4352"/>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4352" t="s">
        <v>1501</v>
      </c>
      <c r="C61" s="1064" t="s">
        <v>1502</v>
      </c>
      <c r="D61" s="1064" t="s">
        <v>1503</v>
      </c>
      <c r="E61" s="1135">
        <v>0.5</v>
      </c>
      <c r="F61" s="1150">
        <v>80</v>
      </c>
      <c r="H61" s="1101">
        <f>SUMIF(C59:C119,基准地价!C8,E59:E119)</f>
        <v>0</v>
      </c>
    </row>
    <row r="62" spans="1:8" s="1101" customFormat="1" ht="24">
      <c r="A62" s="1150">
        <v>2</v>
      </c>
      <c r="B62" s="4352"/>
      <c r="C62" s="1064" t="s">
        <v>1504</v>
      </c>
      <c r="D62" s="1064" t="s">
        <v>1505</v>
      </c>
      <c r="E62" s="1135">
        <v>0.5</v>
      </c>
      <c r="F62" s="1150">
        <v>80</v>
      </c>
    </row>
    <row r="63" spans="1:8" s="1101" customFormat="1" ht="36">
      <c r="A63" s="1150">
        <v>3</v>
      </c>
      <c r="B63" s="4352"/>
      <c r="C63" s="1064" t="s">
        <v>1506</v>
      </c>
      <c r="D63" s="1064" t="s">
        <v>1507</v>
      </c>
      <c r="E63" s="1135">
        <v>0.5</v>
      </c>
      <c r="F63" s="1150">
        <v>80</v>
      </c>
    </row>
    <row r="64" spans="1:8" s="1101" customFormat="1" ht="36">
      <c r="A64" s="1150">
        <v>4</v>
      </c>
      <c r="B64" s="4352"/>
      <c r="C64" s="1064" t="s">
        <v>1508</v>
      </c>
      <c r="D64" s="1064" t="s">
        <v>1509</v>
      </c>
      <c r="E64" s="1135">
        <v>0.4</v>
      </c>
      <c r="F64" s="1150">
        <v>60</v>
      </c>
    </row>
    <row r="65" spans="1:6" s="1101" customFormat="1" ht="36">
      <c r="A65" s="1150">
        <v>5</v>
      </c>
      <c r="B65" s="4352"/>
      <c r="C65" s="1064" t="s">
        <v>1510</v>
      </c>
      <c r="D65" s="1064" t="s">
        <v>1511</v>
      </c>
      <c r="E65" s="1135">
        <v>0.2</v>
      </c>
      <c r="F65" s="1150">
        <v>30</v>
      </c>
    </row>
    <row r="66" spans="1:6" s="1101" customFormat="1" ht="36">
      <c r="A66" s="1150">
        <v>6</v>
      </c>
      <c r="B66" s="4352"/>
      <c r="C66" s="1064" t="s">
        <v>1512</v>
      </c>
      <c r="D66" s="1064" t="s">
        <v>1513</v>
      </c>
      <c r="E66" s="1135">
        <v>0.3</v>
      </c>
      <c r="F66" s="1150">
        <v>50</v>
      </c>
    </row>
    <row r="67" spans="1:6" s="1101" customFormat="1" ht="36">
      <c r="A67" s="1150">
        <v>7</v>
      </c>
      <c r="B67" s="4352"/>
      <c r="C67" s="1064" t="s">
        <v>1514</v>
      </c>
      <c r="D67" s="1064" t="s">
        <v>1515</v>
      </c>
      <c r="E67" s="1135">
        <v>0.2</v>
      </c>
      <c r="F67" s="1150">
        <v>30</v>
      </c>
    </row>
    <row r="68" spans="1:6" s="1101" customFormat="1" ht="36">
      <c r="A68" s="1150">
        <v>8</v>
      </c>
      <c r="B68" s="4352"/>
      <c r="C68" s="1064" t="s">
        <v>1516</v>
      </c>
      <c r="D68" s="1064" t="s">
        <v>1517</v>
      </c>
      <c r="E68" s="1135">
        <v>0.2</v>
      </c>
      <c r="F68" s="1150">
        <v>30</v>
      </c>
    </row>
    <row r="69" spans="1:6" s="1101" customFormat="1" ht="36">
      <c r="A69" s="1150">
        <v>9</v>
      </c>
      <c r="B69" s="4352"/>
      <c r="C69" s="1064" t="s">
        <v>1518</v>
      </c>
      <c r="D69" s="1064" t="s">
        <v>1519</v>
      </c>
      <c r="E69" s="1135">
        <v>0.2</v>
      </c>
      <c r="F69" s="1150">
        <v>30</v>
      </c>
    </row>
    <row r="70" spans="1:6" s="1101" customFormat="1" ht="48">
      <c r="A70" s="1150">
        <v>10</v>
      </c>
      <c r="B70" s="4352"/>
      <c r="C70" s="1064" t="s">
        <v>1520</v>
      </c>
      <c r="D70" s="1064" t="s">
        <v>1521</v>
      </c>
      <c r="E70" s="1135">
        <v>0.2</v>
      </c>
      <c r="F70" s="1150">
        <v>30</v>
      </c>
    </row>
    <row r="71" spans="1:6" s="1101" customFormat="1" ht="48">
      <c r="A71" s="1150">
        <v>11</v>
      </c>
      <c r="B71" s="4352"/>
      <c r="C71" s="1064" t="s">
        <v>1522</v>
      </c>
      <c r="D71" s="1064" t="s">
        <v>1523</v>
      </c>
      <c r="E71" s="1135">
        <v>0.2</v>
      </c>
      <c r="F71" s="1150">
        <v>30</v>
      </c>
    </row>
    <row r="72" spans="1:6" s="1101" customFormat="1" ht="36">
      <c r="A72" s="1150">
        <v>12</v>
      </c>
      <c r="B72" s="4352"/>
      <c r="C72" s="1064" t="s">
        <v>1524</v>
      </c>
      <c r="D72" s="1064" t="s">
        <v>1525</v>
      </c>
      <c r="E72" s="1135">
        <v>0.5</v>
      </c>
      <c r="F72" s="1150">
        <v>80</v>
      </c>
    </row>
    <row r="73" spans="1:6" s="1101" customFormat="1" ht="24">
      <c r="A73" s="1150">
        <v>13</v>
      </c>
      <c r="B73" s="4352"/>
      <c r="C73" s="1064" t="s">
        <v>1526</v>
      </c>
      <c r="D73" s="1064" t="s">
        <v>1527</v>
      </c>
      <c r="E73" s="1135">
        <v>0.4</v>
      </c>
      <c r="F73" s="1150">
        <v>60</v>
      </c>
    </row>
    <row r="74" spans="1:6" s="1101" customFormat="1" ht="24">
      <c r="A74" s="1150">
        <v>14</v>
      </c>
      <c r="B74" s="4352"/>
      <c r="C74" s="1064" t="s">
        <v>1528</v>
      </c>
      <c r="D74" s="1064" t="s">
        <v>1529</v>
      </c>
      <c r="E74" s="1135">
        <v>0.2</v>
      </c>
      <c r="F74" s="1150">
        <v>30</v>
      </c>
    </row>
    <row r="75" spans="1:6" s="1101" customFormat="1" ht="24">
      <c r="A75" s="1150">
        <v>15</v>
      </c>
      <c r="B75" s="4352"/>
      <c r="C75" s="1064" t="s">
        <v>1530</v>
      </c>
      <c r="D75" s="1064" t="s">
        <v>1531</v>
      </c>
      <c r="E75" s="1135">
        <v>0.2</v>
      </c>
      <c r="F75" s="1150">
        <v>30</v>
      </c>
    </row>
    <row r="76" spans="1:6" s="1101" customFormat="1" ht="24">
      <c r="A76" s="1150">
        <v>16</v>
      </c>
      <c r="B76" s="4352" t="s">
        <v>1532</v>
      </c>
      <c r="C76" s="1064" t="s">
        <v>1533</v>
      </c>
      <c r="D76" s="1064" t="s">
        <v>1534</v>
      </c>
      <c r="E76" s="1135">
        <v>0.5</v>
      </c>
      <c r="F76" s="1150">
        <v>80</v>
      </c>
    </row>
    <row r="77" spans="1:6" s="1101" customFormat="1" ht="24">
      <c r="A77" s="1150">
        <v>17</v>
      </c>
      <c r="B77" s="4352"/>
      <c r="C77" s="1064" t="s">
        <v>1535</v>
      </c>
      <c r="D77" s="1064" t="s">
        <v>1536</v>
      </c>
      <c r="E77" s="1135">
        <v>0.5</v>
      </c>
      <c r="F77" s="1150">
        <v>80</v>
      </c>
    </row>
    <row r="78" spans="1:6" s="1101" customFormat="1" ht="24">
      <c r="A78" s="1150">
        <v>18</v>
      </c>
      <c r="B78" s="4352"/>
      <c r="C78" s="1064" t="s">
        <v>1537</v>
      </c>
      <c r="D78" s="1064" t="s">
        <v>1538</v>
      </c>
      <c r="E78" s="1135">
        <v>0.2</v>
      </c>
      <c r="F78" s="1150">
        <v>30</v>
      </c>
    </row>
    <row r="79" spans="1:6" s="1101" customFormat="1" ht="24">
      <c r="A79" s="1150">
        <v>19</v>
      </c>
      <c r="B79" s="4352"/>
      <c r="C79" s="1064" t="s">
        <v>1539</v>
      </c>
      <c r="D79" s="1064" t="s">
        <v>1540</v>
      </c>
      <c r="E79" s="1135">
        <v>0.5</v>
      </c>
      <c r="F79" s="1150">
        <v>80</v>
      </c>
    </row>
    <row r="80" spans="1:6" s="1101" customFormat="1" ht="36">
      <c r="A80" s="1150">
        <v>20</v>
      </c>
      <c r="B80" s="4352"/>
      <c r="C80" s="1064" t="s">
        <v>1541</v>
      </c>
      <c r="D80" s="1064" t="s">
        <v>1542</v>
      </c>
      <c r="E80" s="1135">
        <v>0.2</v>
      </c>
      <c r="F80" s="1150">
        <v>30</v>
      </c>
    </row>
    <row r="81" spans="1:6" s="1101" customFormat="1" ht="36">
      <c r="A81" s="1150">
        <v>21</v>
      </c>
      <c r="B81" s="4352"/>
      <c r="C81" s="1064" t="s">
        <v>1543</v>
      </c>
      <c r="D81" s="1064" t="s">
        <v>1544</v>
      </c>
      <c r="E81" s="1135">
        <v>0.2</v>
      </c>
      <c r="F81" s="1150">
        <v>30</v>
      </c>
    </row>
    <row r="82" spans="1:6" s="1101" customFormat="1" ht="48">
      <c r="A82" s="1150">
        <v>22</v>
      </c>
      <c r="B82" s="4352"/>
      <c r="C82" s="1064" t="s">
        <v>1545</v>
      </c>
      <c r="D82" s="1064" t="s">
        <v>1546</v>
      </c>
      <c r="E82" s="1135">
        <v>0.2</v>
      </c>
      <c r="F82" s="1150">
        <v>30</v>
      </c>
    </row>
    <row r="83" spans="1:6" s="1101" customFormat="1" ht="48">
      <c r="A83" s="1150">
        <v>23</v>
      </c>
      <c r="B83" s="4352"/>
      <c r="C83" s="1064" t="s">
        <v>1547</v>
      </c>
      <c r="D83" s="1064" t="s">
        <v>1548</v>
      </c>
      <c r="E83" s="1135">
        <v>0.2</v>
      </c>
      <c r="F83" s="1150">
        <v>30</v>
      </c>
    </row>
    <row r="84" spans="1:6" s="1101" customFormat="1" ht="36">
      <c r="A84" s="1150">
        <v>24</v>
      </c>
      <c r="B84" s="4352"/>
      <c r="C84" s="1064" t="s">
        <v>1549</v>
      </c>
      <c r="D84" s="1064" t="s">
        <v>1550</v>
      </c>
      <c r="E84" s="1135">
        <v>0.2</v>
      </c>
      <c r="F84" s="1150">
        <v>30</v>
      </c>
    </row>
    <row r="85" spans="1:6" s="1101" customFormat="1" ht="36">
      <c r="A85" s="1150">
        <v>25</v>
      </c>
      <c r="B85" s="4352"/>
      <c r="C85" s="1064" t="s">
        <v>1551</v>
      </c>
      <c r="D85" s="1064" t="s">
        <v>1552</v>
      </c>
      <c r="E85" s="1135">
        <v>0.5</v>
      </c>
      <c r="F85" s="1150">
        <v>80</v>
      </c>
    </row>
    <row r="86" spans="1:6" s="1101" customFormat="1" ht="36">
      <c r="A86" s="1150">
        <v>26</v>
      </c>
      <c r="B86" s="4352"/>
      <c r="C86" s="1064" t="s">
        <v>1553</v>
      </c>
      <c r="D86" s="1064" t="s">
        <v>1554</v>
      </c>
      <c r="E86" s="1135">
        <v>0.2</v>
      </c>
      <c r="F86" s="1150">
        <v>30</v>
      </c>
    </row>
    <row r="87" spans="1:6" s="1101" customFormat="1" ht="36">
      <c r="A87" s="1150">
        <v>27</v>
      </c>
      <c r="B87" s="4352"/>
      <c r="C87" s="1064" t="s">
        <v>1555</v>
      </c>
      <c r="D87" s="1064" t="s">
        <v>1556</v>
      </c>
      <c r="E87" s="1135">
        <v>0.2</v>
      </c>
      <c r="F87" s="1150">
        <v>30</v>
      </c>
    </row>
    <row r="88" spans="1:6" s="1101" customFormat="1" ht="36">
      <c r="A88" s="1150">
        <v>28</v>
      </c>
      <c r="B88" s="4352"/>
      <c r="C88" s="1064" t="s">
        <v>1557</v>
      </c>
      <c r="D88" s="1064" t="s">
        <v>1558</v>
      </c>
      <c r="E88" s="1135">
        <v>0.2</v>
      </c>
      <c r="F88" s="1150">
        <v>30</v>
      </c>
    </row>
    <row r="89" spans="1:6" s="1101" customFormat="1" ht="24">
      <c r="A89" s="1150">
        <v>29</v>
      </c>
      <c r="B89" s="4352"/>
      <c r="C89" s="1064" t="s">
        <v>1559</v>
      </c>
      <c r="D89" s="1064" t="s">
        <v>1560</v>
      </c>
      <c r="E89" s="1135">
        <v>0.2</v>
      </c>
      <c r="F89" s="1150">
        <v>30</v>
      </c>
    </row>
    <row r="90" spans="1:6" s="1101" customFormat="1" ht="24">
      <c r="A90" s="1150">
        <v>30</v>
      </c>
      <c r="B90" s="4352"/>
      <c r="C90" s="1064" t="s">
        <v>1561</v>
      </c>
      <c r="D90" s="1064" t="s">
        <v>1562</v>
      </c>
      <c r="E90" s="1135">
        <v>0.2</v>
      </c>
      <c r="F90" s="1150">
        <v>30</v>
      </c>
    </row>
    <row r="91" spans="1:6" s="1101" customFormat="1" ht="36">
      <c r="A91" s="1150">
        <v>31</v>
      </c>
      <c r="B91" s="4352"/>
      <c r="C91" s="1064" t="s">
        <v>1563</v>
      </c>
      <c r="D91" s="1064" t="s">
        <v>1564</v>
      </c>
      <c r="E91" s="1135">
        <v>0.2</v>
      </c>
      <c r="F91" s="1150">
        <v>30</v>
      </c>
    </row>
    <row r="92" spans="1:6" s="1101" customFormat="1" ht="24">
      <c r="A92" s="1150">
        <v>32</v>
      </c>
      <c r="B92" s="4352" t="s">
        <v>1565</v>
      </c>
      <c r="C92" s="1150" t="s">
        <v>1566</v>
      </c>
      <c r="D92" s="1064" t="s">
        <v>1567</v>
      </c>
      <c r="E92" s="1135">
        <v>0.2</v>
      </c>
      <c r="F92" s="1150">
        <v>30</v>
      </c>
    </row>
    <row r="93" spans="1:6" s="1101" customFormat="1" ht="36">
      <c r="A93" s="1150">
        <v>33</v>
      </c>
      <c r="B93" s="4352"/>
      <c r="C93" s="1150" t="s">
        <v>1568</v>
      </c>
      <c r="D93" s="1064" t="s">
        <v>1569</v>
      </c>
      <c r="E93" s="1135">
        <v>0.2</v>
      </c>
      <c r="F93" s="1150">
        <v>30</v>
      </c>
    </row>
    <row r="94" spans="1:6" s="1101" customFormat="1" ht="48">
      <c r="A94" s="1150">
        <v>34</v>
      </c>
      <c r="B94" s="4352"/>
      <c r="C94" s="1150" t="s">
        <v>1570</v>
      </c>
      <c r="D94" s="1064" t="s">
        <v>1571</v>
      </c>
      <c r="E94" s="1135">
        <v>0.2</v>
      </c>
      <c r="F94" s="1150">
        <v>30</v>
      </c>
    </row>
    <row r="95" spans="1:6" s="1101" customFormat="1" ht="36">
      <c r="A95" s="1150">
        <v>35</v>
      </c>
      <c r="B95" s="4352"/>
      <c r="C95" s="1150" t="s">
        <v>1572</v>
      </c>
      <c r="D95" s="1064" t="s">
        <v>1573</v>
      </c>
      <c r="E95" s="1135">
        <v>0.2</v>
      </c>
      <c r="F95" s="1150">
        <v>30</v>
      </c>
    </row>
    <row r="96" spans="1:6" s="1101" customFormat="1" ht="48">
      <c r="A96" s="1150">
        <v>36</v>
      </c>
      <c r="B96" s="4352"/>
      <c r="C96" s="1064" t="s">
        <v>1574</v>
      </c>
      <c r="D96" s="1064" t="s">
        <v>1575</v>
      </c>
      <c r="E96" s="1135">
        <v>0.2</v>
      </c>
      <c r="F96" s="1150">
        <v>30</v>
      </c>
    </row>
    <row r="97" spans="1:6" s="1101" customFormat="1" ht="36">
      <c r="A97" s="1150">
        <v>37</v>
      </c>
      <c r="B97" s="4352"/>
      <c r="C97" s="1150" t="s">
        <v>1576</v>
      </c>
      <c r="D97" s="1064" t="s">
        <v>1577</v>
      </c>
      <c r="E97" s="1135">
        <v>0.2</v>
      </c>
      <c r="F97" s="1150">
        <v>30</v>
      </c>
    </row>
    <row r="98" spans="1:6" s="1101" customFormat="1" ht="36">
      <c r="A98" s="1150">
        <v>38</v>
      </c>
      <c r="B98" s="4352"/>
      <c r="C98" s="1150" t="s">
        <v>1578</v>
      </c>
      <c r="D98" s="1064" t="s">
        <v>1579</v>
      </c>
      <c r="E98" s="1135">
        <v>0.2</v>
      </c>
      <c r="F98" s="1150">
        <v>30</v>
      </c>
    </row>
    <row r="99" spans="1:6" s="1101" customFormat="1" ht="36">
      <c r="A99" s="1150">
        <v>39</v>
      </c>
      <c r="B99" s="4352" t="s">
        <v>1580</v>
      </c>
      <c r="C99" s="1150" t="s">
        <v>1581</v>
      </c>
      <c r="D99" s="1064" t="s">
        <v>1582</v>
      </c>
      <c r="E99" s="1135">
        <v>0.3</v>
      </c>
      <c r="F99" s="1150">
        <v>50</v>
      </c>
    </row>
    <row r="100" spans="1:6" s="1101" customFormat="1" ht="24">
      <c r="A100" s="1150">
        <v>40</v>
      </c>
      <c r="B100" s="4352"/>
      <c r="C100" s="1150" t="s">
        <v>1583</v>
      </c>
      <c r="D100" s="1064" t="s">
        <v>1584</v>
      </c>
      <c r="E100" s="1135">
        <v>0.2</v>
      </c>
      <c r="F100" s="1150">
        <v>30</v>
      </c>
    </row>
    <row r="101" spans="1:6" s="1101" customFormat="1" ht="36">
      <c r="A101" s="1150">
        <v>41</v>
      </c>
      <c r="B101" s="435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4352" t="s">
        <v>1595</v>
      </c>
      <c r="C105" s="1150" t="s">
        <v>1596</v>
      </c>
      <c r="D105" s="1064" t="s">
        <v>1597</v>
      </c>
      <c r="E105" s="1135">
        <v>0.2</v>
      </c>
      <c r="F105" s="1150">
        <v>30</v>
      </c>
    </row>
    <row r="106" spans="1:6" s="1101" customFormat="1" ht="36">
      <c r="A106" s="1150">
        <v>46</v>
      </c>
      <c r="B106" s="4352"/>
      <c r="C106" s="1150" t="s">
        <v>1598</v>
      </c>
      <c r="D106" s="1064" t="s">
        <v>1599</v>
      </c>
      <c r="E106" s="1135">
        <v>0.2</v>
      </c>
      <c r="F106" s="1150">
        <v>30</v>
      </c>
    </row>
    <row r="107" spans="1:6" s="1101" customFormat="1" ht="36">
      <c r="A107" s="1150">
        <v>47</v>
      </c>
      <c r="B107" s="4352" t="s">
        <v>1600</v>
      </c>
      <c r="C107" s="1150" t="s">
        <v>1601</v>
      </c>
      <c r="D107" s="1064" t="s">
        <v>1602</v>
      </c>
      <c r="E107" s="1135">
        <v>0.3</v>
      </c>
      <c r="F107" s="1150">
        <v>50</v>
      </c>
    </row>
    <row r="108" spans="1:6" s="1101" customFormat="1" ht="36">
      <c r="A108" s="1150">
        <v>48</v>
      </c>
      <c r="B108" s="435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4352" t="s">
        <v>1611</v>
      </c>
      <c r="C111" s="1150" t="s">
        <v>1612</v>
      </c>
      <c r="D111" s="1064" t="s">
        <v>1613</v>
      </c>
      <c r="E111" s="1135">
        <v>0.2</v>
      </c>
      <c r="F111" s="1150">
        <v>30</v>
      </c>
    </row>
    <row r="112" spans="1:6" s="1101" customFormat="1" ht="24">
      <c r="A112" s="1150">
        <v>52</v>
      </c>
      <c r="B112" s="4352"/>
      <c r="C112" s="1150" t="s">
        <v>1614</v>
      </c>
      <c r="D112" s="1064" t="s">
        <v>1615</v>
      </c>
      <c r="E112" s="1135">
        <v>0.2</v>
      </c>
      <c r="F112" s="1150">
        <v>30</v>
      </c>
    </row>
    <row r="113" spans="1:14" s="1101" customFormat="1" ht="24">
      <c r="A113" s="1150">
        <v>53</v>
      </c>
      <c r="B113" s="435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4352" t="s">
        <v>1624</v>
      </c>
      <c r="C116" s="1150" t="s">
        <v>1625</v>
      </c>
      <c r="D116" s="1064" t="s">
        <v>1626</v>
      </c>
      <c r="E116" s="1135">
        <v>0.2</v>
      </c>
      <c r="F116" s="1150">
        <v>30</v>
      </c>
    </row>
    <row r="117" spans="1:14" ht="36">
      <c r="A117" s="1150">
        <v>57</v>
      </c>
      <c r="B117" s="435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4351" t="s">
        <v>1633</v>
      </c>
      <c r="B121" s="4351"/>
      <c r="C121" s="4351"/>
      <c r="D121" s="4351"/>
      <c r="E121" s="4351"/>
      <c r="F121" s="4351"/>
      <c r="G121" s="4351"/>
      <c r="H121" s="4351"/>
      <c r="I121" s="4351"/>
      <c r="J121" s="435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4356" t="s">
        <v>1039</v>
      </c>
      <c r="B1" s="4356"/>
      <c r="C1" s="4356"/>
      <c r="D1" s="4356"/>
      <c r="E1" s="4356"/>
      <c r="F1" s="435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4357" t="s">
        <v>1052</v>
      </c>
      <c r="B2" s="4357"/>
      <c r="C2" s="4357"/>
      <c r="D2" s="4357"/>
      <c r="E2" s="4357"/>
      <c r="F2" s="435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435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435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4360" t="s">
        <v>2079</v>
      </c>
      <c r="B1" s="4360"/>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4368" t="s">
        <v>2574</v>
      </c>
      <c r="C1" s="4368"/>
      <c r="D1" s="4368"/>
      <c r="E1" s="4368"/>
      <c r="F1" s="4368"/>
      <c r="G1" s="4367" t="s">
        <v>2575</v>
      </c>
      <c r="H1" s="4367"/>
      <c r="I1" s="4367"/>
      <c r="J1" s="4367"/>
      <c r="K1" s="4367"/>
      <c r="L1" s="4367"/>
      <c r="N1" s="4367" t="s">
        <v>2576</v>
      </c>
      <c r="O1" s="4367"/>
      <c r="P1" s="4367"/>
      <c r="Q1" s="4367"/>
      <c r="R1" s="2618"/>
      <c r="S1" s="4367" t="s">
        <v>2577</v>
      </c>
      <c r="T1" s="4367"/>
      <c r="U1" s="4367"/>
      <c r="V1" s="4367"/>
      <c r="X1" s="4366" t="s">
        <v>2637</v>
      </c>
      <c r="Y1" s="4367"/>
      <c r="Z1" s="4367"/>
      <c r="AA1" s="4367"/>
      <c r="AB1" s="4367"/>
      <c r="AD1" s="4366" t="s">
        <v>2641</v>
      </c>
      <c r="AE1" s="4367"/>
      <c r="AF1" s="4367"/>
      <c r="AG1" s="4367"/>
      <c r="AH1" s="4367"/>
    </row>
    <row r="2" spans="1:34" s="2719" customFormat="1" ht="14.25" thickBot="1">
      <c r="B2" s="2727" t="s">
        <v>2578</v>
      </c>
      <c r="C2" s="2727" t="s">
        <v>2639</v>
      </c>
      <c r="D2" s="2720" t="s">
        <v>1644</v>
      </c>
      <c r="E2" s="2720" t="s">
        <v>1949</v>
      </c>
      <c r="F2" s="2727" t="s">
        <v>2640</v>
      </c>
      <c r="G2" s="2723"/>
      <c r="H2" s="2722"/>
      <c r="I2" s="2727" t="s">
        <v>2951</v>
      </c>
      <c r="J2" s="2720" t="s">
        <v>2953</v>
      </c>
      <c r="K2" s="2720" t="s">
        <v>2954</v>
      </c>
      <c r="L2" s="2727" t="s">
        <v>2955</v>
      </c>
      <c r="N2" s="2727" t="s">
        <v>2578</v>
      </c>
      <c r="O2" s="2720" t="s">
        <v>2952</v>
      </c>
      <c r="P2" s="2720" t="s">
        <v>1949</v>
      </c>
      <c r="Q2" s="2727" t="s">
        <v>2640</v>
      </c>
      <c r="R2" s="2721"/>
      <c r="S2" s="2727" t="s">
        <v>2578</v>
      </c>
      <c r="T2" s="2720" t="s">
        <v>2952</v>
      </c>
      <c r="U2" s="2720" t="s">
        <v>1949</v>
      </c>
      <c r="V2" s="2727" t="s">
        <v>2640</v>
      </c>
      <c r="X2" s="2727" t="s">
        <v>2578</v>
      </c>
      <c r="Y2" s="2727" t="s">
        <v>2639</v>
      </c>
      <c r="Z2" s="2720" t="s">
        <v>1644</v>
      </c>
      <c r="AA2" s="2720" t="s">
        <v>1949</v>
      </c>
      <c r="AB2" s="2727" t="s">
        <v>2640</v>
      </c>
      <c r="AD2" s="2727" t="s">
        <v>2578</v>
      </c>
      <c r="AE2" s="2727" t="s">
        <v>2639</v>
      </c>
      <c r="AF2" s="2720" t="s">
        <v>1644</v>
      </c>
      <c r="AG2" s="2720" t="s">
        <v>1949</v>
      </c>
      <c r="AH2" s="2727" t="s">
        <v>2640</v>
      </c>
    </row>
    <row r="3" spans="1:34" s="3082" customFormat="1" ht="14.25">
      <c r="A3" s="3094" t="s">
        <v>2964</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2990</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5">
        <v>3</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2965</v>
      </c>
      <c r="X5" s="3069">
        <f>ROUND(IF(项目基本情况!B7="出让",SUMPRODUCT(PRODUCT(1+N5:N$27)),SUMPRODUCT(PRODUCT(1+N5:N$26))),4)</f>
        <v>1.5422</v>
      </c>
      <c r="Y5" s="3069">
        <f>ROUND(IF(项目基本情况!B7="出让",SUMPRODUCT(PRODUCT(1+O5:O$27)),SUMPRODUCT(PRODUCT(1+O5:O$26))),4)</f>
        <v>1.3557999999999999</v>
      </c>
      <c r="Z5" s="3069">
        <f t="shared" ref="Z5" si="11">Y5</f>
        <v>1.3557999999999999</v>
      </c>
      <c r="AA5" s="3069">
        <f>ROUND(IF(项目基本情况!B7="出让",SUMPRODUCT(PRODUCT(1+P5:P$27)),SUMPRODUCT(PRODUCT(1+P5:P$26))),4)</f>
        <v>1.6036999999999999</v>
      </c>
      <c r="AB5" s="3069">
        <f>ROUND(IF(项目基本情况!B7="出让",SUMPRODUCT(PRODUCT(1+Q5:Q$27)),SUMPRODUCT(PRODUCT(1+Q5:Q$26))),4)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4" customFormat="1">
      <c r="A6" s="2619" t="s">
        <v>2989</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2620">
        <v>1.53</v>
      </c>
      <c r="J6" s="2620">
        <v>1.01</v>
      </c>
      <c r="K6" s="2620">
        <v>1.62</v>
      </c>
      <c r="L6" s="2621">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2987</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2984</v>
      </c>
      <c r="B8" s="3185">
        <f t="shared" si="13"/>
        <v>464.37293017158942</v>
      </c>
      <c r="C8" s="3185">
        <f t="shared" ref="C8" si="34">C9*(1+O8)</f>
        <v>344.73679941385956</v>
      </c>
      <c r="D8" s="3185">
        <f t="shared" ref="D8" si="35">C8</f>
        <v>344.73679941385956</v>
      </c>
      <c r="E8" s="3185">
        <f t="shared" ref="E8" si="36">E9*(1+P8)</f>
        <v>663.2377795103107</v>
      </c>
      <c r="F8" s="3186">
        <f t="shared" ref="F8" si="37">F9*(1+Q8)</f>
        <v>304.75936311478398</v>
      </c>
      <c r="G8" s="4362">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2974</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4362"/>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2975</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4362"/>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2971</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4363"/>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2962</v>
      </c>
      <c r="B12" s="3096">
        <v>439</v>
      </c>
      <c r="C12" s="3096">
        <v>327</v>
      </c>
      <c r="D12" s="3096">
        <f t="shared" si="65"/>
        <v>327</v>
      </c>
      <c r="E12" s="3096">
        <v>627</v>
      </c>
      <c r="F12" s="3097">
        <v>283</v>
      </c>
      <c r="G12" s="4361">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2966</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4362"/>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2579</v>
      </c>
      <c r="B14" s="2632">
        <f t="shared" si="77"/>
        <v>419.31181600000002</v>
      </c>
      <c r="C14" s="2632">
        <f t="shared" si="77"/>
        <v>313.95436800000004</v>
      </c>
      <c r="D14" s="2632">
        <f t="shared" si="65"/>
        <v>313.95436800000004</v>
      </c>
      <c r="E14" s="2632">
        <f t="shared" si="78"/>
        <v>596.63028431999999</v>
      </c>
      <c r="F14" s="2632">
        <f t="shared" si="78"/>
        <v>274.74220703999998</v>
      </c>
      <c r="G14" s="4362"/>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2580</v>
      </c>
      <c r="B15" s="2632">
        <f t="shared" si="77"/>
        <v>405.524</v>
      </c>
      <c r="C15" s="2632">
        <f t="shared" si="77"/>
        <v>307.79840000000002</v>
      </c>
      <c r="D15" s="2632">
        <f t="shared" si="65"/>
        <v>307.79840000000002</v>
      </c>
      <c r="E15" s="2632">
        <f t="shared" si="78"/>
        <v>574.67759999999998</v>
      </c>
      <c r="F15" s="2632">
        <f t="shared" si="78"/>
        <v>270.20280000000002</v>
      </c>
      <c r="G15" s="4363"/>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970</v>
      </c>
      <c r="B16" s="2624">
        <v>392</v>
      </c>
      <c r="C16" s="2624">
        <v>302</v>
      </c>
      <c r="D16" s="2624">
        <f t="shared" si="65"/>
        <v>302</v>
      </c>
      <c r="E16" s="2624">
        <v>553</v>
      </c>
      <c r="F16" s="2625">
        <v>266</v>
      </c>
      <c r="G16" s="4361">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969</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4362"/>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959</v>
      </c>
      <c r="B18" s="2632">
        <f t="shared" si="86"/>
        <v>360.06949782209392</v>
      </c>
      <c r="C18" s="2632">
        <f t="shared" si="86"/>
        <v>289.84672674747821</v>
      </c>
      <c r="D18" s="2632">
        <f t="shared" si="87"/>
        <v>289.84672674747821</v>
      </c>
      <c r="E18" s="2632">
        <f t="shared" si="88"/>
        <v>501.06543001181495</v>
      </c>
      <c r="F18" s="2632">
        <f t="shared" si="88"/>
        <v>256.82882500744967</v>
      </c>
      <c r="G18" s="4362"/>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968</v>
      </c>
      <c r="B19" s="2632">
        <f t="shared" si="86"/>
        <v>346.720748986128</v>
      </c>
      <c r="C19" s="2632">
        <f t="shared" si="86"/>
        <v>284.30282172386285</v>
      </c>
      <c r="D19" s="2632">
        <f t="shared" si="87"/>
        <v>284.30282172386285</v>
      </c>
      <c r="E19" s="2632">
        <f t="shared" si="88"/>
        <v>479.58023546306947</v>
      </c>
      <c r="F19" s="2632">
        <f t="shared" si="88"/>
        <v>253.25788877571213</v>
      </c>
      <c r="G19" s="4365"/>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967</v>
      </c>
      <c r="B20" s="2624">
        <v>333</v>
      </c>
      <c r="C20" s="2624">
        <v>277</v>
      </c>
      <c r="D20" s="2624">
        <f t="shared" si="87"/>
        <v>277</v>
      </c>
      <c r="E20" s="2624">
        <v>459</v>
      </c>
      <c r="F20" s="2625">
        <v>249</v>
      </c>
      <c r="G20" s="4364">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966</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4362"/>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965</v>
      </c>
      <c r="B22" s="2632">
        <f t="shared" si="90"/>
        <v>322.34053690220776</v>
      </c>
      <c r="C22" s="2632">
        <f t="shared" si="90"/>
        <v>271.46160770422546</v>
      </c>
      <c r="D22" s="2632">
        <f t="shared" si="87"/>
        <v>271.46160770422546</v>
      </c>
      <c r="E22" s="2632">
        <f t="shared" si="91"/>
        <v>442.69434542172456</v>
      </c>
      <c r="F22" s="2632">
        <f t="shared" si="91"/>
        <v>241.34030753190925</v>
      </c>
      <c r="G22" s="4362"/>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964</v>
      </c>
      <c r="B23" s="2632">
        <f t="shared" si="90"/>
        <v>319.87748030386797</v>
      </c>
      <c r="C23" s="2632">
        <f t="shared" si="90"/>
        <v>269.60135833173649</v>
      </c>
      <c r="D23" s="2632">
        <f t="shared" si="87"/>
        <v>269.60135833173649</v>
      </c>
      <c r="E23" s="2632">
        <f t="shared" si="91"/>
        <v>439.18089823583784</v>
      </c>
      <c r="F23" s="2632">
        <f t="shared" si="91"/>
        <v>239.23503918706311</v>
      </c>
      <c r="G23" s="4365"/>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963</v>
      </c>
      <c r="B24" s="2646">
        <v>318</v>
      </c>
      <c r="C24" s="2646">
        <v>268</v>
      </c>
      <c r="D24" s="2646">
        <f t="shared" si="87"/>
        <v>268</v>
      </c>
      <c r="E24" s="2646">
        <v>437</v>
      </c>
      <c r="F24" s="2647">
        <v>237</v>
      </c>
      <c r="G24" s="4364">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962</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4362"/>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961</v>
      </c>
      <c r="B26" s="2632">
        <f t="shared" si="92"/>
        <v>314.72141172386546</v>
      </c>
      <c r="C26" s="2632">
        <f t="shared" si="92"/>
        <v>263.03901319069001</v>
      </c>
      <c r="D26" s="2632">
        <f t="shared" si="87"/>
        <v>263.03901319069001</v>
      </c>
      <c r="E26" s="2632">
        <f t="shared" si="93"/>
        <v>433.65745506782821</v>
      </c>
      <c r="F26" s="2632">
        <f t="shared" si="93"/>
        <v>233.23005080045735</v>
      </c>
      <c r="G26" s="4362"/>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960</v>
      </c>
      <c r="B27" s="2651">
        <f t="shared" si="92"/>
        <v>307.34512863658733</v>
      </c>
      <c r="C27" s="2651">
        <f t="shared" si="92"/>
        <v>257.80556031626975</v>
      </c>
      <c r="D27" s="2651">
        <f t="shared" si="87"/>
        <v>257.80556031626975</v>
      </c>
      <c r="E27" s="2651">
        <f t="shared" si="93"/>
        <v>422.70928459677179</v>
      </c>
      <c r="F27" s="2651">
        <f t="shared" si="93"/>
        <v>229.73803270336617</v>
      </c>
      <c r="G27" s="4365"/>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2638</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2581</v>
      </c>
      <c r="B28" s="2624">
        <v>299</v>
      </c>
      <c r="C28" s="2624">
        <v>252</v>
      </c>
      <c r="D28" s="2624">
        <f t="shared" si="87"/>
        <v>252</v>
      </c>
      <c r="E28" s="2624">
        <v>409</v>
      </c>
      <c r="F28" s="2625">
        <v>227</v>
      </c>
      <c r="G28" s="4369">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2582</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4370"/>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2583</v>
      </c>
      <c r="B30" s="2632">
        <f t="shared" si="96"/>
        <v>288.2649053828776</v>
      </c>
      <c r="C30" s="2632">
        <f t="shared" si="96"/>
        <v>243.64564425013293</v>
      </c>
      <c r="D30" s="2632">
        <f t="shared" si="87"/>
        <v>243.64564425013293</v>
      </c>
      <c r="E30" s="2632">
        <f t="shared" si="97"/>
        <v>393.31080825986544</v>
      </c>
      <c r="F30" s="2632">
        <f t="shared" si="97"/>
        <v>223.07903790551154</v>
      </c>
      <c r="G30" s="4370"/>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2584</v>
      </c>
      <c r="B31" s="2632">
        <f t="shared" si="96"/>
        <v>282.50186729015837</v>
      </c>
      <c r="C31" s="2632">
        <f t="shared" si="96"/>
        <v>238.09796174155468</v>
      </c>
      <c r="D31" s="2632">
        <f t="shared" si="87"/>
        <v>238.09796174155468</v>
      </c>
      <c r="E31" s="2632">
        <f t="shared" si="97"/>
        <v>385.33438646014054</v>
      </c>
      <c r="F31" s="2632">
        <f t="shared" si="97"/>
        <v>221.55034055567739</v>
      </c>
      <c r="G31" s="4371"/>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2585</v>
      </c>
      <c r="B32" s="2662">
        <v>278</v>
      </c>
      <c r="C32" s="2662">
        <v>234</v>
      </c>
      <c r="D32" s="2662">
        <f t="shared" si="87"/>
        <v>234</v>
      </c>
      <c r="E32" s="2662">
        <v>379</v>
      </c>
      <c r="F32" s="2663">
        <v>220</v>
      </c>
      <c r="G32" s="4364">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2586</v>
      </c>
      <c r="B33" s="2632">
        <f>B32/(1+N32)</f>
        <v>275.49301357645425</v>
      </c>
      <c r="C33" s="2632">
        <f>C32/(1+O32)</f>
        <v>232.41954707985698</v>
      </c>
      <c r="D33" s="2632">
        <f t="shared" si="87"/>
        <v>232.41954707985698</v>
      </c>
      <c r="E33" s="2632">
        <f t="shared" ref="E33:F35" si="98">E32/(1+P32)</f>
        <v>375.32184591008121</v>
      </c>
      <c r="F33" s="2632">
        <f t="shared" si="98"/>
        <v>218.03766105054513</v>
      </c>
      <c r="G33" s="4362"/>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2587</v>
      </c>
      <c r="B34" s="2632">
        <f>B33/(1+N33)</f>
        <v>275.24529281292263</v>
      </c>
      <c r="C34" s="2632">
        <f>C33/(1+O33)</f>
        <v>231.74747938962707</v>
      </c>
      <c r="D34" s="2632">
        <f t="shared" si="87"/>
        <v>231.74747938962707</v>
      </c>
      <c r="E34" s="2632">
        <f t="shared" si="98"/>
        <v>375.35938184826603</v>
      </c>
      <c r="F34" s="2632">
        <f t="shared" si="98"/>
        <v>216.78033510692495</v>
      </c>
      <c r="G34" s="4362"/>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2588</v>
      </c>
      <c r="B35" s="2632">
        <f>B34/(1+N34)</f>
        <v>275.19025476197027</v>
      </c>
      <c r="C35" s="2664">
        <v>232</v>
      </c>
      <c r="D35" s="2664">
        <f t="shared" si="87"/>
        <v>232</v>
      </c>
      <c r="E35" s="2632">
        <f t="shared" si="98"/>
        <v>375.65990977608692</v>
      </c>
      <c r="F35" s="2632">
        <f t="shared" si="98"/>
        <v>214.12518283971252</v>
      </c>
      <c r="G35" s="4365"/>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2589</v>
      </c>
      <c r="B36" s="2624">
        <v>275</v>
      </c>
      <c r="C36" s="2624">
        <v>232</v>
      </c>
      <c r="D36" s="2624">
        <f t="shared" si="87"/>
        <v>232</v>
      </c>
      <c r="E36" s="2624">
        <v>376</v>
      </c>
      <c r="F36" s="2625">
        <v>213</v>
      </c>
      <c r="G36" s="4364">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2590</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4362">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2591</v>
      </c>
      <c r="B38" s="2632">
        <f t="shared" si="99"/>
        <v>275.19335084830601</v>
      </c>
      <c r="C38" s="2632">
        <f t="shared" si="99"/>
        <v>230.18088050139744</v>
      </c>
      <c r="D38" s="2632">
        <f t="shared" si="87"/>
        <v>230.18088050139744</v>
      </c>
      <c r="E38" s="2632">
        <f t="shared" si="100"/>
        <v>377.58482925212331</v>
      </c>
      <c r="F38" s="2632">
        <f t="shared" si="100"/>
        <v>210.90687997847917</v>
      </c>
      <c r="G38" s="4362">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2592</v>
      </c>
      <c r="B39" s="2632">
        <f t="shared" si="99"/>
        <v>276.29854502841971</v>
      </c>
      <c r="C39" s="2632">
        <f t="shared" si="99"/>
        <v>229.79023709833027</v>
      </c>
      <c r="D39" s="2632">
        <f t="shared" si="87"/>
        <v>229.79023709833027</v>
      </c>
      <c r="E39" s="2632">
        <f t="shared" si="100"/>
        <v>379.78759731655936</v>
      </c>
      <c r="F39" s="2632">
        <f t="shared" si="100"/>
        <v>211.32953905659235</v>
      </c>
      <c r="G39" s="4365">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2593</v>
      </c>
      <c r="B40" s="2624">
        <v>269</v>
      </c>
      <c r="C40" s="2624">
        <v>221</v>
      </c>
      <c r="D40" s="2624">
        <f t="shared" si="87"/>
        <v>221</v>
      </c>
      <c r="E40" s="2624">
        <v>373</v>
      </c>
      <c r="F40" s="2625">
        <v>196</v>
      </c>
      <c r="G40" s="4364">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2594</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4362">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2595</v>
      </c>
      <c r="B42" s="2632">
        <f t="shared" si="101"/>
        <v>242.95398227588385</v>
      </c>
      <c r="C42" s="2632">
        <f t="shared" si="101"/>
        <v>199.59137053614126</v>
      </c>
      <c r="D42" s="2632">
        <f t="shared" si="87"/>
        <v>199.59137053614126</v>
      </c>
      <c r="E42" s="2632">
        <f t="shared" si="102"/>
        <v>335.92189522342125</v>
      </c>
      <c r="F42" s="2632">
        <f t="shared" si="102"/>
        <v>183.10139991109489</v>
      </c>
      <c r="G42" s="4362">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2596</v>
      </c>
      <c r="B43" s="2632">
        <f t="shared" si="101"/>
        <v>232.06990378821649</v>
      </c>
      <c r="C43" s="2632">
        <f t="shared" si="101"/>
        <v>192.74878854286936</v>
      </c>
      <c r="D43" s="2632">
        <f t="shared" si="87"/>
        <v>192.74878854286936</v>
      </c>
      <c r="E43" s="2632">
        <f t="shared" si="102"/>
        <v>319.71247284992984</v>
      </c>
      <c r="F43" s="2632">
        <f t="shared" si="102"/>
        <v>175.67053622862409</v>
      </c>
      <c r="G43" s="4365">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2597</v>
      </c>
      <c r="B44" s="2624">
        <v>220</v>
      </c>
      <c r="C44" s="2624">
        <v>187</v>
      </c>
      <c r="D44" s="2624">
        <f t="shared" si="87"/>
        <v>187</v>
      </c>
      <c r="E44" s="2624">
        <v>301</v>
      </c>
      <c r="F44" s="2625">
        <v>168</v>
      </c>
      <c r="G44" s="4364">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2598</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4362">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2599</v>
      </c>
      <c r="B46" s="2632">
        <f t="shared" si="103"/>
        <v>210.630522469011</v>
      </c>
      <c r="C46" s="2632">
        <f t="shared" si="103"/>
        <v>181.69567812247232</v>
      </c>
      <c r="D46" s="2632">
        <f t="shared" si="87"/>
        <v>181.69567812247232</v>
      </c>
      <c r="E46" s="2632">
        <f t="shared" si="104"/>
        <v>286.13517466736738</v>
      </c>
      <c r="F46" s="2632">
        <f t="shared" si="104"/>
        <v>165.47535084591149</v>
      </c>
      <c r="G46" s="4362">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2600</v>
      </c>
      <c r="B47" s="2632">
        <f t="shared" si="103"/>
        <v>208.83454537875372</v>
      </c>
      <c r="C47" s="2632">
        <f t="shared" si="103"/>
        <v>183.77230517090351</v>
      </c>
      <c r="D47" s="2632">
        <f t="shared" si="87"/>
        <v>183.77230517090351</v>
      </c>
      <c r="E47" s="2632">
        <f t="shared" si="104"/>
        <v>281.10342338870947</v>
      </c>
      <c r="F47" s="2632">
        <f t="shared" si="104"/>
        <v>168.97309388942256</v>
      </c>
      <c r="G47" s="4365">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2601</v>
      </c>
      <c r="B48" s="2662">
        <v>214</v>
      </c>
      <c r="C48" s="2662">
        <v>188</v>
      </c>
      <c r="D48" s="2662">
        <f t="shared" si="87"/>
        <v>188</v>
      </c>
      <c r="E48" s="2662">
        <v>289</v>
      </c>
      <c r="F48" s="2663">
        <v>166</v>
      </c>
      <c r="G48" s="4364">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2602</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4362">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2603</v>
      </c>
      <c r="B50" s="2632">
        <f t="shared" si="105"/>
        <v>206.31694671589116</v>
      </c>
      <c r="C50" s="2632">
        <f t="shared" si="105"/>
        <v>183.61041121036101</v>
      </c>
      <c r="D50" s="2632">
        <f t="shared" si="87"/>
        <v>183.61041121036101</v>
      </c>
      <c r="E50" s="2632">
        <f t="shared" si="106"/>
        <v>276.66850301795557</v>
      </c>
      <c r="F50" s="2632">
        <f t="shared" si="106"/>
        <v>165.1360938278614</v>
      </c>
      <c r="G50" s="4362">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2604</v>
      </c>
      <c r="B51" s="2665">
        <f t="shared" si="105"/>
        <v>196.62341248059772</v>
      </c>
      <c r="C51" s="2665">
        <f t="shared" si="105"/>
        <v>170.99125648199012</v>
      </c>
      <c r="D51" s="2665">
        <f t="shared" si="87"/>
        <v>170.99125648199012</v>
      </c>
      <c r="E51" s="2665">
        <f t="shared" si="106"/>
        <v>266.07857570490052</v>
      </c>
      <c r="F51" s="2665">
        <f t="shared" si="106"/>
        <v>154.53499328828505</v>
      </c>
      <c r="G51" s="4365">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2605</v>
      </c>
      <c r="B52" s="2624">
        <v>188</v>
      </c>
      <c r="C52" s="2624">
        <v>165</v>
      </c>
      <c r="D52" s="2624">
        <f t="shared" si="87"/>
        <v>165</v>
      </c>
      <c r="E52" s="2624">
        <v>254</v>
      </c>
      <c r="F52" s="2625">
        <v>148</v>
      </c>
      <c r="G52" s="4364">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2606</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4362">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2607</v>
      </c>
      <c r="B54" s="2632">
        <f t="shared" si="109"/>
        <v>168.82017748715555</v>
      </c>
      <c r="C54" s="2632">
        <f t="shared" si="109"/>
        <v>148.06267029972753</v>
      </c>
      <c r="D54" s="2632">
        <f t="shared" si="87"/>
        <v>148.06267029972753</v>
      </c>
      <c r="E54" s="2632">
        <f t="shared" si="110"/>
        <v>216.46288379323747</v>
      </c>
      <c r="F54" s="2632">
        <f t="shared" si="110"/>
        <v>134.23529411764704</v>
      </c>
      <c r="G54" s="4362">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2608</v>
      </c>
      <c r="B55" s="2632">
        <f t="shared" si="109"/>
        <v>163.84913591779542</v>
      </c>
      <c r="C55" s="2632">
        <f t="shared" si="109"/>
        <v>145.0283378746594</v>
      </c>
      <c r="D55" s="2632">
        <f t="shared" si="87"/>
        <v>145.0283378746594</v>
      </c>
      <c r="E55" s="2632">
        <f t="shared" si="110"/>
        <v>204.95180722891567</v>
      </c>
      <c r="F55" s="2632">
        <f t="shared" si="110"/>
        <v>125.95920303605313</v>
      </c>
      <c r="G55" s="4365">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2609</v>
      </c>
      <c r="B56" s="2646">
        <v>159</v>
      </c>
      <c r="C56" s="2646">
        <v>141</v>
      </c>
      <c r="D56" s="2646">
        <f t="shared" si="87"/>
        <v>141</v>
      </c>
      <c r="E56" s="2646">
        <v>195</v>
      </c>
      <c r="F56" s="2647">
        <v>122</v>
      </c>
      <c r="G56" s="4364">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2610</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4362">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2611</v>
      </c>
      <c r="B58" s="2632">
        <f t="shared" si="113"/>
        <v>146.57412060301507</v>
      </c>
      <c r="C58" s="2632">
        <f t="shared" si="113"/>
        <v>136.46831955922866</v>
      </c>
      <c r="D58" s="2632">
        <f t="shared" si="87"/>
        <v>136.46831955922866</v>
      </c>
      <c r="E58" s="2632">
        <f t="shared" si="114"/>
        <v>166.73864894795128</v>
      </c>
      <c r="F58" s="2632">
        <f t="shared" si="114"/>
        <v>115.05882352941177</v>
      </c>
      <c r="G58" s="4362">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2612</v>
      </c>
      <c r="B59" s="2632">
        <f t="shared" si="113"/>
        <v>144.04145728643215</v>
      </c>
      <c r="C59" s="2632">
        <f t="shared" si="113"/>
        <v>136.12396694214877</v>
      </c>
      <c r="D59" s="2632">
        <f t="shared" si="87"/>
        <v>136.12396694214877</v>
      </c>
      <c r="E59" s="2632">
        <f t="shared" si="114"/>
        <v>158.32225913621264</v>
      </c>
      <c r="F59" s="2632">
        <f t="shared" si="114"/>
        <v>114.04278074866311</v>
      </c>
      <c r="G59" s="4365">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2613</v>
      </c>
      <c r="B60" s="2646">
        <v>138</v>
      </c>
      <c r="C60" s="2646">
        <v>131</v>
      </c>
      <c r="D60" s="2646">
        <f t="shared" si="87"/>
        <v>131</v>
      </c>
      <c r="E60" s="2646">
        <v>155</v>
      </c>
      <c r="F60" s="2647">
        <v>114</v>
      </c>
      <c r="G60" s="4364">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2614</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4362">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2615</v>
      </c>
      <c r="B62" s="2632">
        <f t="shared" si="117"/>
        <v>124.29032258064517</v>
      </c>
      <c r="C62" s="2632">
        <f t="shared" si="117"/>
        <v>123.8968609865471</v>
      </c>
      <c r="D62" s="2632">
        <f t="shared" si="87"/>
        <v>123.8968609865471</v>
      </c>
      <c r="E62" s="2632">
        <f t="shared" si="118"/>
        <v>138.00507614213197</v>
      </c>
      <c r="F62" s="2632">
        <f t="shared" si="118"/>
        <v>107.96106557377048</v>
      </c>
      <c r="G62" s="4362">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2616</v>
      </c>
      <c r="B63" s="2632">
        <f t="shared" si="117"/>
        <v>122.57204301075269</v>
      </c>
      <c r="C63" s="2632">
        <f t="shared" si="117"/>
        <v>123.4932735426009</v>
      </c>
      <c r="D63" s="2632">
        <f t="shared" si="87"/>
        <v>123.4932735426009</v>
      </c>
      <c r="E63" s="2632">
        <f t="shared" si="118"/>
        <v>129.82233502538071</v>
      </c>
      <c r="F63" s="2632">
        <f t="shared" si="118"/>
        <v>107.39446721311475</v>
      </c>
      <c r="G63" s="4365">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2617</v>
      </c>
      <c r="B64" s="2662">
        <v>121</v>
      </c>
      <c r="C64" s="2662">
        <v>122</v>
      </c>
      <c r="D64" s="2662">
        <f t="shared" si="87"/>
        <v>122</v>
      </c>
      <c r="E64" s="2662">
        <v>124</v>
      </c>
      <c r="F64" s="2663">
        <v>107</v>
      </c>
      <c r="G64" s="4364">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2618</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4362">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2619</v>
      </c>
      <c r="B66" s="2632">
        <f t="shared" si="121"/>
        <v>116.99099099099099</v>
      </c>
      <c r="C66" s="2632">
        <f t="shared" si="121"/>
        <v>118.84848484848486</v>
      </c>
      <c r="D66" s="2632">
        <f t="shared" si="87"/>
        <v>118.84848484848486</v>
      </c>
      <c r="E66" s="2632">
        <f t="shared" si="122"/>
        <v>117.60960960960961</v>
      </c>
      <c r="F66" s="2632">
        <f t="shared" si="122"/>
        <v>104</v>
      </c>
      <c r="G66" s="4362">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2620</v>
      </c>
      <c r="B67" s="2665">
        <f t="shared" si="121"/>
        <v>112.48648648648648</v>
      </c>
      <c r="C67" s="2665">
        <f t="shared" si="121"/>
        <v>115.21212121212122</v>
      </c>
      <c r="D67" s="2665">
        <f t="shared" si="87"/>
        <v>115.21212121212122</v>
      </c>
      <c r="E67" s="2665">
        <f t="shared" si="122"/>
        <v>110.4024024024024</v>
      </c>
      <c r="F67" s="2665">
        <f t="shared" si="122"/>
        <v>104</v>
      </c>
      <c r="G67" s="4365">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2621</v>
      </c>
      <c r="B68" s="2683">
        <v>111</v>
      </c>
      <c r="C68" s="2683">
        <v>114</v>
      </c>
      <c r="D68" s="2683">
        <f t="shared" si="87"/>
        <v>114</v>
      </c>
      <c r="E68" s="2683">
        <v>108</v>
      </c>
      <c r="F68" s="2684">
        <v>104</v>
      </c>
      <c r="G68" s="4364">
        <v>2003</v>
      </c>
      <c r="H68" s="2673">
        <v>4</v>
      </c>
      <c r="I68" s="2685"/>
      <c r="J68" s="2685"/>
      <c r="K68" s="2685"/>
      <c r="L68" s="2685"/>
      <c r="N68" s="2686"/>
      <c r="O68" s="2685"/>
      <c r="P68" s="2685"/>
      <c r="Q68" s="2685"/>
      <c r="S68" s="2686"/>
      <c r="T68" s="2685"/>
      <c r="U68" s="2685"/>
      <c r="V68" s="2685"/>
      <c r="X68" s="2677"/>
      <c r="Y68" s="2677"/>
      <c r="Z68" s="2677"/>
    </row>
    <row r="69" spans="1:26">
      <c r="A69" s="2619" t="s">
        <v>2622</v>
      </c>
      <c r="B69" s="2687">
        <f t="shared" ref="B69:C71" si="123">B70+(B$68-B$72)/4</f>
        <v>109.75</v>
      </c>
      <c r="C69" s="2687">
        <f t="shared" si="123"/>
        <v>112.25</v>
      </c>
      <c r="D69" s="2687">
        <f t="shared" si="87"/>
        <v>112.25</v>
      </c>
      <c r="E69" s="2687">
        <f t="shared" ref="E69:F71" si="124">E70+(E$68-E$72)/4</f>
        <v>107.25</v>
      </c>
      <c r="F69" s="2687">
        <f t="shared" si="124"/>
        <v>103.5</v>
      </c>
      <c r="G69" s="4362">
        <v>2003</v>
      </c>
      <c r="H69" s="2643">
        <v>3</v>
      </c>
      <c r="I69" s="2685"/>
      <c r="J69" s="2685"/>
      <c r="K69" s="2685"/>
      <c r="L69" s="2685"/>
      <c r="X69" s="2677"/>
      <c r="Y69" s="2677"/>
      <c r="Z69" s="2677"/>
    </row>
    <row r="70" spans="1:26">
      <c r="A70" s="2619" t="s">
        <v>2623</v>
      </c>
      <c r="B70" s="2687">
        <f t="shared" si="123"/>
        <v>108.5</v>
      </c>
      <c r="C70" s="2687">
        <f t="shared" si="123"/>
        <v>110.5</v>
      </c>
      <c r="D70" s="2687">
        <f t="shared" si="87"/>
        <v>110.5</v>
      </c>
      <c r="E70" s="2687">
        <f t="shared" si="124"/>
        <v>106.5</v>
      </c>
      <c r="F70" s="2687">
        <f t="shared" si="124"/>
        <v>103</v>
      </c>
      <c r="G70" s="4362">
        <v>2003</v>
      </c>
      <c r="H70" s="2623">
        <v>2</v>
      </c>
      <c r="I70" s="2685"/>
      <c r="J70" s="2685"/>
      <c r="K70" s="2685"/>
      <c r="L70" s="2685"/>
      <c r="X70" s="2677"/>
      <c r="Y70" s="2677"/>
      <c r="Z70" s="2677"/>
    </row>
    <row r="71" spans="1:26" ht="13.5" thickBot="1">
      <c r="A71" s="2619" t="s">
        <v>2624</v>
      </c>
      <c r="B71" s="2687">
        <f t="shared" si="123"/>
        <v>107.25</v>
      </c>
      <c r="C71" s="2687">
        <f t="shared" si="123"/>
        <v>108.75</v>
      </c>
      <c r="D71" s="2687">
        <f t="shared" si="87"/>
        <v>108.75</v>
      </c>
      <c r="E71" s="2687">
        <f t="shared" si="124"/>
        <v>105.75</v>
      </c>
      <c r="F71" s="2687">
        <f t="shared" si="124"/>
        <v>102.5</v>
      </c>
      <c r="G71" s="4365">
        <v>2003</v>
      </c>
      <c r="H71" s="2688">
        <v>1</v>
      </c>
      <c r="I71" s="2685"/>
      <c r="J71" s="2685"/>
      <c r="K71" s="2685"/>
      <c r="L71" s="2685"/>
      <c r="S71" s="2627"/>
      <c r="T71" s="2628"/>
      <c r="U71" s="2628"/>
      <c r="X71" s="2677"/>
      <c r="Y71" s="2677"/>
      <c r="Z71" s="2677"/>
    </row>
    <row r="72" spans="1:26" ht="13.5" thickBot="1">
      <c r="A72" s="2619" t="s">
        <v>2625</v>
      </c>
      <c r="B72" s="2689">
        <v>106</v>
      </c>
      <c r="C72" s="2689">
        <v>107</v>
      </c>
      <c r="D72" s="2689">
        <f t="shared" si="87"/>
        <v>107</v>
      </c>
      <c r="E72" s="2689">
        <v>105</v>
      </c>
      <c r="F72" s="2690">
        <v>102</v>
      </c>
      <c r="G72" s="4364">
        <v>2002</v>
      </c>
      <c r="H72" s="2638">
        <v>4</v>
      </c>
      <c r="I72" s="2685"/>
      <c r="J72" s="2685"/>
      <c r="K72" s="2685"/>
      <c r="L72" s="2685"/>
      <c r="N72" s="2686"/>
      <c r="O72" s="2685"/>
      <c r="P72" s="2685"/>
      <c r="Q72" s="2685"/>
      <c r="S72" s="2686"/>
      <c r="T72" s="2685"/>
      <c r="U72" s="2685"/>
      <c r="V72" s="2685"/>
      <c r="X72" s="2677"/>
      <c r="Y72" s="2677"/>
      <c r="Z72" s="2677"/>
    </row>
    <row r="73" spans="1:26">
      <c r="A73" s="2619" t="s">
        <v>2626</v>
      </c>
      <c r="B73" s="2687">
        <f t="shared" ref="B73:C75" si="125">B74+(B$72-B$76)/4</f>
        <v>105</v>
      </c>
      <c r="C73" s="2687">
        <f t="shared" si="125"/>
        <v>106</v>
      </c>
      <c r="D73" s="2687">
        <f t="shared" si="87"/>
        <v>106</v>
      </c>
      <c r="E73" s="2687">
        <f t="shared" ref="E73:F75" si="126">E74+(E$72-E$76)/4</f>
        <v>104.5</v>
      </c>
      <c r="F73" s="2687">
        <f t="shared" si="126"/>
        <v>101.5</v>
      </c>
      <c r="G73" s="4362">
        <v>2002</v>
      </c>
      <c r="H73" s="2643">
        <v>3</v>
      </c>
      <c r="I73" s="2685"/>
      <c r="J73" s="2685"/>
      <c r="K73" s="2685"/>
      <c r="L73" s="2685"/>
      <c r="X73" s="2677"/>
      <c r="Y73" s="2677"/>
      <c r="Z73" s="2677"/>
    </row>
    <row r="74" spans="1:26">
      <c r="A74" s="2619" t="s">
        <v>2627</v>
      </c>
      <c r="B74" s="2687">
        <f t="shared" si="125"/>
        <v>104</v>
      </c>
      <c r="C74" s="2687">
        <f t="shared" si="125"/>
        <v>105</v>
      </c>
      <c r="D74" s="2687">
        <f t="shared" si="87"/>
        <v>105</v>
      </c>
      <c r="E74" s="2687">
        <f t="shared" si="126"/>
        <v>104</v>
      </c>
      <c r="F74" s="2687">
        <f t="shared" si="126"/>
        <v>101</v>
      </c>
      <c r="G74" s="4362">
        <v>2002</v>
      </c>
      <c r="H74" s="2623">
        <v>2</v>
      </c>
      <c r="I74" s="2685"/>
      <c r="J74" s="2685"/>
      <c r="K74" s="2685"/>
      <c r="L74" s="2685"/>
      <c r="X74" s="2677"/>
      <c r="Y74" s="2677"/>
      <c r="Z74" s="2677"/>
    </row>
    <row r="75" spans="1:26" s="2654" customFormat="1" ht="13.5" thickBot="1">
      <c r="A75" s="2650" t="s">
        <v>2628</v>
      </c>
      <c r="B75" s="2691">
        <f t="shared" si="125"/>
        <v>103</v>
      </c>
      <c r="C75" s="2691">
        <f t="shared" si="125"/>
        <v>104</v>
      </c>
      <c r="D75" s="2691">
        <f t="shared" si="87"/>
        <v>104</v>
      </c>
      <c r="E75" s="2691">
        <f t="shared" si="126"/>
        <v>103.5</v>
      </c>
      <c r="F75" s="2691">
        <f t="shared" si="126"/>
        <v>100.5</v>
      </c>
      <c r="G75" s="4365">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2629</v>
      </c>
      <c r="G78" s="2701"/>
      <c r="N78" s="2701"/>
      <c r="S78" s="2701"/>
    </row>
    <row r="79" spans="1:26" s="2700" customFormat="1">
      <c r="A79" s="2700" t="s">
        <v>2630</v>
      </c>
      <c r="G79" s="2701"/>
      <c r="N79" s="2701"/>
      <c r="S79" s="2701"/>
    </row>
    <row r="80" spans="1:26" s="2700" customFormat="1">
      <c r="A80" s="2700" t="s">
        <v>2631</v>
      </c>
      <c r="G80" s="2701"/>
      <c r="I80" s="2702"/>
      <c r="J80" s="2702"/>
      <c r="K80" s="2702"/>
      <c r="L80" s="2702"/>
      <c r="N80" s="2703"/>
      <c r="O80" s="2702"/>
      <c r="P80" s="2702"/>
      <c r="Q80" s="2702"/>
      <c r="S80" s="2703"/>
      <c r="T80" s="2702"/>
      <c r="U80" s="2702"/>
      <c r="V80" s="2702"/>
    </row>
    <row r="81" spans="1:22" s="2700" customFormat="1">
      <c r="A81" s="2700" t="s">
        <v>2632</v>
      </c>
      <c r="G81" s="2701"/>
      <c r="N81" s="2701"/>
      <c r="S81" s="2701"/>
    </row>
    <row r="88" spans="1:22" ht="13.5" thickBot="1"/>
    <row r="89" spans="1:22">
      <c r="G89" s="2626"/>
      <c r="S89" s="2704" t="s">
        <v>2633</v>
      </c>
      <c r="T89" s="2705" t="s">
        <v>2634</v>
      </c>
      <c r="U89" s="2705" t="s">
        <v>2635</v>
      </c>
      <c r="V89" s="2705" t="s">
        <v>2636</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55432.25平方米。根据《建设工程规划许可证》[]、《出让合同》[]，估价对象规划建筑面积为67713.23平方米。</v>
      </c>
    </row>
    <row r="7" spans="1:4" ht="56.25">
      <c r="A7" s="1780" t="s">
        <v>2745</v>
      </c>
    </row>
    <row r="8" spans="1:4" ht="18.75">
      <c r="A8" s="1779" t="s">
        <v>1906</v>
      </c>
    </row>
    <row r="9" spans="1:4" ht="56.25">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2019年7月1日（评估专业人员勘察现场之日）</v>
      </c>
    </row>
    <row r="12" spans="1:4" ht="18.75">
      <c r="A12" s="1782" t="s">
        <v>2025</v>
      </c>
    </row>
    <row r="13" spans="1:4" ht="18.75">
      <c r="A13" s="1776" t="s">
        <v>2937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根据《国有土地使用证》[]，估价对象（分摊）出让国有建设用地使用权面积为55432.25平方米。根据《建设工程规划许可证》[]、《出让合同》[]，估价对象规划建筑面积为67713.23平方米。</v>
      </c>
    </row>
    <row r="21" spans="1:1" ht="18.75">
      <c r="A21" s="1776" t="s">
        <v>2074</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2063年12月30日、商业2053年12月30日地下车库2053年12月30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2944</v>
      </c>
      <c r="B1" s="3056"/>
      <c r="C1" s="3056"/>
      <c r="D1" s="3056"/>
      <c r="E1" s="3056"/>
      <c r="F1" s="3056"/>
    </row>
    <row r="2" spans="1:6" ht="14.25">
      <c r="A2" s="3057" t="s">
        <v>2939</v>
      </c>
      <c r="B2" s="3058" t="e">
        <f ca="1">SUMIF(B7:B14,"&lt;&gt;#ref!",B7:B14)</f>
        <v>#DIV/0!</v>
      </c>
      <c r="C2" s="3057" t="s">
        <v>2940</v>
      </c>
      <c r="D2" s="3056"/>
      <c r="E2" s="3056"/>
      <c r="F2" s="3056"/>
    </row>
    <row r="3" spans="1:6" ht="14.25">
      <c r="A3" s="3057" t="s">
        <v>2972</v>
      </c>
      <c r="B3" s="3058" t="e">
        <f ca="1">ROUND(B2*10000/E3,0)</f>
        <v>#DIV/0!</v>
      </c>
      <c r="C3" s="3057" t="s">
        <v>2078</v>
      </c>
      <c r="D3" s="3057" t="s">
        <v>2941</v>
      </c>
      <c r="E3" s="3058">
        <f ca="1">SUMIF(E7:E14,"&lt;&gt;#ref!",E7:E14)</f>
        <v>0</v>
      </c>
      <c r="F3" s="3056"/>
    </row>
    <row r="4" spans="1:6" ht="14.25">
      <c r="A4" s="3057" t="s">
        <v>2948</v>
      </c>
      <c r="B4" s="3058" t="e">
        <f ca="1">ROUND(B2*10000/E4,0)</f>
        <v>#DIV/0!</v>
      </c>
      <c r="C4" s="3057" t="s">
        <v>2078</v>
      </c>
      <c r="D4" s="3057" t="s">
        <v>2949</v>
      </c>
      <c r="E4" s="3058">
        <f ca="1">SUMIF(F7:F14,"&lt;&gt;#ref!",F7:F14)</f>
        <v>0</v>
      </c>
      <c r="F4" s="3056"/>
    </row>
    <row r="5" spans="1:6" ht="14.25">
      <c r="A5" s="3059"/>
      <c r="B5" s="1866"/>
      <c r="C5" s="1866"/>
      <c r="D5" s="1866"/>
      <c r="E5" s="1866"/>
      <c r="F5" s="3056"/>
    </row>
    <row r="6" spans="1:6" ht="28.5">
      <c r="A6" s="3060" t="s">
        <v>2945</v>
      </c>
      <c r="B6" s="3057" t="s">
        <v>2942</v>
      </c>
      <c r="C6" s="3058"/>
      <c r="D6" s="1866"/>
      <c r="E6" s="3057" t="s">
        <v>2943</v>
      </c>
      <c r="F6" s="3057" t="s">
        <v>2947</v>
      </c>
    </row>
    <row r="7" spans="1:6" ht="14.25">
      <c r="A7" s="260" t="s">
        <v>2946</v>
      </c>
      <c r="B7" s="3061" t="e">
        <f ca="1">SUMIF(INDIRECT("'"&amp;A7&amp;"'"&amp;"!A:A"),"总价",INDIRECT("'"&amp;A7&amp;"'"&amp;"!B:B"))</f>
        <v>#DIV/0!</v>
      </c>
      <c r="C7" s="3057" t="s">
        <v>2940</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2940</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2940</v>
      </c>
      <c r="D9" s="1866"/>
      <c r="E9" s="3062" t="e">
        <f t="shared" ca="1" si="1"/>
        <v>#REF!</v>
      </c>
      <c r="F9" s="3062" t="e">
        <f t="shared" ca="1" si="2"/>
        <v>#REF!</v>
      </c>
    </row>
    <row r="10" spans="1:6" ht="14.25">
      <c r="A10" s="260"/>
      <c r="B10" s="3061" t="e">
        <f t="shared" ca="1" si="0"/>
        <v>#REF!</v>
      </c>
      <c r="C10" s="3057" t="s">
        <v>2940</v>
      </c>
      <c r="D10" s="1866"/>
      <c r="E10" s="3062" t="e">
        <f t="shared" ca="1" si="1"/>
        <v>#REF!</v>
      </c>
      <c r="F10" s="3062" t="e">
        <f t="shared" ca="1" si="2"/>
        <v>#REF!</v>
      </c>
    </row>
    <row r="11" spans="1:6" ht="14.25">
      <c r="A11" s="260"/>
      <c r="B11" s="3061" t="e">
        <f t="shared" ca="1" si="0"/>
        <v>#REF!</v>
      </c>
      <c r="C11" s="3057" t="s">
        <v>2940</v>
      </c>
      <c r="D11" s="1866"/>
      <c r="E11" s="3062" t="e">
        <f t="shared" ca="1" si="1"/>
        <v>#REF!</v>
      </c>
      <c r="F11" s="3062" t="e">
        <f t="shared" ca="1" si="2"/>
        <v>#REF!</v>
      </c>
    </row>
    <row r="12" spans="1:6" ht="14.25">
      <c r="A12" s="260"/>
      <c r="B12" s="3061" t="e">
        <f t="shared" ca="1" si="0"/>
        <v>#REF!</v>
      </c>
      <c r="C12" s="3057" t="s">
        <v>2940</v>
      </c>
      <c r="D12" s="1866"/>
      <c r="E12" s="3062" t="e">
        <f t="shared" ca="1" si="1"/>
        <v>#REF!</v>
      </c>
      <c r="F12" s="3062" t="e">
        <f t="shared" ca="1" si="2"/>
        <v>#REF!</v>
      </c>
    </row>
    <row r="13" spans="1:6" ht="14.25">
      <c r="A13" s="260"/>
      <c r="B13" s="3061" t="e">
        <f t="shared" ca="1" si="0"/>
        <v>#REF!</v>
      </c>
      <c r="C13" s="3057" t="s">
        <v>2940</v>
      </c>
      <c r="D13" s="1866"/>
      <c r="E13" s="3062" t="e">
        <f t="shared" ca="1" si="1"/>
        <v>#REF!</v>
      </c>
      <c r="F13" s="3062" t="e">
        <f t="shared" ca="1" si="2"/>
        <v>#REF!</v>
      </c>
    </row>
    <row r="14" spans="1:6" ht="14.25">
      <c r="A14" s="3055"/>
      <c r="B14" s="3061" t="e">
        <f t="shared" ca="1" si="0"/>
        <v>#REF!</v>
      </c>
      <c r="C14" s="3057" t="s">
        <v>2940</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2456</v>
      </c>
      <c r="C7" s="53">
        <f ca="1">C8+C12+C14</f>
        <v>0</v>
      </c>
      <c r="D7" s="2460" t="s">
        <v>2459</v>
      </c>
      <c r="E7" s="2454"/>
      <c r="F7" s="2455"/>
      <c r="G7" s="1578"/>
      <c r="H7" s="781">
        <v>1</v>
      </c>
      <c r="I7" s="782" t="s">
        <v>2456</v>
      </c>
      <c r="J7" s="53">
        <f ca="1">J8+J12+J14</f>
        <v>0</v>
      </c>
      <c r="K7" s="2460" t="s">
        <v>2459</v>
      </c>
      <c r="L7" s="2454"/>
      <c r="M7" s="2455"/>
    </row>
    <row r="8" spans="1:25" ht="18" customHeight="1">
      <c r="A8" s="1815" t="s">
        <v>1824</v>
      </c>
      <c r="B8" s="4373" t="s">
        <v>2461</v>
      </c>
      <c r="C8" s="1810">
        <f ca="1">ROUND(F8*F10*F9*(1-F11)/10000,0)</f>
        <v>0</v>
      </c>
      <c r="D8" s="1807" t="s">
        <v>2532</v>
      </c>
      <c r="E8" s="61" t="s">
        <v>637</v>
      </c>
      <c r="F8" s="785">
        <f ca="1">INDIRECT("'数据-取费表'!u"&amp;$G$1)</f>
        <v>0</v>
      </c>
      <c r="G8" s="1578"/>
      <c r="H8" s="2468" t="s">
        <v>1824</v>
      </c>
      <c r="I8" s="4373" t="s">
        <v>2461</v>
      </c>
      <c r="J8" s="783">
        <f ca="1">ROUND(M8*M10*M9*(1-M11)/10000,0)</f>
        <v>0</v>
      </c>
      <c r="K8" s="341" t="s">
        <v>2532</v>
      </c>
      <c r="L8" s="784" t="s">
        <v>1738</v>
      </c>
      <c r="M8" s="785">
        <f ca="1">INDIRECT("'数据-取费表'!z"&amp;$G$1)</f>
        <v>0</v>
      </c>
    </row>
    <row r="9" spans="1:25" ht="18" customHeight="1">
      <c r="A9" s="2464"/>
      <c r="B9" s="4374"/>
      <c r="C9" s="1811"/>
      <c r="D9" s="1808"/>
      <c r="E9" s="61" t="s">
        <v>638</v>
      </c>
      <c r="F9" s="785">
        <f ca="1">IF(INDIRECT("'数据-取费表'!ah"&amp;$G$1)="",INDIRECT("'数据-取费表'!k"&amp;$G$1),INDIRECT("'数据-取费表'!ah"&amp;$G$1))</f>
        <v>0</v>
      </c>
      <c r="G9" s="1578"/>
      <c r="H9" s="2453"/>
      <c r="I9" s="4374"/>
      <c r="J9" s="788"/>
      <c r="K9" s="789"/>
      <c r="L9" s="784" t="s">
        <v>1739</v>
      </c>
      <c r="M9" s="785">
        <f ca="1">F9</f>
        <v>0</v>
      </c>
    </row>
    <row r="10" spans="1:25" ht="18" customHeight="1">
      <c r="A10" s="2457"/>
      <c r="B10" s="4375"/>
      <c r="C10" s="1811"/>
      <c r="D10" s="1808"/>
      <c r="E10" s="61" t="s">
        <v>639</v>
      </c>
      <c r="F10" s="785">
        <f ca="1">INDIRECT("'数据-取费表'!ai"&amp;$G$1)</f>
        <v>0</v>
      </c>
      <c r="G10" s="1578"/>
      <c r="H10" s="2453"/>
      <c r="I10" s="4375"/>
      <c r="J10" s="788"/>
      <c r="K10" s="789"/>
      <c r="L10" s="784" t="s">
        <v>1740</v>
      </c>
      <c r="M10" s="785">
        <f ca="1">INDIRECT("'数据-取费表'!ai"&amp;$G$1)</f>
        <v>0</v>
      </c>
    </row>
    <row r="11" spans="1:25" ht="18" customHeight="1">
      <c r="A11" s="786"/>
      <c r="B11" s="4376"/>
      <c r="C11" s="1811"/>
      <c r="D11" s="1808"/>
      <c r="E11" s="61" t="s">
        <v>640</v>
      </c>
      <c r="F11" s="794">
        <f ca="1">INDIRECT("'数据-取费表'!w"&amp;$G$1)</f>
        <v>0</v>
      </c>
      <c r="G11" s="1578"/>
      <c r="H11" s="2469"/>
      <c r="I11" s="4375"/>
      <c r="J11" s="788"/>
      <c r="K11" s="789"/>
      <c r="L11" s="795" t="s">
        <v>1741</v>
      </c>
      <c r="M11" s="796">
        <f ca="1">INDIRECT("'数据-取费表'!ab"&amp;$G$1)</f>
        <v>0</v>
      </c>
    </row>
    <row r="12" spans="1:25" ht="18" customHeight="1">
      <c r="A12" s="1815" t="s">
        <v>1825</v>
      </c>
      <c r="B12" s="2458" t="s">
        <v>2457</v>
      </c>
      <c r="C12" s="799">
        <f ca="1">ROUND(IF(F12="押一",C8/12*F13,IF(F12="押二",C8/12*2*F13,IF(F12="押三",C8/12*3*F13,C13*F13))),0)</f>
        <v>0</v>
      </c>
      <c r="D12" s="2465" t="s">
        <v>2969</v>
      </c>
      <c r="E12" s="2462" t="s">
        <v>2462</v>
      </c>
      <c r="F12" s="2585"/>
      <c r="G12" s="1578"/>
      <c r="H12" s="2525" t="s">
        <v>1825</v>
      </c>
      <c r="I12" s="2530" t="s">
        <v>2457</v>
      </c>
      <c r="J12" s="783">
        <f ca="1">ROUND(IF(M12="押一",J8/12*M13,IF(M12="押二",J8/12*2*M13,IF(M12="押三",J8/12*3*M13,J13*M13))),0)</f>
        <v>0</v>
      </c>
      <c r="K12" s="2465" t="s">
        <v>2969</v>
      </c>
      <c r="L12" s="2462" t="s">
        <v>2462</v>
      </c>
      <c r="M12" s="2585"/>
    </row>
    <row r="13" spans="1:25" ht="18" customHeight="1">
      <c r="A13" s="790"/>
      <c r="B13" s="2459" t="s">
        <v>2571</v>
      </c>
      <c r="C13" s="2463"/>
      <c r="D13" s="789"/>
      <c r="E13" s="2462" t="s">
        <v>2454</v>
      </c>
      <c r="F13" s="796">
        <f ca="1">'数据-取费表'!B39</f>
        <v>1.4999999999999999E-2</v>
      </c>
      <c r="G13" s="1578"/>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8"/>
      <c r="H14" s="2515" t="s">
        <v>2465</v>
      </c>
      <c r="I14" s="2528" t="s">
        <v>2458</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2823</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120</v>
      </c>
      <c r="G19" s="1579"/>
      <c r="H19" s="803" t="s">
        <v>2069</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1.54E-2</v>
      </c>
      <c r="G22" s="1579"/>
      <c r="H22" s="1817" t="s">
        <v>1850</v>
      </c>
      <c r="I22" s="1807" t="s">
        <v>668</v>
      </c>
      <c r="J22" s="54">
        <f ca="1">ROUND(M22*M23/10000,0)</f>
        <v>0</v>
      </c>
      <c r="K22" s="814" t="s">
        <v>669</v>
      </c>
      <c r="L22" s="784" t="s">
        <v>670</v>
      </c>
      <c r="M22" s="640">
        <f>'数据-取费表'!B52</f>
        <v>3</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1.4999999999999999E-2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6.9999999999999999E-4</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2820</v>
      </c>
      <c r="J27" s="799">
        <f ca="1">J7-J18</f>
        <v>0</v>
      </c>
      <c r="K27" s="1964" t="s">
        <v>700</v>
      </c>
      <c r="L27" s="1966"/>
      <c r="M27" s="820"/>
    </row>
    <row r="28" spans="1:25" ht="18" customHeight="1">
      <c r="A28" s="803" t="s">
        <v>1875</v>
      </c>
      <c r="B28" s="784" t="s">
        <v>2437</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2821</v>
      </c>
      <c r="C31" s="2508">
        <f ca="1">ROUND((C21+C22+C25+C28)/(1-F23-C26-C29-C30),0)</f>
        <v>0</v>
      </c>
      <c r="D31" s="2509"/>
      <c r="E31" s="2510"/>
      <c r="F31" s="2511"/>
      <c r="G31" s="1579"/>
      <c r="H31" s="823" t="s">
        <v>1872</v>
      </c>
      <c r="I31" s="2964" t="s">
        <v>2822</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5.5000000000000007E-2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3</v>
      </c>
      <c r="G36" s="2047"/>
      <c r="H36" s="2050"/>
      <c r="I36" s="4372"/>
      <c r="J36" s="2064"/>
      <c r="K36" s="2065"/>
      <c r="L36" s="2064"/>
      <c r="M36" s="2064"/>
    </row>
    <row r="37" spans="1:18" ht="18" customHeight="1">
      <c r="A37" s="815"/>
      <c r="B37" s="793"/>
      <c r="C37" s="69"/>
      <c r="D37" s="816"/>
      <c r="E37" s="784" t="s">
        <v>674</v>
      </c>
      <c r="F37" s="785">
        <f ca="1">INDIRECT("'数据-取费表'!r"&amp;$G$1)</f>
        <v>0</v>
      </c>
      <c r="G37" s="2047"/>
      <c r="H37" s="2050"/>
      <c r="I37" s="4372"/>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3" t="s">
        <v>2957</v>
      </c>
      <c r="F43" s="3074">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2960</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8" t="str">
        <f ca="1">IF(M48="住宅",0,IF(L49&gt;J52,L61,J61))</f>
        <v>0</v>
      </c>
      <c r="O47" s="2358" t="s">
        <v>2410</v>
      </c>
      <c r="P47" s="1578"/>
      <c r="Q47" s="1589"/>
      <c r="R47" s="1578"/>
    </row>
    <row r="48" spans="1:18" s="2044" customFormat="1" ht="18" customHeight="1" thickBot="1">
      <c r="A48" s="2069"/>
      <c r="C48" s="2072"/>
      <c r="D48" s="2073"/>
      <c r="E48" s="2073"/>
      <c r="F48" s="2074"/>
      <c r="G48" s="2075"/>
      <c r="I48" s="3098" t="s">
        <v>2344</v>
      </c>
      <c r="J48" s="2345"/>
      <c r="K48" s="3105" t="s">
        <v>2349</v>
      </c>
      <c r="L48" s="3109">
        <f ca="1">INDIRECT("'数据-取费表'!d"&amp;$G$1)</f>
        <v>0</v>
      </c>
      <c r="M48" s="3072"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7" t="s">
        <v>2345</v>
      </c>
      <c r="J49" s="2346"/>
      <c r="K49" s="3106"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7" t="s">
        <v>2346</v>
      </c>
      <c r="J50" s="2347"/>
      <c r="K50" s="3107"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7" t="s">
        <v>2347</v>
      </c>
      <c r="J51" s="3102">
        <f>SUMPRODUCT((I64:I66=J48)*(J63:L63=J49)*(J64:L66))</f>
        <v>0</v>
      </c>
      <c r="K51" s="3107" t="s">
        <v>2353</v>
      </c>
      <c r="L51" s="2348"/>
      <c r="O51" s="2365" t="s">
        <v>2383</v>
      </c>
      <c r="P51" s="2363" t="s">
        <v>2407</v>
      </c>
      <c r="Q51" s="2364">
        <f ca="1">C31</f>
        <v>0</v>
      </c>
      <c r="R51" s="2363" t="s">
        <v>2380</v>
      </c>
    </row>
    <row r="52" spans="1:18" s="2044" customFormat="1" ht="18" customHeight="1" thickBot="1">
      <c r="A52" s="2081"/>
      <c r="F52" s="2070"/>
      <c r="I52" s="3099" t="s">
        <v>2348</v>
      </c>
      <c r="J52" s="3103">
        <f>IF(J50="",J51,J50+J51-YEAR('数据-取费表'!B3))</f>
        <v>0</v>
      </c>
      <c r="K52" s="3077" t="s">
        <v>2354</v>
      </c>
      <c r="L52" s="3110">
        <f ca="1">ROUND(-PV(INDIRECT("'数据-取费表'!h"&amp;$G$1),L49,(C40-C14*J36),0),0)</f>
        <v>0</v>
      </c>
      <c r="O52" s="2365" t="s">
        <v>2384</v>
      </c>
      <c r="P52" s="2363" t="s">
        <v>2385</v>
      </c>
      <c r="Q52" s="2366" t="e">
        <f ca="1">J59</f>
        <v>#VALUE!</v>
      </c>
      <c r="R52" s="2367"/>
    </row>
    <row r="53" spans="1:18" s="2044" customFormat="1" ht="18" customHeight="1" thickBot="1">
      <c r="A53" s="2081"/>
      <c r="F53" s="2070"/>
      <c r="I53" s="3100" t="s">
        <v>2421</v>
      </c>
      <c r="J53" s="2349"/>
      <c r="K53" s="3100" t="s">
        <v>2420</v>
      </c>
      <c r="L53" s="2349"/>
      <c r="O53" s="2365" t="s">
        <v>2386</v>
      </c>
      <c r="P53" s="2363" t="s">
        <v>2387</v>
      </c>
      <c r="Q53" s="2366">
        <f>J53</f>
        <v>0</v>
      </c>
      <c r="R53" s="2367"/>
    </row>
    <row r="54" spans="1:18" s="2044" customFormat="1" ht="29.25" thickBot="1">
      <c r="A54" s="2081"/>
      <c r="I54" s="3101" t="s">
        <v>2973</v>
      </c>
      <c r="J54" s="3104">
        <f ca="1">IF(M48="住宅",MAX(J52,L49-'数据-取费表'!B20),MIN(J52,L49-'数据-取费表'!B20))</f>
        <v>-2</v>
      </c>
      <c r="K54" s="4377"/>
      <c r="L54" s="4378"/>
      <c r="O54" s="2365" t="s">
        <v>2388</v>
      </c>
      <c r="P54" s="2363" t="s">
        <v>2389</v>
      </c>
      <c r="Q54" s="2364">
        <f ca="1">J54</f>
        <v>-2</v>
      </c>
      <c r="R54" s="2363" t="s">
        <v>2390</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2391</v>
      </c>
      <c r="P55" s="2363" t="s">
        <v>2408</v>
      </c>
      <c r="Q55" s="2364">
        <f ca="1">Q49+Q50</f>
        <v>0</v>
      </c>
      <c r="R55" s="2367" t="s">
        <v>2392</v>
      </c>
    </row>
    <row r="56" spans="1:18" s="2044" customFormat="1" ht="16.5" thickBot="1">
      <c r="A56" s="2081"/>
      <c r="B56" s="2082"/>
      <c r="C56" s="2082"/>
      <c r="I56" s="3113" t="s">
        <v>2355</v>
      </c>
      <c r="J56" s="3052" t="e">
        <f ca="1">ROUND(IF(J48="钢混",J58/J51,1-(1-2%)*(J51-J58)/J51),3)</f>
        <v>#VALUE!</v>
      </c>
      <c r="K56" s="3114" t="s">
        <v>2356</v>
      </c>
      <c r="L56" s="2350"/>
      <c r="O56" s="2368" t="s">
        <v>2411</v>
      </c>
      <c r="P56" s="1578"/>
      <c r="Q56" s="1589"/>
      <c r="R56" s="1578"/>
    </row>
    <row r="57" spans="1:18" s="2044" customFormat="1" ht="43.5" thickBot="1">
      <c r="A57" s="2081"/>
      <c r="B57" s="2082"/>
      <c r="C57" s="2082"/>
      <c r="I57" s="3115" t="s">
        <v>2357</v>
      </c>
      <c r="J57" s="3125" t="s">
        <v>1678</v>
      </c>
      <c r="K57" s="3077" t="s">
        <v>2362</v>
      </c>
      <c r="L57" s="1893">
        <f ca="1">IF(L49&lt;J52,"——",L49-J52)</f>
        <v>0</v>
      </c>
      <c r="O57" s="2359" t="s">
        <v>2375</v>
      </c>
      <c r="P57" s="2360" t="s">
        <v>2376</v>
      </c>
      <c r="Q57" s="2361" t="s">
        <v>2377</v>
      </c>
      <c r="R57" s="2360" t="s">
        <v>2378</v>
      </c>
    </row>
    <row r="58" spans="1:18" s="2044" customFormat="1" ht="29.25" thickBot="1">
      <c r="A58" s="2081"/>
      <c r="B58" s="2082"/>
      <c r="C58" s="2082"/>
      <c r="I58" s="3116" t="s">
        <v>2358</v>
      </c>
      <c r="J58" s="3117" t="str">
        <f ca="1">IF(OR(M48="住宅",J52&lt;L49,J57="是"),"——",J52-L49)</f>
        <v>——</v>
      </c>
      <c r="K58" s="3077"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6" t="s">
        <v>2359</v>
      </c>
      <c r="J59" s="3053" t="e">
        <f ca="1">IF(J56&lt;0.4,0.4,J56)</f>
        <v>#VALUE!</v>
      </c>
      <c r="K59" s="3077"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6" t="s">
        <v>2360</v>
      </c>
      <c r="J60" s="3117" t="str">
        <f ca="1">IF(OR(M48="住宅",J52&lt;L49,J57="是"),"——",ROUND(C30*J59,0))</f>
        <v>——</v>
      </c>
      <c r="K60" s="3077"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8" t="s">
        <v>2361</v>
      </c>
      <c r="J61" s="3119" t="str">
        <f ca="1">IF(OR(M48="住宅",J52&lt;L49,J57="是"),"0",ROUND(J60/(1+J53)^J54,0))</f>
        <v>0</v>
      </c>
      <c r="K61" s="3120" t="s">
        <v>2366</v>
      </c>
      <c r="L61" s="3119"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1" t="s">
        <v>2367</v>
      </c>
      <c r="J63" s="3122" t="s">
        <v>2368</v>
      </c>
      <c r="K63" s="3122" t="s">
        <v>2369</v>
      </c>
      <c r="L63" s="3122" t="s">
        <v>2350</v>
      </c>
      <c r="M63" s="3123" t="s">
        <v>2938</v>
      </c>
      <c r="O63" s="2365" t="s">
        <v>2388</v>
      </c>
      <c r="P63" s="2363" t="s">
        <v>2396</v>
      </c>
      <c r="Q63" s="2364">
        <f ca="1">L60</f>
        <v>0</v>
      </c>
      <c r="R63" s="2367" t="s">
        <v>2397</v>
      </c>
    </row>
    <row r="64" spans="1:18" s="2044" customFormat="1" ht="15.75" thickBot="1">
      <c r="A64" s="2081"/>
      <c r="B64" s="2082"/>
      <c r="C64" s="2082"/>
      <c r="I64" s="3121" t="s">
        <v>2370</v>
      </c>
      <c r="J64" s="3122">
        <v>70</v>
      </c>
      <c r="K64" s="3122">
        <v>50</v>
      </c>
      <c r="L64" s="3122">
        <v>80</v>
      </c>
      <c r="M64" s="3124">
        <v>0.02</v>
      </c>
      <c r="O64" s="2362" t="s">
        <v>2391</v>
      </c>
      <c r="P64" s="2363" t="s">
        <v>2408</v>
      </c>
      <c r="Q64" s="2364" t="e">
        <f ca="1">Q58+Q59</f>
        <v>#DIV/0!</v>
      </c>
      <c r="R64" s="2367" t="s">
        <v>2392</v>
      </c>
    </row>
    <row r="65" spans="1:18" s="2044" customFormat="1" ht="16.5" thickBot="1">
      <c r="A65" s="2081"/>
      <c r="B65" s="2082"/>
      <c r="C65" s="2082"/>
      <c r="I65" s="3121" t="s">
        <v>2371</v>
      </c>
      <c r="J65" s="3122">
        <v>50</v>
      </c>
      <c r="K65" s="3122">
        <v>35</v>
      </c>
      <c r="L65" s="3122">
        <v>60</v>
      </c>
      <c r="M65" s="846">
        <v>0</v>
      </c>
      <c r="O65" s="2368" t="s">
        <v>2415</v>
      </c>
      <c r="P65" s="1578"/>
      <c r="Q65" s="1589"/>
      <c r="R65" s="1578"/>
    </row>
    <row r="66" spans="1:18" s="2044" customFormat="1" ht="15.75" thickBot="1">
      <c r="A66" s="2081"/>
      <c r="B66" s="2082"/>
      <c r="C66" s="2082"/>
      <c r="I66" s="3121" t="s">
        <v>2372</v>
      </c>
      <c r="J66" s="3122">
        <v>40</v>
      </c>
      <c r="K66" s="3122">
        <v>30</v>
      </c>
      <c r="L66" s="3122">
        <v>50</v>
      </c>
      <c r="M66" s="3124">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57" sqref="I57"/>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2996</v>
      </c>
      <c r="D1" s="3076" t="s">
        <v>3010</v>
      </c>
      <c r="E1" s="2351" t="s">
        <v>2374</v>
      </c>
      <c r="F1" s="2352">
        <f ca="1">J53</f>
        <v>32.520000000000003</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-210</v>
      </c>
      <c r="C2" s="2042"/>
      <c r="D2" s="2040"/>
      <c r="E2" s="2041"/>
      <c r="F2" s="2041"/>
      <c r="G2" s="1576"/>
      <c r="H2" s="2042"/>
      <c r="I2" s="2042"/>
      <c r="J2" s="2042"/>
      <c r="K2" s="2043"/>
      <c r="L2" s="2042"/>
      <c r="M2" s="2042"/>
    </row>
    <row r="3" spans="1:33" ht="18" customHeight="1" thickBot="1">
      <c r="A3" s="833" t="s">
        <v>1727</v>
      </c>
      <c r="B3" s="834">
        <f ca="1">IF(ISERROR(B2*10000/F43),0,ROUND(B2*10000/F43,0))</f>
        <v>-697</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2456</v>
      </c>
      <c r="C5" s="55">
        <f ca="1">C6+C10+C12</f>
        <v>0</v>
      </c>
      <c r="D5" s="2460" t="s">
        <v>2459</v>
      </c>
      <c r="E5" s="2454"/>
      <c r="F5" s="2455"/>
      <c r="G5" s="1578"/>
      <c r="H5" s="781">
        <v>1</v>
      </c>
      <c r="I5" s="782" t="s">
        <v>2456</v>
      </c>
      <c r="J5" s="55">
        <f ca="1">J6+J10+J12</f>
        <v>0</v>
      </c>
      <c r="K5" s="2460" t="s">
        <v>2459</v>
      </c>
      <c r="L5" s="2454"/>
      <c r="M5" s="2455"/>
    </row>
    <row r="6" spans="1:33" ht="18" customHeight="1">
      <c r="A6" s="1815" t="s">
        <v>1824</v>
      </c>
      <c r="B6" s="4373" t="s">
        <v>2461</v>
      </c>
      <c r="C6" s="783">
        <f ca="1">ROUND(F6*F8*F7*(1-F9)/10000,0)</f>
        <v>0</v>
      </c>
      <c r="D6" s="2461" t="s">
        <v>2460</v>
      </c>
      <c r="E6" s="784" t="s">
        <v>1738</v>
      </c>
      <c r="F6" s="785">
        <f ca="1">INDIRECT("'数据-取费表'!u"&amp;$G$1)</f>
        <v>0</v>
      </c>
      <c r="G6" s="1578"/>
      <c r="H6" s="2468" t="s">
        <v>2466</v>
      </c>
      <c r="I6" s="4373" t="s">
        <v>2461</v>
      </c>
      <c r="J6" s="783">
        <f ca="1">ROUND(M6*M8*M7*(1-M9)/10000,0)</f>
        <v>0</v>
      </c>
      <c r="K6" s="341" t="s">
        <v>1737</v>
      </c>
      <c r="L6" s="784" t="s">
        <v>1738</v>
      </c>
      <c r="M6" s="785">
        <f ca="1">INDIRECT("'数据-取费表'!z"&amp;$G$1)</f>
        <v>0</v>
      </c>
    </row>
    <row r="7" spans="1:33" ht="18" customHeight="1">
      <c r="A7" s="2464"/>
      <c r="B7" s="4374"/>
      <c r="C7" s="788"/>
      <c r="D7" s="789"/>
      <c r="E7" s="784" t="s">
        <v>1739</v>
      </c>
      <c r="F7" s="785">
        <f ca="1">IF(INDIRECT("'数据-取费表'!ah"&amp;$G$1)="",INDIRECT("'数据-取费表'!k"&amp;$G$1),INDIRECT("'数据-取费表'!ah"&amp;$G$1))</f>
        <v>3014.85</v>
      </c>
      <c r="G7" s="1578"/>
      <c r="H7" s="2453"/>
      <c r="I7" s="4374"/>
      <c r="J7" s="788"/>
      <c r="K7" s="789"/>
      <c r="L7" s="784" t="s">
        <v>1739</v>
      </c>
      <c r="M7" s="785">
        <f ca="1">F7</f>
        <v>3014.85</v>
      </c>
    </row>
    <row r="8" spans="1:33" ht="18" customHeight="1">
      <c r="A8" s="2457"/>
      <c r="B8" s="4375"/>
      <c r="C8" s="788"/>
      <c r="D8" s="789"/>
      <c r="E8" s="784" t="s">
        <v>1740</v>
      </c>
      <c r="F8" s="785">
        <f ca="1">INDIRECT("'数据-取费表'!ai"&amp;$G$1)</f>
        <v>365</v>
      </c>
      <c r="G8" s="1578"/>
      <c r="H8" s="2453"/>
      <c r="I8" s="4375"/>
      <c r="J8" s="788"/>
      <c r="K8" s="789"/>
      <c r="L8" s="784" t="s">
        <v>1740</v>
      </c>
      <c r="M8" s="785">
        <f ca="1">INDIRECT("'数据-取费表'!ai"&amp;$G$1)</f>
        <v>365</v>
      </c>
    </row>
    <row r="9" spans="1:33" ht="18" customHeight="1">
      <c r="A9" s="786"/>
      <c r="B9" s="4376"/>
      <c r="C9" s="788"/>
      <c r="D9" s="789"/>
      <c r="E9" s="784" t="s">
        <v>1741</v>
      </c>
      <c r="F9" s="794">
        <f ca="1">INDIRECT("'数据-取费表'!w"&amp;$G$1)</f>
        <v>0</v>
      </c>
      <c r="G9" s="1578"/>
      <c r="H9" s="2469"/>
      <c r="I9" s="4375"/>
      <c r="J9" s="788"/>
      <c r="K9" s="789"/>
      <c r="L9" s="795" t="s">
        <v>1741</v>
      </c>
      <c r="M9" s="796">
        <f ca="1">INDIRECT("'数据-取费表'!ab"&amp;$G$1)</f>
        <v>0</v>
      </c>
    </row>
    <row r="10" spans="1:33" ht="18" customHeight="1">
      <c r="A10" s="1815" t="s">
        <v>2464</v>
      </c>
      <c r="B10" s="2458" t="s">
        <v>2457</v>
      </c>
      <c r="C10" s="799">
        <f ca="1">ROUND(IF(F10="押一",C6/12*F11,IF(F10="押二",C6/12*2*F11,IF(F10="押三",C6/12*3*F11,C11*F11))),0)</f>
        <v>0</v>
      </c>
      <c r="D10" s="2465" t="s">
        <v>2969</v>
      </c>
      <c r="E10" s="2462" t="s">
        <v>2462</v>
      </c>
      <c r="F10" s="2585" t="s">
        <v>3009</v>
      </c>
      <c r="G10" s="1578"/>
      <c r="H10" s="2525" t="s">
        <v>2467</v>
      </c>
      <c r="I10" s="2530" t="s">
        <v>2457</v>
      </c>
      <c r="J10" s="783">
        <f ca="1">ROUND(IF(M10="押一",J6/12*M11,IF(M10="押二",J6/12*2*M11,IF(M10="押三",J6/12*3*M11,J11*M11))),0)</f>
        <v>0</v>
      </c>
      <c r="K10" s="2465" t="s">
        <v>2969</v>
      </c>
      <c r="L10" s="2462" t="s">
        <v>2462</v>
      </c>
      <c r="M10" s="2585"/>
    </row>
    <row r="11" spans="1:33" ht="18" customHeight="1">
      <c r="A11" s="790"/>
      <c r="B11" s="2459" t="s">
        <v>2571</v>
      </c>
      <c r="C11" s="2463"/>
      <c r="D11" s="789"/>
      <c r="E11" s="2462" t="s">
        <v>2463</v>
      </c>
      <c r="F11" s="796">
        <f ca="1">'数据-取费表'!B39</f>
        <v>1.4999999999999999E-2</v>
      </c>
      <c r="G11" s="1578"/>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8"/>
      <c r="H12" s="2515" t="s">
        <v>2468</v>
      </c>
      <c r="I12" s="2528" t="s">
        <v>2458</v>
      </c>
      <c r="J12" s="2529"/>
      <c r="K12" s="2504"/>
      <c r="L12" s="2505"/>
      <c r="M12" s="2518"/>
    </row>
    <row r="13" spans="1:33" ht="18" customHeight="1" thickTop="1">
      <c r="A13" s="1814">
        <v>2</v>
      </c>
      <c r="B13" s="1812" t="s">
        <v>1742</v>
      </c>
      <c r="C13" s="792">
        <f ca="1">ROUND(C29*F13,0)</f>
        <v>826</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546</v>
      </c>
      <c r="D14" s="1964" t="s">
        <v>1745</v>
      </c>
      <c r="E14" s="1965"/>
      <c r="F14" s="805"/>
      <c r="G14" s="1578"/>
      <c r="H14" s="1634" t="s">
        <v>1830</v>
      </c>
      <c r="I14" s="2216" t="s">
        <v>2824</v>
      </c>
      <c r="J14" s="53">
        <f ca="1">C29</f>
        <v>826</v>
      </c>
      <c r="K14" s="26"/>
      <c r="L14" s="801"/>
      <c r="M14" s="802"/>
    </row>
    <row r="15" spans="1:33" s="2049" customFormat="1" ht="18" customHeight="1" thickBot="1">
      <c r="A15" s="1633" t="s">
        <v>1885</v>
      </c>
      <c r="B15" s="784" t="s">
        <v>647</v>
      </c>
      <c r="C15" s="53">
        <f ca="1">ROUND(C14*F15,0)</f>
        <v>16</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82</v>
      </c>
      <c r="K16" s="1806" t="s">
        <v>1750</v>
      </c>
      <c r="L16" s="2450"/>
      <c r="M16" s="2455"/>
    </row>
    <row r="17" spans="1:33" s="2049" customFormat="1" ht="18" customHeight="1">
      <c r="A17" s="1633" t="s">
        <v>1887</v>
      </c>
      <c r="B17" s="784" t="s">
        <v>653</v>
      </c>
      <c r="C17" s="53">
        <f ca="1">ROUND(F17*(F43+INDIRECT("'数据-取费表'!S"&amp;$G$1))/10000,0)</f>
        <v>36</v>
      </c>
      <c r="D17" s="784" t="s">
        <v>1751</v>
      </c>
      <c r="E17" s="784" t="s">
        <v>1752</v>
      </c>
      <c r="F17" s="56">
        <f>'数据-取费表'!B35</f>
        <v>120</v>
      </c>
      <c r="G17" s="1579"/>
      <c r="H17" s="1634" t="s">
        <v>1830</v>
      </c>
      <c r="I17" s="784" t="s">
        <v>656</v>
      </c>
      <c r="J17" s="53">
        <f ca="1">ROUND(IF(项目基本情况!B11="自然人",J5*M17,J18+J19+J20),0)</f>
        <v>70</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8</v>
      </c>
      <c r="D18" s="784" t="s">
        <v>1746</v>
      </c>
      <c r="E18" s="784" t="s">
        <v>1747</v>
      </c>
      <c r="F18" s="809">
        <f>'数据-取费表'!B36</f>
        <v>1.4999999999999999E-2</v>
      </c>
      <c r="G18" s="1579"/>
      <c r="H18" s="1633" t="s">
        <v>1884</v>
      </c>
      <c r="I18" s="784" t="s">
        <v>1755</v>
      </c>
      <c r="J18" s="53">
        <f ca="1">ROUND(J5*M18/1.05,1)</f>
        <v>0</v>
      </c>
      <c r="K18" s="2448" t="s">
        <v>1756</v>
      </c>
      <c r="L18" s="784" t="s">
        <v>1747</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606</v>
      </c>
      <c r="D19" s="261" t="s">
        <v>1757</v>
      </c>
      <c r="E19" s="1967"/>
      <c r="F19" s="56"/>
      <c r="G19" s="1578"/>
      <c r="H19" s="1633" t="s">
        <v>1885</v>
      </c>
      <c r="I19" s="784" t="s">
        <v>1758</v>
      </c>
      <c r="J19" s="53">
        <f ca="1">IF(K19="按租金收入计税",ROUND(J5*M19,1),ROUND(C29*F33*0.7,1))</f>
        <v>69.400000000000006</v>
      </c>
      <c r="K19" s="811" t="s">
        <v>665</v>
      </c>
      <c r="L19" s="784" t="s">
        <v>1747</v>
      </c>
      <c r="M19" s="809">
        <f>IF(K19="按租金收入计税",'数据-取费表'!B51,'数据-取费表'!B50)</f>
        <v>1.2E-2</v>
      </c>
    </row>
    <row r="20" spans="1:33" s="2049" customFormat="1" ht="18" customHeight="1">
      <c r="A20" s="1634" t="s">
        <v>1889</v>
      </c>
      <c r="B20" s="784" t="s">
        <v>666</v>
      </c>
      <c r="C20" s="53">
        <f ca="1">ROUND(C19*F20,0)</f>
        <v>9</v>
      </c>
      <c r="D20" s="812" t="s">
        <v>1759</v>
      </c>
      <c r="E20" s="784" t="s">
        <v>1747</v>
      </c>
      <c r="F20" s="809">
        <f>'数据-取费表'!B37</f>
        <v>1.54E-2</v>
      </c>
      <c r="G20" s="1579"/>
      <c r="H20" s="1636" t="s">
        <v>1880</v>
      </c>
      <c r="I20" s="341" t="s">
        <v>1760</v>
      </c>
      <c r="J20" s="54">
        <f ca="1">ROUND(M20*M21/10000,0)</f>
        <v>1</v>
      </c>
      <c r="K20" s="814" t="s">
        <v>1761</v>
      </c>
      <c r="L20" s="784" t="s">
        <v>1762</v>
      </c>
      <c r="M20" s="640">
        <f>'数据-取费表'!B52</f>
        <v>3</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1.4999999999999999E-2</v>
      </c>
      <c r="G21" s="1579"/>
      <c r="H21" s="2470"/>
      <c r="I21" s="793"/>
      <c r="J21" s="69"/>
      <c r="K21" s="816"/>
      <c r="L21" s="784" t="s">
        <v>1766</v>
      </c>
      <c r="M21" s="785">
        <f ca="1">INDIRECT("'数据-取费表'!r"&amp;$G$1)</f>
        <v>2480.5800000000004</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12</v>
      </c>
      <c r="K22" s="2448" t="s">
        <v>1769</v>
      </c>
      <c r="L22" s="784" t="s">
        <v>1747</v>
      </c>
      <c r="M22" s="817">
        <f ca="1">INDIRECT("'数据-取费表'!Ak"&amp;$G$1)</f>
        <v>1.4999999999999999E-2</v>
      </c>
    </row>
    <row r="23" spans="1:33" s="2049" customFormat="1" ht="18" customHeight="1">
      <c r="A23" s="1633" t="s">
        <v>1831</v>
      </c>
      <c r="B23" s="784" t="s">
        <v>2533</v>
      </c>
      <c r="C23" s="53">
        <f ca="1">ROUND(IF('数据-取费表'!B22&lt;=1,(C19+C20)*F24*F23/2,(C19+C20)*(POWER((1+F24),F23/2)-1)),0)</f>
        <v>29</v>
      </c>
      <c r="D23" s="2535"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6.9999999999999999E-4</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2820</v>
      </c>
      <c r="J25" s="792">
        <f ca="1">J5-J16</f>
        <v>-82</v>
      </c>
      <c r="K25" s="2512" t="s">
        <v>1777</v>
      </c>
      <c r="L25" s="2513"/>
      <c r="M25" s="2514"/>
    </row>
    <row r="26" spans="1:33" ht="18" customHeight="1">
      <c r="A26" s="1633" t="s">
        <v>1831</v>
      </c>
      <c r="B26" s="784" t="s">
        <v>2437</v>
      </c>
      <c r="C26" s="53">
        <f ca="1">ROUND((C19+C20)*F26,0)</f>
        <v>123</v>
      </c>
      <c r="D26" s="812" t="s">
        <v>1778</v>
      </c>
      <c r="E26" s="795" t="s">
        <v>1779</v>
      </c>
      <c r="F26" s="794">
        <f ca="1">INDIRECT("'数据-取费表'!q"&amp;$G$1)</f>
        <v>0.2</v>
      </c>
      <c r="G26" s="1578"/>
      <c r="H26" s="2466" t="s">
        <v>1780</v>
      </c>
      <c r="I26" s="2217" t="s">
        <v>2825</v>
      </c>
      <c r="J26" s="783">
        <f ca="1">IF(J5&lt;&gt;0,ROUND(J25*(1-((1+M28)/(1+M26))^M27)/(M26-M28),0),0)</f>
        <v>0</v>
      </c>
      <c r="K26" s="814" t="s">
        <v>1781</v>
      </c>
      <c r="L26" s="784" t="s">
        <v>2419</v>
      </c>
      <c r="M26" s="794">
        <f ca="1">INDIRECT("'数据-取费表'!I"&amp;$G$1)</f>
        <v>5.5E-2</v>
      </c>
    </row>
    <row r="27" spans="1:33" ht="18" customHeight="1">
      <c r="A27" s="1633" t="s">
        <v>1832</v>
      </c>
      <c r="B27" s="784" t="s">
        <v>686</v>
      </c>
      <c r="C27" s="53">
        <f ca="1">ROUND(F21*F26,4)</f>
        <v>3.0000000000000001E-3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5.2400000000000002E-2</v>
      </c>
      <c r="D28" s="812" t="s">
        <v>2299</v>
      </c>
      <c r="E28" s="784" t="s">
        <v>1785</v>
      </c>
      <c r="F28" s="809">
        <f>'数据-取费表'!B41</f>
        <v>5.5000000000000007E-2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826</v>
      </c>
      <c r="D29" s="2509"/>
      <c r="E29" s="2510"/>
      <c r="F29" s="2511"/>
      <c r="G29" s="1579"/>
      <c r="H29" s="823" t="s">
        <v>1787</v>
      </c>
      <c r="I29" s="824" t="s">
        <v>1788</v>
      </c>
      <c r="J29" s="825">
        <f ca="1">ROUND(J26/(1+F40)^F41,0)</f>
        <v>0</v>
      </c>
      <c r="K29" s="826" t="s">
        <v>1789</v>
      </c>
      <c r="L29" s="827"/>
      <c r="M29" s="828">
        <f ca="1">INDIRECT("'数据-取费表'!k"&amp;$G$1)</f>
        <v>3014.85</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14</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ROUND(IF(项目基本情况!B11="自然人",C5*F31,C32+C33+C34),1)</f>
        <v>0.7</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0</v>
      </c>
      <c r="D32" s="1962" t="s">
        <v>1795</v>
      </c>
      <c r="E32" s="784" t="s">
        <v>1796</v>
      </c>
      <c r="F32" s="809">
        <f>'数据-取费表'!B41</f>
        <v>5.5000000000000007E-2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0</v>
      </c>
      <c r="D33" s="811" t="s">
        <v>3007</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0.7</v>
      </c>
      <c r="D34" s="814" t="s">
        <v>1799</v>
      </c>
      <c r="E34" s="784" t="s">
        <v>1800</v>
      </c>
      <c r="F34" s="640">
        <f>'数据-取费表'!B52</f>
        <v>3</v>
      </c>
      <c r="G34" s="2047"/>
      <c r="H34" s="2050"/>
      <c r="I34" s="835" t="s">
        <v>1813</v>
      </c>
      <c r="J34" s="836"/>
      <c r="K34" s="2065"/>
      <c r="L34" s="2064"/>
      <c r="M34" s="2064"/>
    </row>
    <row r="35" spans="1:18" ht="18" customHeight="1">
      <c r="A35" s="815"/>
      <c r="B35" s="793"/>
      <c r="C35" s="69"/>
      <c r="D35" s="816"/>
      <c r="E35" s="784" t="s">
        <v>1801</v>
      </c>
      <c r="F35" s="785">
        <f ca="1">INDIRECT("'数据-取费表'!r"&amp;$G$1)</f>
        <v>2480.5800000000004</v>
      </c>
      <c r="G35" s="2047"/>
      <c r="H35" s="2050"/>
      <c r="I35" s="837" t="s">
        <v>1814</v>
      </c>
      <c r="J35" s="838">
        <f ca="1">ROUND(C13*J36,0)</f>
        <v>66</v>
      </c>
      <c r="K35" s="2063"/>
      <c r="L35" s="2062"/>
      <c r="M35" s="2062"/>
    </row>
    <row r="36" spans="1:18" ht="18" customHeight="1">
      <c r="A36" s="1634" t="s">
        <v>1889</v>
      </c>
      <c r="B36" s="784" t="s">
        <v>1802</v>
      </c>
      <c r="C36" s="53">
        <f ca="1">ROUND(C29*F36,1)</f>
        <v>12.4</v>
      </c>
      <c r="D36" s="1962" t="s">
        <v>1803</v>
      </c>
      <c r="E36" s="784" t="s">
        <v>1796</v>
      </c>
      <c r="F36" s="817">
        <f ca="1">INDIRECT("'数据-取费表'!Ak"&amp;$G$1)</f>
        <v>1.4999999999999999E-2</v>
      </c>
      <c r="G36" s="2047"/>
      <c r="H36" s="2062"/>
      <c r="I36" s="839" t="s">
        <v>1815</v>
      </c>
      <c r="J36" s="840">
        <f ca="1">INDIRECT("'数据-取费表'!j"&amp;$G$1)</f>
        <v>0.08</v>
      </c>
      <c r="K36" s="2067"/>
      <c r="L36" s="2062"/>
      <c r="M36" s="2062"/>
    </row>
    <row r="37" spans="1:18" ht="18" customHeight="1">
      <c r="A37" s="1634" t="s">
        <v>1890</v>
      </c>
      <c r="B37" s="784" t="s">
        <v>679</v>
      </c>
      <c r="C37" s="53">
        <f ca="1">ROUND(C13*F37,1)</f>
        <v>1.2</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0</v>
      </c>
      <c r="D38" s="2509" t="s">
        <v>1805</v>
      </c>
      <c r="E38" s="2510" t="s">
        <v>1796</v>
      </c>
      <c r="F38" s="2506">
        <f ca="1">INDIRECT("'数据-取费表'!Am"&amp;$G$1)</f>
        <v>1.4999999999999999E-2</v>
      </c>
      <c r="G38" s="2047"/>
      <c r="H38" s="2062"/>
      <c r="I38" s="843" t="s">
        <v>1817</v>
      </c>
      <c r="J38" s="844"/>
      <c r="K38" s="2068"/>
      <c r="L38" s="2062"/>
      <c r="M38" s="2062"/>
    </row>
    <row r="39" spans="1:18" ht="24.6" customHeight="1" thickTop="1">
      <c r="A39" s="1814" t="s">
        <v>1894</v>
      </c>
      <c r="B39" s="2962" t="s">
        <v>2820</v>
      </c>
      <c r="C39" s="792">
        <f ca="1">C5-C30</f>
        <v>-14</v>
      </c>
      <c r="D39" s="2512" t="s">
        <v>1806</v>
      </c>
      <c r="E39" s="2513"/>
      <c r="F39" s="2514"/>
      <c r="G39" s="2047"/>
      <c r="H39" s="2062"/>
      <c r="I39" s="837" t="s">
        <v>1818</v>
      </c>
      <c r="J39" s="845">
        <f ca="1">ROUND(J35/C39,3)</f>
        <v>-4.7140000000000004</v>
      </c>
      <c r="K39" s="2068"/>
      <c r="L39" s="2062"/>
      <c r="M39" s="2062"/>
    </row>
    <row r="40" spans="1:18" ht="18" customHeight="1">
      <c r="A40" s="781" t="s">
        <v>1895</v>
      </c>
      <c r="B40" s="2217" t="s">
        <v>2301</v>
      </c>
      <c r="C40" s="783">
        <f ca="1">ROUND(C39*(1-((1+F42)/(1+F40))^F41)/(F40-F42),0)</f>
        <v>-210</v>
      </c>
      <c r="D40" s="814" t="s">
        <v>1807</v>
      </c>
      <c r="E40" s="784" t="s">
        <v>2419</v>
      </c>
      <c r="F40" s="794">
        <f ca="1">INDIRECT("'数据-取费表'!I"&amp;$G$1)</f>
        <v>5.5E-2</v>
      </c>
      <c r="G40" s="2047"/>
      <c r="H40" s="2047"/>
      <c r="I40" s="837" t="s">
        <v>1819</v>
      </c>
      <c r="J40" s="845">
        <f ca="1">1-J39</f>
        <v>5.7140000000000004</v>
      </c>
      <c r="K40" s="2068"/>
      <c r="L40" s="2047"/>
      <c r="M40" s="2047"/>
    </row>
    <row r="41" spans="1:18" ht="18" customHeight="1">
      <c r="A41" s="786"/>
      <c r="B41" s="787"/>
      <c r="C41" s="788"/>
      <c r="D41" s="821" t="s">
        <v>1808</v>
      </c>
      <c r="E41" s="784" t="s">
        <v>2959</v>
      </c>
      <c r="F41" s="822">
        <f ca="1">IF(INDIRECT("'数据-取费表'!af"&amp;$G$1)=0,INDIRECT("'数据-取费表'!ae"&amp;$G$1),INDIRECT("'数据-取费表'!af"&amp;$G$1))</f>
        <v>32.520000000000003</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f ca="1">ROUND(C13/C40,3)</f>
        <v>-3.9329999999999998</v>
      </c>
      <c r="K42" s="2067"/>
      <c r="L42" s="1973"/>
      <c r="M42" s="1973"/>
    </row>
    <row r="43" spans="1:18" ht="18" customHeight="1" thickBot="1">
      <c r="A43" s="823" t="s">
        <v>1787</v>
      </c>
      <c r="B43" s="824" t="s">
        <v>1810</v>
      </c>
      <c r="C43" s="825">
        <f ca="1">ROUND(C40*10000/F43,0)</f>
        <v>-697</v>
      </c>
      <c r="D43" s="826" t="s">
        <v>1811</v>
      </c>
      <c r="E43" s="827" t="s">
        <v>1812</v>
      </c>
      <c r="F43" s="828">
        <f ca="1">INDIRECT("'数据-取费表'!k"&amp;$G$1)</f>
        <v>3014.85</v>
      </c>
      <c r="G43" s="2047"/>
      <c r="H43" s="1973"/>
      <c r="I43" s="847" t="s">
        <v>1822</v>
      </c>
      <c r="J43" s="848">
        <f ca="1">1-J42</f>
        <v>4.9329999999999998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0</v>
      </c>
      <c r="D46" s="2070"/>
      <c r="E46" s="2070"/>
      <c r="F46" s="2070"/>
      <c r="I46" s="2342" t="s">
        <v>2343</v>
      </c>
      <c r="J46" s="2343"/>
      <c r="K46" s="2344"/>
      <c r="L46" s="3108">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8" t="s">
        <v>2344</v>
      </c>
      <c r="J47" s="2345" t="s">
        <v>3008</v>
      </c>
      <c r="K47" s="3105" t="s">
        <v>2349</v>
      </c>
      <c r="L47" s="3109">
        <f ca="1">INDIRECT("'数据-取费表'!d"&amp;$G$1)</f>
        <v>40</v>
      </c>
      <c r="M47" s="1589" t="str">
        <f>IF(ISNUMBER(FIND("住宅",C1)),"住宅","非住宅")</f>
        <v>非住宅</v>
      </c>
      <c r="O47" s="2359" t="s">
        <v>2375</v>
      </c>
      <c r="P47" s="2360" t="s">
        <v>2376</v>
      </c>
      <c r="Q47" s="2361" t="s">
        <v>2377</v>
      </c>
      <c r="R47" s="2360" t="s">
        <v>2378</v>
      </c>
    </row>
    <row r="48" spans="1:18" s="2044" customFormat="1" ht="18" customHeight="1" thickBot="1">
      <c r="A48" s="2606" t="s">
        <v>2535</v>
      </c>
      <c r="B48" s="2607" t="s">
        <v>2536</v>
      </c>
      <c r="C48" s="2338">
        <f ca="1">ROUND(F48*F50*F49*(1-F51)/10000,0)</f>
        <v>0</v>
      </c>
      <c r="D48" s="2339" t="s">
        <v>636</v>
      </c>
      <c r="E48" s="2340" t="s">
        <v>2296</v>
      </c>
      <c r="F48" s="2341"/>
      <c r="G48" s="2075"/>
      <c r="I48" s="3077" t="s">
        <v>2345</v>
      </c>
      <c r="J48" s="2346" t="s">
        <v>2350</v>
      </c>
      <c r="K48" s="3106" t="s">
        <v>2351</v>
      </c>
      <c r="L48" s="1893">
        <f ca="1">INDIRECT("'数据-取费表'!f"&amp;$G$1)</f>
        <v>34.520000000000003</v>
      </c>
      <c r="O48" s="2362" t="s">
        <v>2379</v>
      </c>
      <c r="P48" s="2363" t="s">
        <v>2405</v>
      </c>
      <c r="Q48" s="2364">
        <f ca="1">C40+J29</f>
        <v>-210</v>
      </c>
      <c r="R48" s="2363" t="s">
        <v>2380</v>
      </c>
    </row>
    <row r="49" spans="1:18" s="2044" customFormat="1" ht="18" customHeight="1" thickBot="1">
      <c r="A49" s="786"/>
      <c r="B49" s="787"/>
      <c r="C49" s="788"/>
      <c r="D49" s="789"/>
      <c r="E49" s="784" t="s">
        <v>1739</v>
      </c>
      <c r="F49" s="785">
        <f ca="1">F7</f>
        <v>3014.85</v>
      </c>
      <c r="G49" s="2075"/>
      <c r="H49" s="2078"/>
      <c r="I49" s="3077" t="s">
        <v>2346</v>
      </c>
      <c r="J49" s="2347">
        <v>2020</v>
      </c>
      <c r="K49" s="3107" t="s">
        <v>2352</v>
      </c>
      <c r="L49" s="2348"/>
      <c r="O49" s="2362" t="s">
        <v>2381</v>
      </c>
      <c r="P49" s="2363" t="s">
        <v>2406</v>
      </c>
      <c r="Q49" s="2364">
        <f ca="1">J60</f>
        <v>364</v>
      </c>
      <c r="R49" s="2363" t="s">
        <v>2382</v>
      </c>
    </row>
    <row r="50" spans="1:18" s="2044" customFormat="1" ht="18" customHeight="1" thickBot="1">
      <c r="A50" s="786"/>
      <c r="B50" s="787"/>
      <c r="C50" s="788"/>
      <c r="D50" s="789"/>
      <c r="E50" s="784" t="s">
        <v>1740</v>
      </c>
      <c r="F50" s="785">
        <f ca="1">F8</f>
        <v>365</v>
      </c>
      <c r="G50" s="2080"/>
      <c r="H50" s="2078"/>
      <c r="I50" s="3077" t="s">
        <v>2347</v>
      </c>
      <c r="J50" s="3102">
        <f>SUMPRODUCT((I63:I65=J47)*(J62:L62=J48)*(J63:L65))</f>
        <v>60</v>
      </c>
      <c r="K50" s="3107" t="s">
        <v>2353</v>
      </c>
      <c r="L50" s="2348"/>
      <c r="O50" s="2365" t="s">
        <v>2383</v>
      </c>
      <c r="P50" s="2363" t="s">
        <v>2407</v>
      </c>
      <c r="Q50" s="2364">
        <f ca="1">C29</f>
        <v>826</v>
      </c>
      <c r="R50" s="2363" t="s">
        <v>2380</v>
      </c>
    </row>
    <row r="51" spans="1:18" s="2044" customFormat="1" ht="18" customHeight="1" thickBot="1">
      <c r="A51" s="786"/>
      <c r="B51" s="787"/>
      <c r="C51" s="788"/>
      <c r="D51" s="789"/>
      <c r="E51" s="784" t="s">
        <v>640</v>
      </c>
      <c r="F51" s="2335"/>
      <c r="H51" s="2078"/>
      <c r="I51" s="3099" t="s">
        <v>2348</v>
      </c>
      <c r="J51" s="3103">
        <f>IF(J49="",J50,J49+J50-YEAR('数据-取费表'!B2))</f>
        <v>61</v>
      </c>
      <c r="K51" s="3077" t="s">
        <v>2354</v>
      </c>
      <c r="L51" s="3110">
        <f ca="1">ROUND(-PV(INDIRECT("'数据-取费表'!h"&amp;$G$1),L48,(C39-C13*J36),0),0)</f>
        <v>-1304</v>
      </c>
      <c r="O51" s="2365" t="s">
        <v>2384</v>
      </c>
      <c r="P51" s="2363" t="s">
        <v>2385</v>
      </c>
      <c r="Q51" s="2366">
        <f ca="1">J58</f>
        <v>0.441</v>
      </c>
      <c r="R51" s="2367"/>
    </row>
    <row r="52" spans="1:18" s="2044" customFormat="1" ht="18" customHeight="1" thickBot="1">
      <c r="A52" s="781" t="s">
        <v>2534</v>
      </c>
      <c r="B52" s="2458" t="s">
        <v>2457</v>
      </c>
      <c r="C52" s="799">
        <f ca="1">ROUND(IF(F52="押一",C48/12*F11,IF(F52="押二",C48/12*2*F11,IF(F52="押三",C48/12*3*F11,C53*F11))),0)</f>
        <v>0</v>
      </c>
      <c r="D52" s="2465" t="s">
        <v>2970</v>
      </c>
      <c r="E52" s="2462" t="s">
        <v>2462</v>
      </c>
      <c r="F52" s="2585"/>
      <c r="I52" s="3100" t="s">
        <v>2421</v>
      </c>
      <c r="J52" s="2349"/>
      <c r="K52" s="3100" t="s">
        <v>2420</v>
      </c>
      <c r="L52" s="2349"/>
      <c r="O52" s="2365" t="s">
        <v>2386</v>
      </c>
      <c r="P52" s="2363" t="s">
        <v>2387</v>
      </c>
      <c r="Q52" s="2366">
        <f>J52</f>
        <v>0</v>
      </c>
      <c r="R52" s="2367"/>
    </row>
    <row r="53" spans="1:18" s="2044" customFormat="1" ht="39.75" customHeight="1" thickBot="1">
      <c r="A53" s="786"/>
      <c r="B53" s="2459" t="s">
        <v>2571</v>
      </c>
      <c r="C53" s="2463"/>
      <c r="D53" s="2465"/>
      <c r="E53" s="2462"/>
      <c r="F53" s="800"/>
      <c r="I53" s="3101" t="s">
        <v>2973</v>
      </c>
      <c r="J53" s="3104">
        <f ca="1">IF(M47="住宅",IF(D1="——",MAX(J51,L48),MAX(J51,L48-'数据-取费表'!B20)),IF(D1="——",MIN(J51,L48),MIN(J51,L48-'数据-取费表'!B20)))</f>
        <v>32.520000000000003</v>
      </c>
      <c r="K53" s="4379" t="s">
        <v>2961</v>
      </c>
      <c r="L53" s="4380"/>
      <c r="O53" s="2365" t="s">
        <v>2388</v>
      </c>
      <c r="P53" s="2363" t="s">
        <v>2389</v>
      </c>
      <c r="Q53" s="2364">
        <f ca="1">J53</f>
        <v>32.520000000000003</v>
      </c>
      <c r="R53" s="2363" t="s">
        <v>2390</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154</v>
      </c>
      <c r="R54" s="2367" t="s">
        <v>2392</v>
      </c>
    </row>
    <row r="55" spans="1:18" s="2044" customFormat="1" ht="18" customHeight="1" thickTop="1" thickBot="1">
      <c r="A55" s="797">
        <v>2</v>
      </c>
      <c r="B55" s="798" t="s">
        <v>644</v>
      </c>
      <c r="C55" s="799">
        <f ca="1">C13</f>
        <v>826</v>
      </c>
      <c r="D55" s="795"/>
      <c r="E55" s="795"/>
      <c r="F55" s="800"/>
      <c r="I55" s="3113" t="s">
        <v>2355</v>
      </c>
      <c r="J55" s="3052">
        <f ca="1">ROUND(IF(J47="钢混",J57/J50,1-(1-2%)*(J50-J57)/J50),3)</f>
        <v>0.441</v>
      </c>
      <c r="K55" s="3114" t="s">
        <v>2356</v>
      </c>
      <c r="L55" s="2350"/>
      <c r="O55" s="2368" t="s">
        <v>2411</v>
      </c>
      <c r="P55" s="1578"/>
      <c r="Q55" s="1589"/>
      <c r="R55" s="1578"/>
    </row>
    <row r="56" spans="1:18" s="2044" customFormat="1" ht="42.75" customHeight="1" thickBot="1">
      <c r="A56" s="1635"/>
      <c r="B56" s="2216" t="s">
        <v>2302</v>
      </c>
      <c r="C56" s="53">
        <f ca="1">C29</f>
        <v>826</v>
      </c>
      <c r="D56" s="2603"/>
      <c r="E56" s="784"/>
      <c r="F56" s="809"/>
      <c r="I56" s="3115" t="s">
        <v>2357</v>
      </c>
      <c r="J56" s="3125" t="s">
        <v>2998</v>
      </c>
      <c r="K56" s="3077"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14</v>
      </c>
      <c r="D57" s="26" t="s">
        <v>1750</v>
      </c>
      <c r="E57" s="2604"/>
      <c r="F57" s="56"/>
      <c r="I57" s="3116" t="s">
        <v>2358</v>
      </c>
      <c r="J57" s="3117">
        <f ca="1">IF(OR(M47="住宅",J51&lt;L48,J56="是"),"——",J51-L48)</f>
        <v>26.479999999999997</v>
      </c>
      <c r="K57" s="3077" t="s">
        <v>2363</v>
      </c>
      <c r="L57" s="1893" t="str">
        <f ca="1">IF(L48&lt;J51,"——",IF(L55="比较法",L49,IF(L55="基准地价",L50,L51)))</f>
        <v>——</v>
      </c>
      <c r="O57" s="2362" t="s">
        <v>2379</v>
      </c>
      <c r="P57" s="2363" t="s">
        <v>2409</v>
      </c>
      <c r="Q57" s="2364">
        <f ca="1">C40+J29</f>
        <v>-210</v>
      </c>
      <c r="R57" s="2363" t="s">
        <v>2380</v>
      </c>
    </row>
    <row r="58" spans="1:18" s="2044" customFormat="1" ht="28.5" customHeight="1" thickBot="1">
      <c r="A58" s="1634" t="s">
        <v>1824</v>
      </c>
      <c r="B58" s="784" t="s">
        <v>656</v>
      </c>
      <c r="C58" s="53">
        <f ca="1">ROUND(IF(项目基本情况!B11="自然人",C47*F58,C59+C60+C61),1)</f>
        <v>0.7</v>
      </c>
      <c r="D58" s="2602" t="s">
        <v>657</v>
      </c>
      <c r="E58" s="2603" t="s">
        <v>690</v>
      </c>
      <c r="F58" s="810" t="str">
        <f ca="1">IF(项目基本情况!B11="企业","",IF(INDIRECT("'数据-取费表'!c"&amp;$G$1)="住宅",5%,IF(F48*F49*F50/12/(1+'数据-取费表'!C42)&gt;20000,12%,7%)))</f>
        <v/>
      </c>
      <c r="I58" s="3116" t="s">
        <v>2359</v>
      </c>
      <c r="J58" s="3053">
        <f ca="1">IF(J55&lt;0.4,0.4,J55)</f>
        <v>0.441</v>
      </c>
      <c r="K58" s="3077"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5.5000000000000007E-2</v>
      </c>
      <c r="I59" s="3116" t="s">
        <v>2360</v>
      </c>
      <c r="J59" s="3117">
        <f ca="1">IF(OR(M47="住宅",J51&lt;L48,J56="是"),"——",ROUND(C29*J58,0))</f>
        <v>364</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8" t="s">
        <v>2361</v>
      </c>
      <c r="J60" s="3119">
        <f ca="1">IF(OR(M47="住宅",J51&lt;L48,J56="是"),"0",ROUND(J59/(1+J52)^J53,0))</f>
        <v>364</v>
      </c>
      <c r="K60" s="3120" t="s">
        <v>2366</v>
      </c>
      <c r="L60" s="3119">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0.7</v>
      </c>
      <c r="D61" s="814" t="s">
        <v>669</v>
      </c>
      <c r="E61" s="784" t="s">
        <v>670</v>
      </c>
      <c r="F61" s="640">
        <f t="shared" si="0"/>
        <v>3</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2480.5800000000004</v>
      </c>
      <c r="I62" s="3121" t="s">
        <v>2367</v>
      </c>
      <c r="J62" s="3122" t="s">
        <v>2368</v>
      </c>
      <c r="K62" s="3122" t="s">
        <v>2369</v>
      </c>
      <c r="L62" s="3122" t="s">
        <v>2350</v>
      </c>
      <c r="M62" s="3123" t="s">
        <v>2938</v>
      </c>
      <c r="O62" s="2365" t="s">
        <v>2388</v>
      </c>
      <c r="P62" s="2363" t="str">
        <f>K59</f>
        <v>建设期及建筑物耐用年限下的土地年期修正系数Kn</v>
      </c>
      <c r="Q62" s="2364" t="e">
        <f ca="1">L59</f>
        <v>#DIV/0!</v>
      </c>
      <c r="R62" s="2367" t="s">
        <v>2397</v>
      </c>
    </row>
    <row r="63" spans="1:18" s="2044" customFormat="1" ht="15.75" thickBot="1">
      <c r="A63" s="1634" t="s">
        <v>1889</v>
      </c>
      <c r="B63" s="784" t="s">
        <v>676</v>
      </c>
      <c r="C63" s="53">
        <f ca="1">ROUND(C56*F63,1)</f>
        <v>12.4</v>
      </c>
      <c r="D63" s="2603" t="s">
        <v>1803</v>
      </c>
      <c r="E63" s="784" t="s">
        <v>1747</v>
      </c>
      <c r="F63" s="817">
        <f t="shared" ca="1" si="0"/>
        <v>1.4999999999999999E-2</v>
      </c>
      <c r="I63" s="3121" t="s">
        <v>2370</v>
      </c>
      <c r="J63" s="3122">
        <v>70</v>
      </c>
      <c r="K63" s="3122">
        <v>50</v>
      </c>
      <c r="L63" s="3122">
        <v>80</v>
      </c>
      <c r="M63" s="3124">
        <v>0.02</v>
      </c>
      <c r="O63" s="2362" t="s">
        <v>2391</v>
      </c>
      <c r="P63" s="2363" t="s">
        <v>2408</v>
      </c>
      <c r="Q63" s="2364">
        <f ca="1">Q57+Q58</f>
        <v>-210</v>
      </c>
      <c r="R63" s="2367" t="s">
        <v>2392</v>
      </c>
    </row>
    <row r="64" spans="1:18" s="2044" customFormat="1" ht="16.5" thickBot="1">
      <c r="A64" s="1634" t="s">
        <v>1890</v>
      </c>
      <c r="B64" s="784" t="s">
        <v>679</v>
      </c>
      <c r="C64" s="53">
        <f ca="1">ROUND(C55*F64,1)</f>
        <v>1.2</v>
      </c>
      <c r="D64" s="2603" t="s">
        <v>680</v>
      </c>
      <c r="E64" s="784" t="s">
        <v>1747</v>
      </c>
      <c r="F64" s="818">
        <f t="shared" ca="1" si="0"/>
        <v>1.5E-3</v>
      </c>
      <c r="I64" s="3121" t="s">
        <v>2371</v>
      </c>
      <c r="J64" s="3122">
        <v>50</v>
      </c>
      <c r="K64" s="3122">
        <v>35</v>
      </c>
      <c r="L64" s="3122">
        <v>60</v>
      </c>
      <c r="M64" s="846">
        <v>0</v>
      </c>
      <c r="O64" s="2368" t="s">
        <v>2415</v>
      </c>
      <c r="P64" s="1578"/>
      <c r="Q64" s="1589"/>
      <c r="R64" s="1578"/>
    </row>
    <row r="65" spans="1:18" s="2044" customFormat="1" ht="15.75" thickBot="1">
      <c r="A65" s="1634" t="s">
        <v>1891</v>
      </c>
      <c r="B65" s="784" t="s">
        <v>666</v>
      </c>
      <c r="C65" s="53">
        <f ca="1">ROUND(C47*F65,1)</f>
        <v>0</v>
      </c>
      <c r="D65" s="2603" t="s">
        <v>683</v>
      </c>
      <c r="E65" s="784" t="s">
        <v>1747</v>
      </c>
      <c r="F65" s="794">
        <f t="shared" ca="1" si="0"/>
        <v>1.4999999999999999E-2</v>
      </c>
      <c r="I65" s="3121" t="s">
        <v>2372</v>
      </c>
      <c r="J65" s="3122">
        <v>40</v>
      </c>
      <c r="K65" s="3122">
        <v>30</v>
      </c>
      <c r="L65" s="3122">
        <v>50</v>
      </c>
      <c r="M65" s="3124">
        <v>0.02</v>
      </c>
      <c r="O65" s="2359" t="s">
        <v>2375</v>
      </c>
      <c r="P65" s="2360" t="s">
        <v>2376</v>
      </c>
      <c r="Q65" s="2361" t="s">
        <v>2377</v>
      </c>
      <c r="R65" s="2360" t="s">
        <v>2378</v>
      </c>
    </row>
    <row r="66" spans="1:18" s="2044" customFormat="1" ht="24.75" thickBot="1">
      <c r="A66" s="797" t="s">
        <v>1776</v>
      </c>
      <c r="B66" s="2963" t="s">
        <v>2820</v>
      </c>
      <c r="C66" s="799">
        <f ca="1">C47-C57</f>
        <v>-14</v>
      </c>
      <c r="D66" s="2602" t="s">
        <v>700</v>
      </c>
      <c r="E66" s="2601"/>
      <c r="F66" s="820"/>
      <c r="K66" s="2071"/>
      <c r="O66" s="2362" t="s">
        <v>2379</v>
      </c>
      <c r="P66" s="2363" t="s">
        <v>2409</v>
      </c>
      <c r="Q66" s="2364">
        <f ca="1">C40+J29</f>
        <v>-210</v>
      </c>
      <c r="R66" s="2363" t="s">
        <v>2380</v>
      </c>
    </row>
    <row r="67" spans="1:18" s="2044" customFormat="1" ht="20.25" thickBot="1">
      <c r="A67" s="781" t="s">
        <v>1780</v>
      </c>
      <c r="B67" s="2217" t="s">
        <v>2301</v>
      </c>
      <c r="C67" s="783">
        <f ca="1">ROUND(C66*(1-((1+F69)/(1+F67))^F68)/(F67-F69),0)</f>
        <v>-210</v>
      </c>
      <c r="D67" s="814" t="s">
        <v>704</v>
      </c>
      <c r="E67" s="784" t="s">
        <v>705</v>
      </c>
      <c r="F67" s="794">
        <f ca="1">F40</f>
        <v>5.5E-2</v>
      </c>
      <c r="K67" s="2071"/>
      <c r="O67" s="2362" t="s">
        <v>2381</v>
      </c>
      <c r="P67" s="2363" t="s">
        <v>2412</v>
      </c>
      <c r="Q67" s="2364">
        <f ca="1">L60</f>
        <v>0</v>
      </c>
      <c r="R67" s="2367" t="s">
        <v>2414</v>
      </c>
    </row>
    <row r="68" spans="1:18" ht="21.75" thickBot="1">
      <c r="A68" s="786"/>
      <c r="B68" s="787"/>
      <c r="C68" s="788"/>
      <c r="D68" s="821" t="s">
        <v>1808</v>
      </c>
      <c r="E68" s="784" t="s">
        <v>1784</v>
      </c>
      <c r="F68" s="822">
        <f ca="1">F41</f>
        <v>32.520000000000003</v>
      </c>
      <c r="O68" s="2365" t="s">
        <v>2383</v>
      </c>
      <c r="P68" s="2363" t="s">
        <v>2413</v>
      </c>
      <c r="Q68" s="2369">
        <f ca="1">L51</f>
        <v>-1304</v>
      </c>
      <c r="R68" s="2370" t="s">
        <v>2416</v>
      </c>
    </row>
    <row r="69" spans="1:18" ht="20.25" thickBot="1">
      <c r="A69" s="790"/>
      <c r="B69" s="791"/>
      <c r="C69" s="792"/>
      <c r="D69" s="816"/>
      <c r="E69" s="784" t="s">
        <v>710</v>
      </c>
      <c r="F69" s="2335"/>
      <c r="O69" s="2365" t="s">
        <v>2384</v>
      </c>
      <c r="P69" s="2371" t="s">
        <v>2398</v>
      </c>
      <c r="Q69" s="2364">
        <f ca="1">ROUND(Q70-Q71*Q72,0)</f>
        <v>-80</v>
      </c>
      <c r="R69" s="2367"/>
    </row>
    <row r="70" spans="1:18" ht="15.75" thickBot="1">
      <c r="A70" s="823" t="s">
        <v>1787</v>
      </c>
      <c r="B70" s="824" t="s">
        <v>1810</v>
      </c>
      <c r="C70" s="825">
        <f ca="1">ROUND(C67*10000/F70,0)</f>
        <v>-697</v>
      </c>
      <c r="D70" s="826" t="s">
        <v>1811</v>
      </c>
      <c r="E70" s="827" t="s">
        <v>1812</v>
      </c>
      <c r="F70" s="828">
        <f ca="1">F43</f>
        <v>3014.85</v>
      </c>
      <c r="O70" s="2365" t="s">
        <v>2399</v>
      </c>
      <c r="P70" s="2371" t="s">
        <v>2400</v>
      </c>
      <c r="Q70" s="2364">
        <f ca="1">C39</f>
        <v>-14</v>
      </c>
      <c r="R70" s="2363" t="s">
        <v>2380</v>
      </c>
    </row>
    <row r="71" spans="1:18" ht="15.75" thickBot="1">
      <c r="O71" s="2365" t="s">
        <v>2401</v>
      </c>
      <c r="P71" s="2371" t="s">
        <v>2402</v>
      </c>
      <c r="Q71" s="2364">
        <f ca="1">C13</f>
        <v>826</v>
      </c>
      <c r="R71" s="2363" t="s">
        <v>2380</v>
      </c>
    </row>
    <row r="72" spans="1:18" ht="15.75" thickBot="1">
      <c r="O72" s="2365" t="s">
        <v>2403</v>
      </c>
      <c r="P72" s="2371" t="s">
        <v>2404</v>
      </c>
      <c r="Q72" s="2366">
        <f ca="1">J36</f>
        <v>0.08</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-210</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381" t="s">
        <v>2469</v>
      </c>
      <c r="B1" s="4382"/>
      <c r="C1" s="4383"/>
      <c r="D1" s="4384">
        <f>SUM(I10,I15,I20,I21,I23)</f>
        <v>0</v>
      </c>
      <c r="E1" s="4384"/>
      <c r="F1" s="4384"/>
      <c r="G1" s="4384"/>
      <c r="H1" s="4384"/>
      <c r="I1" s="4385"/>
    </row>
    <row r="2" spans="1:9">
      <c r="A2" s="4386" t="s">
        <v>2470</v>
      </c>
      <c r="B2" s="4387" t="s">
        <v>2471</v>
      </c>
      <c r="C2" s="4387"/>
      <c r="D2" s="2471" t="s">
        <v>2472</v>
      </c>
      <c r="E2" s="2471" t="s">
        <v>2473</v>
      </c>
      <c r="F2" s="2471" t="s">
        <v>2474</v>
      </c>
      <c r="G2" s="2471" t="s">
        <v>2475</v>
      </c>
      <c r="H2" s="2471" t="s">
        <v>2476</v>
      </c>
      <c r="I2" s="2472" t="s">
        <v>2477</v>
      </c>
    </row>
    <row r="3" spans="1:9">
      <c r="A3" s="4386"/>
      <c r="B3" s="4387" t="s">
        <v>2478</v>
      </c>
      <c r="C3" s="4387"/>
      <c r="D3" s="2473"/>
      <c r="E3" s="2471"/>
      <c r="F3" s="2474"/>
      <c r="G3" s="2474"/>
      <c r="H3" s="2475"/>
      <c r="I3" s="2476">
        <f>ROUND(D3*E3*F3*G3*H3/10000,0)</f>
        <v>0</v>
      </c>
    </row>
    <row r="4" spans="1:9">
      <c r="A4" s="4386"/>
      <c r="B4" s="4387" t="s">
        <v>2479</v>
      </c>
      <c r="C4" s="4387"/>
      <c r="D4" s="2473"/>
      <c r="E4" s="2471"/>
      <c r="F4" s="2474"/>
      <c r="G4" s="2474"/>
      <c r="H4" s="2475"/>
      <c r="I4" s="2476">
        <f t="shared" ref="I4:I9" si="0">ROUND(D4*E4*F4*G4*H4/10000,0)</f>
        <v>0</v>
      </c>
    </row>
    <row r="5" spans="1:9">
      <c r="A5" s="4386"/>
      <c r="B5" s="4387" t="s">
        <v>2480</v>
      </c>
      <c r="C5" s="4387"/>
      <c r="D5" s="2473"/>
      <c r="E5" s="2471"/>
      <c r="F5" s="2474"/>
      <c r="G5" s="2474"/>
      <c r="H5" s="2475"/>
      <c r="I5" s="2476">
        <f t="shared" si="0"/>
        <v>0</v>
      </c>
    </row>
    <row r="6" spans="1:9">
      <c r="A6" s="4386"/>
      <c r="B6" s="4387" t="s">
        <v>2481</v>
      </c>
      <c r="C6" s="4387"/>
      <c r="D6" s="2473"/>
      <c r="E6" s="2471"/>
      <c r="F6" s="2474"/>
      <c r="G6" s="2474"/>
      <c r="H6" s="2475"/>
      <c r="I6" s="2476">
        <f t="shared" si="0"/>
        <v>0</v>
      </c>
    </row>
    <row r="7" spans="1:9">
      <c r="A7" s="4386"/>
      <c r="B7" s="4387" t="s">
        <v>2482</v>
      </c>
      <c r="C7" s="4387"/>
      <c r="D7" s="2473"/>
      <c r="E7" s="2471"/>
      <c r="F7" s="2474"/>
      <c r="G7" s="2474"/>
      <c r="H7" s="2475"/>
      <c r="I7" s="2476">
        <f t="shared" si="0"/>
        <v>0</v>
      </c>
    </row>
    <row r="8" spans="1:9">
      <c r="A8" s="4386"/>
      <c r="B8" s="4387" t="s">
        <v>2483</v>
      </c>
      <c r="C8" s="4387"/>
      <c r="D8" s="2473"/>
      <c r="E8" s="2471"/>
      <c r="F8" s="2474"/>
      <c r="G8" s="2474"/>
      <c r="H8" s="2475"/>
      <c r="I8" s="2476">
        <f t="shared" si="0"/>
        <v>0</v>
      </c>
    </row>
    <row r="9" spans="1:9">
      <c r="A9" s="4386"/>
      <c r="B9" s="4387" t="s">
        <v>2484</v>
      </c>
      <c r="C9" s="4387"/>
      <c r="D9" s="2473"/>
      <c r="E9" s="2471"/>
      <c r="F9" s="2474"/>
      <c r="G9" s="2474"/>
      <c r="H9" s="2475"/>
      <c r="I9" s="2476">
        <f t="shared" si="0"/>
        <v>0</v>
      </c>
    </row>
    <row r="10" spans="1:9">
      <c r="A10" s="4386"/>
      <c r="B10" s="4388" t="s">
        <v>2485</v>
      </c>
      <c r="C10" s="4388"/>
      <c r="D10" s="2477">
        <v>527</v>
      </c>
      <c r="E10" s="2477" t="e">
        <f>ROUND(D1*10000/D10/H9,0)</f>
        <v>#DIV/0!</v>
      </c>
      <c r="F10" s="2478"/>
      <c r="G10" s="2478"/>
      <c r="H10" s="2479"/>
      <c r="I10" s="2480">
        <f>SUM(I3:I9)</f>
        <v>0</v>
      </c>
    </row>
    <row r="11" spans="1:9" ht="14.25">
      <c r="A11" s="4386" t="s">
        <v>2486</v>
      </c>
      <c r="B11" s="4387" t="s">
        <v>2487</v>
      </c>
      <c r="C11" s="4387"/>
      <c r="D11" s="2473" t="s">
        <v>2488</v>
      </c>
      <c r="E11" s="2473" t="s">
        <v>2489</v>
      </c>
      <c r="F11" s="2474" t="s">
        <v>2490</v>
      </c>
      <c r="G11" s="2474" t="s">
        <v>2491</v>
      </c>
      <c r="H11" s="2481" t="s">
        <v>2492</v>
      </c>
      <c r="I11" s="2472" t="s">
        <v>2493</v>
      </c>
    </row>
    <row r="12" spans="1:9">
      <c r="A12" s="4386"/>
      <c r="B12" s="4387" t="s">
        <v>2494</v>
      </c>
      <c r="C12" s="4387"/>
      <c r="D12" s="2473"/>
      <c r="E12" s="2473"/>
      <c r="F12" s="2474"/>
      <c r="G12" s="2475"/>
      <c r="H12" s="2482"/>
      <c r="I12" s="2472">
        <f>ROUND(D12*E12*F12*G12/10000,0)</f>
        <v>0</v>
      </c>
    </row>
    <row r="13" spans="1:9">
      <c r="A13" s="4386"/>
      <c r="B13" s="4387" t="s">
        <v>2495</v>
      </c>
      <c r="C13" s="4387"/>
      <c r="D13" s="2473"/>
      <c r="E13" s="2473"/>
      <c r="F13" s="2474"/>
      <c r="G13" s="2475"/>
      <c r="H13" s="2482"/>
      <c r="I13" s="2472">
        <f>ROUND(D13*E13*F13*G13/10000,0)</f>
        <v>0</v>
      </c>
    </row>
    <row r="14" spans="1:9">
      <c r="A14" s="4386"/>
      <c r="B14" s="4387" t="s">
        <v>2496</v>
      </c>
      <c r="C14" s="4387"/>
      <c r="D14" s="2473"/>
      <c r="E14" s="2473"/>
      <c r="F14" s="2474"/>
      <c r="G14" s="2475"/>
      <c r="H14" s="2482"/>
      <c r="I14" s="2472">
        <f>ROUND(D14*E14*F14*G14/10000,0)</f>
        <v>0</v>
      </c>
    </row>
    <row r="15" spans="1:9">
      <c r="A15" s="4386"/>
      <c r="B15" s="4388" t="s">
        <v>2485</v>
      </c>
      <c r="C15" s="4388"/>
      <c r="D15" s="2477"/>
      <c r="E15" s="2477">
        <f>SUM(E12:E14)</f>
        <v>0</v>
      </c>
      <c r="F15" s="2478"/>
      <c r="G15" s="2475"/>
      <c r="H15" s="2482"/>
      <c r="I15" s="2483">
        <f>SUM(I12:I14)</f>
        <v>0</v>
      </c>
    </row>
    <row r="16" spans="1:9" ht="24">
      <c r="A16" s="4386" t="s">
        <v>2497</v>
      </c>
      <c r="B16" s="4387" t="s">
        <v>2498</v>
      </c>
      <c r="C16" s="4387"/>
      <c r="D16" s="2473" t="s">
        <v>2499</v>
      </c>
      <c r="E16" s="2484" t="s">
        <v>2500</v>
      </c>
      <c r="F16" s="2474" t="s">
        <v>2501</v>
      </c>
      <c r="G16" s="2475" t="s">
        <v>2491</v>
      </c>
      <c r="H16" s="2481" t="s">
        <v>2492</v>
      </c>
      <c r="I16" s="2472" t="s">
        <v>2493</v>
      </c>
    </row>
    <row r="17" spans="1:9" ht="14.25">
      <c r="A17" s="4386"/>
      <c r="B17" s="4387" t="s">
        <v>2502</v>
      </c>
      <c r="C17" s="4387"/>
      <c r="D17" s="2473"/>
      <c r="E17" s="2473"/>
      <c r="F17" s="2474"/>
      <c r="G17" s="2475"/>
      <c r="H17" s="2485"/>
      <c r="I17" s="2486">
        <f>ROUND(D17*E17*F17*G17/10000,0)</f>
        <v>0</v>
      </c>
    </row>
    <row r="18" spans="1:9" ht="14.25">
      <c r="A18" s="4386"/>
      <c r="B18" s="4387" t="s">
        <v>2503</v>
      </c>
      <c r="C18" s="4387"/>
      <c r="D18" s="2473"/>
      <c r="E18" s="2473"/>
      <c r="F18" s="2474"/>
      <c r="G18" s="2475"/>
      <c r="H18" s="2485"/>
      <c r="I18" s="2486">
        <f>ROUND(D18*E18*F18*G18/10000,0)</f>
        <v>0</v>
      </c>
    </row>
    <row r="19" spans="1:9" ht="14.25">
      <c r="A19" s="4386"/>
      <c r="B19" s="4387" t="s">
        <v>2504</v>
      </c>
      <c r="C19" s="4387"/>
      <c r="D19" s="2473"/>
      <c r="E19" s="2473"/>
      <c r="F19" s="2474"/>
      <c r="G19" s="2475"/>
      <c r="H19" s="2485"/>
      <c r="I19" s="2486">
        <f>ROUND(D19*E19*F19*G19/10000,0)</f>
        <v>0</v>
      </c>
    </row>
    <row r="20" spans="1:9">
      <c r="A20" s="4386"/>
      <c r="B20" s="4388" t="s">
        <v>2485</v>
      </c>
      <c r="C20" s="4388"/>
      <c r="D20" s="2477">
        <f>SUM(D17:D19)</f>
        <v>0</v>
      </c>
      <c r="E20" s="2477"/>
      <c r="F20" s="2478"/>
      <c r="G20" s="2475"/>
      <c r="H20" s="2482"/>
      <c r="I20" s="2483">
        <f>SUM(I17:I19)</f>
        <v>0</v>
      </c>
    </row>
    <row r="21" spans="1:9">
      <c r="A21" s="4386" t="s">
        <v>2505</v>
      </c>
      <c r="B21" s="4390"/>
      <c r="C21" s="4390"/>
      <c r="D21" s="4390"/>
      <c r="E21" s="4390"/>
      <c r="F21" s="4390"/>
      <c r="G21" s="4390"/>
      <c r="H21" s="2487">
        <v>0.1</v>
      </c>
      <c r="I21" s="2480">
        <f>ROUND(I10*H21,0)</f>
        <v>0</v>
      </c>
    </row>
    <row r="22" spans="1:9" ht="14.25">
      <c r="A22" s="4391" t="s">
        <v>2506</v>
      </c>
      <c r="B22" s="4392"/>
      <c r="C22" s="4393"/>
      <c r="D22" s="2488" t="s">
        <v>2507</v>
      </c>
      <c r="E22" s="2488" t="s">
        <v>2508</v>
      </c>
      <c r="F22" s="2489" t="s">
        <v>2509</v>
      </c>
      <c r="G22" s="2489" t="s">
        <v>2510</v>
      </c>
      <c r="H22" s="2481" t="s">
        <v>2511</v>
      </c>
      <c r="I22" s="2472" t="s">
        <v>2512</v>
      </c>
    </row>
    <row r="23" spans="1:9" ht="14.25" thickBot="1">
      <c r="A23" s="4394"/>
      <c r="B23" s="4395"/>
      <c r="C23" s="4396"/>
      <c r="D23" s="2490"/>
      <c r="E23" s="2490"/>
      <c r="F23" s="2490"/>
      <c r="G23" s="2491"/>
      <c r="H23" s="2492"/>
      <c r="I23" s="2493">
        <f>ROUND(E23*D23*F23*(1-G23)/10000,0)</f>
        <v>0</v>
      </c>
    </row>
    <row r="26" spans="1:9">
      <c r="A26" s="2494" t="s">
        <v>2513</v>
      </c>
      <c r="B26" s="2494"/>
      <c r="C26" s="2494"/>
      <c r="D26" s="2494"/>
      <c r="E26" s="4397">
        <f>C27-C30-C31-C32</f>
        <v>0</v>
      </c>
      <c r="F26" s="4397"/>
      <c r="G26" s="4397"/>
      <c r="H26" s="2995" t="s">
        <v>2841</v>
      </c>
    </row>
    <row r="27" spans="1:9">
      <c r="A27" s="2495">
        <v>1</v>
      </c>
      <c r="B27" s="2496" t="s">
        <v>2514</v>
      </c>
      <c r="C27" s="2496"/>
      <c r="D27" s="2496"/>
      <c r="E27" s="4398"/>
      <c r="F27" s="4398"/>
      <c r="G27" s="4398"/>
    </row>
    <row r="28" spans="1:9">
      <c r="A28" s="2497" t="s">
        <v>2515</v>
      </c>
      <c r="B28" s="2496" t="s">
        <v>2516</v>
      </c>
      <c r="C28" s="2496"/>
      <c r="D28" s="2496"/>
      <c r="E28" s="4398"/>
      <c r="F28" s="4398"/>
      <c r="G28" s="4398"/>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4389"/>
      <c r="F32" s="4389"/>
      <c r="G32" s="4389"/>
    </row>
    <row r="33" spans="1:7" hidden="1">
      <c r="A33" s="4399" t="s">
        <v>2524</v>
      </c>
      <c r="B33" s="4400"/>
      <c r="C33" s="4400"/>
      <c r="D33" s="4401"/>
      <c r="E33" s="4397"/>
      <c r="F33" s="4397"/>
      <c r="G33" s="4397"/>
    </row>
    <row r="34" spans="1:7" hidden="1">
      <c r="A34" s="2499">
        <v>1</v>
      </c>
      <c r="B34" s="2496" t="s">
        <v>2525</v>
      </c>
      <c r="C34" s="2496"/>
      <c r="D34" s="2496"/>
      <c r="E34" s="4398"/>
      <c r="F34" s="4398"/>
      <c r="G34" s="4398"/>
    </row>
    <row r="35" spans="1:7" hidden="1">
      <c r="A35" s="2499">
        <v>2</v>
      </c>
      <c r="B35" s="2496" t="s">
        <v>2526</v>
      </c>
      <c r="C35" s="2496"/>
      <c r="D35" s="2496"/>
      <c r="E35" s="4398"/>
      <c r="F35" s="4398"/>
      <c r="G35" s="4398"/>
    </row>
    <row r="36" spans="1:7" hidden="1">
      <c r="A36" s="2499">
        <v>3</v>
      </c>
      <c r="B36" s="2496" t="s">
        <v>2527</v>
      </c>
      <c r="C36" s="2496"/>
      <c r="D36" s="2496"/>
      <c r="E36" s="4398"/>
      <c r="F36" s="4398"/>
      <c r="G36" s="4398"/>
    </row>
    <row r="37" spans="1:7" hidden="1">
      <c r="A37" s="2499">
        <v>4</v>
      </c>
      <c r="B37" s="2496" t="s">
        <v>2528</v>
      </c>
      <c r="C37" s="2496"/>
      <c r="D37" s="2496"/>
      <c r="E37" s="4398"/>
      <c r="F37" s="4398"/>
      <c r="G37" s="4398"/>
    </row>
    <row r="38" spans="1:7" hidden="1">
      <c r="A38" s="4399" t="s">
        <v>2529</v>
      </c>
      <c r="B38" s="4400"/>
      <c r="C38" s="4400"/>
      <c r="D38" s="4401"/>
      <c r="E38" s="4397"/>
      <c r="F38" s="4397"/>
      <c r="G38" s="43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2439</v>
      </c>
      <c r="B8" s="2436" t="s">
        <v>2441</v>
      </c>
      <c r="C8" s="2437"/>
      <c r="D8" s="749"/>
      <c r="E8" s="750"/>
      <c r="F8" s="750"/>
      <c r="G8" s="751"/>
    </row>
    <row r="9" spans="1:25" s="2168" customFormat="1" ht="13.5" customHeight="1">
      <c r="A9" s="2433" t="s">
        <v>2440</v>
      </c>
      <c r="B9" s="2436" t="s">
        <v>2442</v>
      </c>
      <c r="C9" s="2437"/>
      <c r="D9" s="749"/>
      <c r="E9" s="750"/>
      <c r="F9" s="750"/>
      <c r="G9" s="751"/>
    </row>
    <row r="10" spans="1:25" s="2168" customFormat="1" ht="36">
      <c r="A10" s="2433">
        <v>2</v>
      </c>
      <c r="B10" s="748" t="s">
        <v>613</v>
      </c>
      <c r="C10" s="749">
        <f>C11+C14+C15</f>
        <v>0</v>
      </c>
      <c r="D10" s="760">
        <f>'数据-汇总表'!E3</f>
        <v>67713.23</v>
      </c>
      <c r="E10" s="749">
        <f>'数据-取费表'!B31</f>
        <v>200</v>
      </c>
      <c r="F10" s="761"/>
      <c r="G10" s="759" t="s">
        <v>614</v>
      </c>
    </row>
    <row r="11" spans="1:25" s="2168" customFormat="1" ht="13.5" customHeight="1">
      <c r="A11" s="2433" t="s">
        <v>2439</v>
      </c>
      <c r="B11" s="752" t="s">
        <v>610</v>
      </c>
      <c r="C11" s="753">
        <f>'数据-取费表'!B29</f>
        <v>0</v>
      </c>
      <c r="D11" s="754"/>
      <c r="E11" s="753"/>
      <c r="F11" s="755"/>
      <c r="G11" s="2442" t="s">
        <v>2450</v>
      </c>
    </row>
    <row r="12" spans="1:25" s="2168" customFormat="1" ht="13.5" customHeight="1">
      <c r="A12" s="2440" t="s">
        <v>2447</v>
      </c>
      <c r="B12" s="756" t="s">
        <v>611</v>
      </c>
      <c r="C12" s="757">
        <f>ROUND(D12*E12/10000,0)</f>
        <v>733</v>
      </c>
      <c r="D12" s="758">
        <f>'数据-汇总表'!E5</f>
        <v>40703.160000000003</v>
      </c>
      <c r="E12" s="757">
        <f>'数据-取费表'!B27</f>
        <v>180</v>
      </c>
      <c r="F12" s="755"/>
      <c r="G12" s="759"/>
    </row>
    <row r="13" spans="1:25" s="2168" customFormat="1" ht="13.5" customHeight="1">
      <c r="A13" s="2440" t="s">
        <v>2446</v>
      </c>
      <c r="B13" s="756" t="s">
        <v>612</v>
      </c>
      <c r="C13" s="757">
        <f>ROUND(D13*E13/10000,0)</f>
        <v>486</v>
      </c>
      <c r="D13" s="758">
        <f>'数据-汇总表'!E6</f>
        <v>27010.069999999992</v>
      </c>
      <c r="E13" s="757">
        <f>'数据-取费表'!B28</f>
        <v>180</v>
      </c>
      <c r="F13" s="755"/>
      <c r="G13" s="759"/>
    </row>
    <row r="14" spans="1:25" s="2168" customFormat="1" ht="13.5" customHeight="1">
      <c r="A14" s="2433" t="s">
        <v>2440</v>
      </c>
      <c r="B14" s="2439" t="s">
        <v>2443</v>
      </c>
      <c r="C14" s="2437"/>
      <c r="D14" s="758"/>
      <c r="E14" s="757"/>
      <c r="F14" s="2438"/>
      <c r="G14" s="2441" t="s">
        <v>2448</v>
      </c>
    </row>
    <row r="15" spans="1:25" s="2168" customFormat="1" ht="13.5" customHeight="1">
      <c r="A15" s="2433" t="s">
        <v>2445</v>
      </c>
      <c r="B15" s="2439" t="s">
        <v>2444</v>
      </c>
      <c r="C15" s="2437"/>
      <c r="D15" s="758"/>
      <c r="E15" s="757"/>
      <c r="F15" s="2438"/>
      <c r="G15" s="2441" t="s">
        <v>2449</v>
      </c>
    </row>
    <row r="16" spans="1:25" s="2169" customFormat="1" ht="48">
      <c r="A16" s="2433">
        <v>3</v>
      </c>
      <c r="B16" s="748" t="s">
        <v>615</v>
      </c>
      <c r="C16" s="2437"/>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0.82199999999999995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F17" sqref="F1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923</v>
      </c>
      <c r="E1" s="2590"/>
      <c r="F1" s="2762" t="s">
        <v>3047</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f>ROUND(B3*D3/10000,0)</f>
        <v>26559</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f>C49</f>
        <v>6525</v>
      </c>
      <c r="C3" s="852" t="s">
        <v>722</v>
      </c>
      <c r="D3" s="851">
        <f>SUMIF('数据-汇总表'!$C19:$C33,D1,'数据-汇总表'!$E19:$E33)</f>
        <v>40703.160000000003</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4292" t="s">
        <v>522</v>
      </c>
      <c r="D4" s="4293"/>
      <c r="E4" s="4326" t="s">
        <v>523</v>
      </c>
      <c r="F4" s="4327"/>
      <c r="G4" s="4292" t="s">
        <v>524</v>
      </c>
      <c r="H4" s="4293"/>
      <c r="I4" s="4292" t="s">
        <v>525</v>
      </c>
      <c r="J4" s="4293"/>
      <c r="K4" s="853" t="s">
        <v>526</v>
      </c>
      <c r="L4" s="2118"/>
      <c r="M4" s="2119"/>
      <c r="N4" s="2119"/>
      <c r="O4" s="2119"/>
      <c r="P4" s="4294" t="s">
        <v>527</v>
      </c>
      <c r="Q4" s="4295"/>
      <c r="R4" s="4300" t="s">
        <v>523</v>
      </c>
      <c r="S4" s="4301"/>
      <c r="T4" s="4300" t="s">
        <v>524</v>
      </c>
      <c r="U4" s="4301"/>
      <c r="V4" s="4287" t="s">
        <v>525</v>
      </c>
      <c r="W4" s="4287"/>
      <c r="X4" s="1553"/>
      <c r="Y4" s="4300" t="s">
        <v>527</v>
      </c>
      <c r="Z4" s="4301"/>
      <c r="AA4" s="4289" t="s">
        <v>523</v>
      </c>
      <c r="AB4" s="4289" t="s">
        <v>524</v>
      </c>
      <c r="AC4" s="4289" t="s">
        <v>525</v>
      </c>
    </row>
    <row r="5" spans="1:29" ht="15">
      <c r="A5" s="515"/>
      <c r="B5" s="516"/>
      <c r="C5" s="4308" t="s">
        <v>2925</v>
      </c>
      <c r="D5" s="4309"/>
      <c r="E5" s="4406" t="s">
        <v>3394</v>
      </c>
      <c r="F5" s="4329"/>
      <c r="G5" s="4405" t="s">
        <v>3358</v>
      </c>
      <c r="H5" s="4309"/>
      <c r="I5" s="4405" t="s">
        <v>3030</v>
      </c>
      <c r="J5" s="4309"/>
      <c r="K5" s="854"/>
      <c r="L5" s="2118"/>
      <c r="M5" s="2119"/>
      <c r="N5" s="2119"/>
      <c r="O5" s="2119"/>
      <c r="P5" s="4296"/>
      <c r="Q5" s="4297"/>
      <c r="R5" s="4302"/>
      <c r="S5" s="4303"/>
      <c r="T5" s="4302"/>
      <c r="U5" s="4303"/>
      <c r="V5" s="4287"/>
      <c r="W5" s="4287"/>
      <c r="X5" s="1553"/>
      <c r="Y5" s="4302"/>
      <c r="Z5" s="4303"/>
      <c r="AA5" s="4290"/>
      <c r="AB5" s="4290"/>
      <c r="AC5" s="4290"/>
    </row>
    <row r="6" spans="1:29" ht="15.75" thickBot="1">
      <c r="A6" s="517"/>
      <c r="B6" s="518"/>
      <c r="C6" s="4306" t="s">
        <v>2929</v>
      </c>
      <c r="D6" s="4307"/>
      <c r="E6" s="4324" t="s">
        <v>2929</v>
      </c>
      <c r="F6" s="4325"/>
      <c r="G6" s="4306" t="s">
        <v>2929</v>
      </c>
      <c r="H6" s="4307"/>
      <c r="I6" s="4306" t="s">
        <v>2929</v>
      </c>
      <c r="J6" s="4307"/>
      <c r="K6" s="854" t="s">
        <v>528</v>
      </c>
      <c r="L6" s="2118"/>
      <c r="M6" s="2119"/>
      <c r="N6" s="2119"/>
      <c r="O6" s="2119"/>
      <c r="P6" s="4298"/>
      <c r="Q6" s="4299"/>
      <c r="R6" s="4302"/>
      <c r="S6" s="4303"/>
      <c r="T6" s="4304"/>
      <c r="U6" s="4305"/>
      <c r="V6" s="4287"/>
      <c r="W6" s="4287"/>
      <c r="X6" s="1553"/>
      <c r="Y6" s="4304"/>
      <c r="Z6" s="4305"/>
      <c r="AA6" s="4291"/>
      <c r="AB6" s="4291"/>
      <c r="AC6" s="4291"/>
    </row>
    <row r="7" spans="1:29" s="1216" customFormat="1" ht="15.75" thickBot="1">
      <c r="A7" s="2867"/>
      <c r="B7" s="2874" t="s">
        <v>529</v>
      </c>
      <c r="C7" s="519">
        <f>'数据-取费表'!B2</f>
        <v>43647</v>
      </c>
      <c r="D7" s="520">
        <v>100</v>
      </c>
      <c r="E7" s="521">
        <f>C7</f>
        <v>43647</v>
      </c>
      <c r="F7" s="522">
        <f>SUMIF(58:58,YEAR(E7)&amp;"-"&amp;MONTH(E7),59:59)</f>
        <v>100</v>
      </c>
      <c r="G7" s="523">
        <f>C7</f>
        <v>43647</v>
      </c>
      <c r="H7" s="520">
        <f>SUMIF(58:58,YEAR(G7)&amp;"-"&amp;MONTH(G7),59:59)</f>
        <v>100</v>
      </c>
      <c r="I7" s="523">
        <f>C7</f>
        <v>43647</v>
      </c>
      <c r="J7" s="520">
        <f>SUMIF(58:58,YEAR(I7)&amp;"-"&amp;MONTH(I7),59:59)</f>
        <v>100</v>
      </c>
      <c r="K7" s="855"/>
      <c r="L7" s="2120"/>
      <c r="M7" s="2121"/>
      <c r="N7" s="2121"/>
      <c r="O7" s="2121"/>
      <c r="P7" s="4317" t="s">
        <v>530</v>
      </c>
      <c r="Q7" s="4319"/>
      <c r="R7" s="1554" t="s">
        <v>13</v>
      </c>
      <c r="S7" s="1555">
        <f t="shared" ref="S7:S15" si="0">F7</f>
        <v>100</v>
      </c>
      <c r="T7" s="1554" t="s">
        <v>13</v>
      </c>
      <c r="U7" s="1555">
        <f t="shared" ref="U7:U15" si="1">H7</f>
        <v>100</v>
      </c>
      <c r="V7" s="1554" t="s">
        <v>13</v>
      </c>
      <c r="W7" s="1555">
        <f t="shared" ref="W7:W15" si="2">J7</f>
        <v>100</v>
      </c>
      <c r="X7" s="1556"/>
      <c r="Y7" s="4317" t="s">
        <v>530</v>
      </c>
      <c r="Z7" s="4318"/>
      <c r="AA7" s="1557">
        <f>D7/F7</f>
        <v>1</v>
      </c>
      <c r="AB7" s="1557">
        <f>D7/H7</f>
        <v>1</v>
      </c>
      <c r="AC7" s="1557">
        <f>D7/J7</f>
        <v>1</v>
      </c>
    </row>
    <row r="8" spans="1:29" s="1216" customFormat="1" ht="15.75" thickBot="1">
      <c r="A8" s="2868"/>
      <c r="B8" s="2875" t="s">
        <v>531</v>
      </c>
      <c r="C8" s="525" t="s">
        <v>576</v>
      </c>
      <c r="D8" s="520">
        <v>100</v>
      </c>
      <c r="E8" s="856" t="s">
        <v>3011</v>
      </c>
      <c r="F8" s="522">
        <f>SUMIF(61:61,E8,62:62)-SUMIF(61:61,C8,62:62)+100</f>
        <v>100</v>
      </c>
      <c r="G8" s="525" t="s">
        <v>3011</v>
      </c>
      <c r="H8" s="520">
        <f>SUMIF(61:61,G8,62:62)-SUMIF(61:61,C8,62:62)+100</f>
        <v>100</v>
      </c>
      <c r="I8" s="856" t="s">
        <v>3011</v>
      </c>
      <c r="J8" s="520">
        <f>SUMIF(61:61,I8,62:62)-SUMIF(61:61,C8,62:62)+100</f>
        <v>100</v>
      </c>
      <c r="K8" s="855"/>
      <c r="L8" s="2120"/>
      <c r="M8" s="2121"/>
      <c r="N8" s="2121"/>
      <c r="O8" s="2121"/>
      <c r="P8" s="4317" t="s">
        <v>533</v>
      </c>
      <c r="Q8" s="4318"/>
      <c r="R8" s="1554" t="s">
        <v>13</v>
      </c>
      <c r="S8" s="1555">
        <f t="shared" si="0"/>
        <v>100</v>
      </c>
      <c r="T8" s="1554" t="s">
        <v>13</v>
      </c>
      <c r="U8" s="1555">
        <f t="shared" si="1"/>
        <v>100</v>
      </c>
      <c r="V8" s="1554" t="s">
        <v>13</v>
      </c>
      <c r="W8" s="1555">
        <f t="shared" si="2"/>
        <v>100</v>
      </c>
      <c r="X8" s="1556"/>
      <c r="Y8" s="4317" t="s">
        <v>533</v>
      </c>
      <c r="Z8" s="4318"/>
      <c r="AA8" s="1557">
        <f t="shared" ref="AA8:AA46" si="3">D8/F8</f>
        <v>1</v>
      </c>
      <c r="AB8" s="1557">
        <f t="shared" ref="AB8:AB46" si="4">D8/H8</f>
        <v>1</v>
      </c>
      <c r="AC8" s="1557">
        <f t="shared" ref="AC8:AC46" si="5">D8/J8</f>
        <v>1</v>
      </c>
    </row>
    <row r="9" spans="1:29" s="1216" customFormat="1" ht="15">
      <c r="A9" s="2869"/>
      <c r="B9" s="2876" t="s">
        <v>2754</v>
      </c>
      <c r="C9" s="3187" t="s">
        <v>3012</v>
      </c>
      <c r="D9" s="254">
        <v>100</v>
      </c>
      <c r="E9" s="858" t="s">
        <v>923</v>
      </c>
      <c r="F9" s="859">
        <f>SUMIF(63:63,E9,64:64)-SUMIF(63:63,C9,64:64)+100</f>
        <v>100</v>
      </c>
      <c r="G9" s="860" t="s">
        <v>923</v>
      </c>
      <c r="H9" s="254">
        <f>SUMIF(63:63,G9,64:64)-SUMIF(63:63,C9,64:64)+100</f>
        <v>100</v>
      </c>
      <c r="I9" s="860" t="s">
        <v>923</v>
      </c>
      <c r="J9" s="254">
        <f>SUMIF(63:63,I9,64:64)-SUMIF(63:63,C9,64:64)+100</f>
        <v>100</v>
      </c>
      <c r="K9" s="855"/>
      <c r="L9" s="2120"/>
      <c r="M9" s="2121"/>
      <c r="N9" s="2121"/>
      <c r="O9" s="2122"/>
      <c r="P9" s="4286" t="s">
        <v>535</v>
      </c>
      <c r="Q9" s="1147" t="str">
        <f t="shared" ref="Q9:Q15" si="6">B9</f>
        <v>用途</v>
      </c>
      <c r="R9" s="1554" t="s">
        <v>8</v>
      </c>
      <c r="S9" s="1555">
        <f t="shared" si="0"/>
        <v>100</v>
      </c>
      <c r="T9" s="1554" t="s">
        <v>8</v>
      </c>
      <c r="U9" s="1555">
        <f t="shared" si="1"/>
        <v>100</v>
      </c>
      <c r="V9" s="1554" t="s">
        <v>8</v>
      </c>
      <c r="W9" s="1555">
        <f t="shared" si="2"/>
        <v>100</v>
      </c>
      <c r="X9" s="1556"/>
      <c r="Y9" s="4232" t="s">
        <v>536</v>
      </c>
      <c r="Z9" s="1146" t="str">
        <f t="shared" ref="Z9:Z15" si="7">Q9</f>
        <v>用途</v>
      </c>
      <c r="AA9" s="1557">
        <f t="shared" si="3"/>
        <v>1</v>
      </c>
      <c r="AB9" s="1557">
        <f t="shared" si="4"/>
        <v>1</v>
      </c>
      <c r="AC9" s="1557">
        <f t="shared" si="5"/>
        <v>1</v>
      </c>
    </row>
    <row r="10" spans="1:29" s="1334" customFormat="1" ht="27">
      <c r="A10" s="2870"/>
      <c r="B10" s="2875" t="s">
        <v>2755</v>
      </c>
      <c r="C10" s="861" t="s">
        <v>3046</v>
      </c>
      <c r="D10" s="255">
        <v>100</v>
      </c>
      <c r="E10" s="862" t="s">
        <v>3046</v>
      </c>
      <c r="F10" s="863">
        <f>SUMIF(65:65,E10,66:66)-SUMIF(65:65,C10,66:66)+100</f>
        <v>100</v>
      </c>
      <c r="G10" s="861" t="s">
        <v>3046</v>
      </c>
      <c r="H10" s="255">
        <f>SUMIF(65:65,G10,66:66)-SUMIF(65:65,C10,66:66)+100</f>
        <v>100</v>
      </c>
      <c r="I10" s="861" t="s">
        <v>3046</v>
      </c>
      <c r="J10" s="255">
        <f>SUMIF(65:65,I10,66:66)-SUMIF(65:65,C10,66:66)+100</f>
        <v>100</v>
      </c>
      <c r="K10" s="864">
        <v>2</v>
      </c>
      <c r="L10" s="2123"/>
      <c r="M10" s="2163"/>
      <c r="N10" s="2163"/>
      <c r="O10" s="2124"/>
      <c r="P10" s="4286"/>
      <c r="Q10" s="1147" t="str">
        <f t="shared" si="6"/>
        <v>土地使用年限（年）</v>
      </c>
      <c r="R10" s="1554" t="s">
        <v>8</v>
      </c>
      <c r="S10" s="1555">
        <f t="shared" si="0"/>
        <v>100</v>
      </c>
      <c r="T10" s="1554" t="s">
        <v>8</v>
      </c>
      <c r="U10" s="1555">
        <f t="shared" si="1"/>
        <v>100</v>
      </c>
      <c r="V10" s="1554" t="s">
        <v>8</v>
      </c>
      <c r="W10" s="1555">
        <f t="shared" si="2"/>
        <v>100</v>
      </c>
      <c r="X10" s="1556"/>
      <c r="Y10" s="4232"/>
      <c r="Z10" s="1146" t="str">
        <f t="shared" si="7"/>
        <v>土地使用年限（年）</v>
      </c>
      <c r="AA10" s="1557">
        <f t="shared" si="3"/>
        <v>1</v>
      </c>
      <c r="AB10" s="1557">
        <f t="shared" si="4"/>
        <v>1</v>
      </c>
      <c r="AC10" s="1557">
        <f t="shared" si="5"/>
        <v>1</v>
      </c>
    </row>
    <row r="11" spans="1:29" ht="15.75" thickBot="1">
      <c r="A11" s="2871"/>
      <c r="B11" s="2875" t="s">
        <v>2756</v>
      </c>
      <c r="C11" s="533">
        <f>'数据-汇总表'!I7</f>
        <v>0.8</v>
      </c>
      <c r="D11" s="255">
        <v>100</v>
      </c>
      <c r="E11" s="534">
        <v>1.5</v>
      </c>
      <c r="F11" s="863">
        <f>LOOKUP(E11,68:68,69:69)-LOOKUP(C11,68:68,69:69)+100</f>
        <v>98</v>
      </c>
      <c r="G11" s="533">
        <v>3</v>
      </c>
      <c r="H11" s="255">
        <f>LOOKUP(G11,68:68,69:69)-LOOKUP(C11,68:68,69:69)+100</f>
        <v>94</v>
      </c>
      <c r="I11" s="533">
        <v>2.39</v>
      </c>
      <c r="J11" s="255">
        <f>LOOKUP(I11,68:68,69:69)-LOOKUP(C11,68:68,69:69)+100</f>
        <v>96</v>
      </c>
      <c r="K11" s="864">
        <v>2</v>
      </c>
      <c r="L11" s="2125"/>
      <c r="M11" s="2119"/>
      <c r="N11" s="2119"/>
      <c r="O11" s="2126"/>
      <c r="P11" s="4286"/>
      <c r="Q11" s="1147" t="str">
        <f t="shared" si="6"/>
        <v>容积率</v>
      </c>
      <c r="R11" s="1554" t="s">
        <v>11</v>
      </c>
      <c r="S11" s="1555">
        <f t="shared" si="0"/>
        <v>98</v>
      </c>
      <c r="T11" s="1554" t="s">
        <v>11</v>
      </c>
      <c r="U11" s="1555">
        <f t="shared" si="1"/>
        <v>94</v>
      </c>
      <c r="V11" s="1554" t="s">
        <v>11</v>
      </c>
      <c r="W11" s="1555">
        <f t="shared" si="2"/>
        <v>96</v>
      </c>
      <c r="X11" s="1556"/>
      <c r="Y11" s="4232"/>
      <c r="Z11" s="1146" t="str">
        <f t="shared" si="7"/>
        <v>容积率</v>
      </c>
      <c r="AA11" s="1557">
        <f t="shared" si="3"/>
        <v>1.0204081632653061</v>
      </c>
      <c r="AB11" s="1557">
        <f t="shared" si="4"/>
        <v>1.0638297872340425</v>
      </c>
      <c r="AC11" s="1557">
        <f t="shared" si="5"/>
        <v>1.0416666666666667</v>
      </c>
    </row>
    <row r="12" spans="1:29" s="1216" customFormat="1" ht="15" hidden="1">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4286"/>
      <c r="Q12" s="1147">
        <f t="shared" si="6"/>
        <v>111</v>
      </c>
      <c r="R12" s="1554" t="s">
        <v>11</v>
      </c>
      <c r="S12" s="1555">
        <f t="shared" si="0"/>
        <v>100</v>
      </c>
      <c r="T12" s="1554" t="s">
        <v>11</v>
      </c>
      <c r="U12" s="1555">
        <f t="shared" si="1"/>
        <v>100</v>
      </c>
      <c r="V12" s="1554" t="s">
        <v>11</v>
      </c>
      <c r="W12" s="1555">
        <f t="shared" si="2"/>
        <v>100</v>
      </c>
      <c r="X12" s="1556"/>
      <c r="Y12" s="4232"/>
      <c r="Z12" s="1146">
        <f t="shared" si="7"/>
        <v>111</v>
      </c>
      <c r="AA12" s="1557">
        <f>D12/F12</f>
        <v>1</v>
      </c>
      <c r="AB12" s="1557">
        <f>D12/H12</f>
        <v>1</v>
      </c>
      <c r="AC12" s="1557">
        <f>D12/J12</f>
        <v>1</v>
      </c>
    </row>
    <row r="13" spans="1:29" ht="15" hidden="1">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4286"/>
      <c r="Q13" s="1147">
        <f t="shared" si="6"/>
        <v>111</v>
      </c>
      <c r="R13" s="1554" t="s">
        <v>11</v>
      </c>
      <c r="S13" s="1555">
        <f t="shared" si="0"/>
        <v>100</v>
      </c>
      <c r="T13" s="1554" t="s">
        <v>11</v>
      </c>
      <c r="U13" s="1555">
        <f t="shared" si="1"/>
        <v>100</v>
      </c>
      <c r="V13" s="1554" t="s">
        <v>11</v>
      </c>
      <c r="W13" s="1555">
        <f t="shared" si="2"/>
        <v>100</v>
      </c>
      <c r="X13" s="1556"/>
      <c r="Y13" s="4232"/>
      <c r="Z13" s="1146">
        <f t="shared" si="7"/>
        <v>111</v>
      </c>
      <c r="AA13" s="1557">
        <f t="shared" si="3"/>
        <v>1</v>
      </c>
      <c r="AB13" s="1557">
        <f t="shared" si="4"/>
        <v>1</v>
      </c>
      <c r="AC13" s="1557">
        <f t="shared" si="5"/>
        <v>1</v>
      </c>
    </row>
    <row r="14" spans="1:29" ht="15.75" hidden="1"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4286"/>
      <c r="Q14" s="1147">
        <f t="shared" si="6"/>
        <v>111</v>
      </c>
      <c r="R14" s="1554" t="s">
        <v>11</v>
      </c>
      <c r="S14" s="1555">
        <f t="shared" si="0"/>
        <v>100</v>
      </c>
      <c r="T14" s="1554" t="s">
        <v>11</v>
      </c>
      <c r="U14" s="1555">
        <f t="shared" si="1"/>
        <v>100</v>
      </c>
      <c r="V14" s="1554" t="s">
        <v>11</v>
      </c>
      <c r="W14" s="1555">
        <f t="shared" si="2"/>
        <v>100</v>
      </c>
      <c r="X14" s="1556"/>
      <c r="Y14" s="4232"/>
      <c r="Z14" s="1146">
        <f t="shared" si="7"/>
        <v>111</v>
      </c>
      <c r="AA14" s="1557">
        <f t="shared" si="3"/>
        <v>1</v>
      </c>
      <c r="AB14" s="1557">
        <f t="shared" si="4"/>
        <v>1</v>
      </c>
      <c r="AC14" s="1557">
        <f t="shared" si="5"/>
        <v>1</v>
      </c>
    </row>
    <row r="15" spans="1:29" ht="85.5">
      <c r="A15" s="2865" t="s">
        <v>2752</v>
      </c>
      <c r="B15" s="166" t="s">
        <v>295</v>
      </c>
      <c r="C15" s="867" t="str">
        <f>估价对象房地状况!C3</f>
        <v>周边居住氛围一遍，有潼南天地、卓然铂金公馆等住宅小区，居住社区成熟度较好</v>
      </c>
      <c r="D15" s="549">
        <v>100</v>
      </c>
      <c r="E15" s="3308" t="s">
        <v>3395</v>
      </c>
      <c r="F15" s="551">
        <f>SUMIF(76:76,E16,77:77)-SUMIF(76:76,C16,77:77)+100</f>
        <v>100</v>
      </c>
      <c r="G15" s="3306" t="s">
        <v>3783</v>
      </c>
      <c r="H15" s="549">
        <f>SUMIF(76:76,G16,77:77)-SUMIF(76:76,C16,77:77)+100</f>
        <v>100</v>
      </c>
      <c r="I15" s="3308" t="s">
        <v>3786</v>
      </c>
      <c r="J15" s="549">
        <f>SUMIF(76:76,I16,77:77)-SUMIF(76:76,C16,77:77)+100</f>
        <v>100</v>
      </c>
      <c r="K15" s="868">
        <v>2</v>
      </c>
      <c r="L15" s="2127"/>
      <c r="M15" s="2119"/>
      <c r="N15" s="2119"/>
      <c r="O15" s="2126"/>
      <c r="P15" s="4320" t="s">
        <v>540</v>
      </c>
      <c r="Q15" s="1558" t="str">
        <f t="shared" si="6"/>
        <v>居住社区成熟度</v>
      </c>
      <c r="R15" s="1559" t="s">
        <v>11</v>
      </c>
      <c r="S15" s="1560">
        <f t="shared" si="0"/>
        <v>100</v>
      </c>
      <c r="T15" s="1559" t="s">
        <v>11</v>
      </c>
      <c r="U15" s="1560">
        <f t="shared" si="1"/>
        <v>100</v>
      </c>
      <c r="V15" s="1559" t="s">
        <v>11</v>
      </c>
      <c r="W15" s="1560">
        <f t="shared" si="2"/>
        <v>100</v>
      </c>
      <c r="X15" s="1553"/>
      <c r="Y15" s="4320" t="s">
        <v>540</v>
      </c>
      <c r="Z15" s="1561" t="str">
        <f t="shared" si="7"/>
        <v>居住社区成熟度</v>
      </c>
      <c r="AA15" s="1562">
        <f t="shared" si="3"/>
        <v>1</v>
      </c>
      <c r="AB15" s="1562">
        <f t="shared" si="4"/>
        <v>1</v>
      </c>
      <c r="AC15" s="1562">
        <f t="shared" si="5"/>
        <v>1</v>
      </c>
    </row>
    <row r="16" spans="1:29" ht="15">
      <c r="A16" s="532"/>
      <c r="B16" s="869"/>
      <c r="C16" s="576" t="s">
        <v>3013</v>
      </c>
      <c r="D16" s="555"/>
      <c r="E16" s="556" t="s">
        <v>3013</v>
      </c>
      <c r="F16" s="557"/>
      <c r="G16" s="558" t="s">
        <v>3013</v>
      </c>
      <c r="H16" s="559"/>
      <c r="I16" s="556" t="s">
        <v>3013</v>
      </c>
      <c r="J16" s="555"/>
      <c r="K16" s="870"/>
      <c r="L16" s="2127"/>
      <c r="M16" s="2119"/>
      <c r="N16" s="2119"/>
      <c r="O16" s="2126"/>
      <c r="P16" s="4321"/>
      <c r="Q16" s="1558"/>
      <c r="R16" s="1559"/>
      <c r="S16" s="1560"/>
      <c r="T16" s="1559"/>
      <c r="U16" s="1560"/>
      <c r="V16" s="1559"/>
      <c r="W16" s="1560"/>
      <c r="X16" s="1553"/>
      <c r="Y16" s="4321"/>
      <c r="Z16" s="1561"/>
      <c r="AA16" s="1562">
        <v>1</v>
      </c>
      <c r="AB16" s="1562">
        <v>1</v>
      </c>
      <c r="AC16" s="1562">
        <v>1</v>
      </c>
    </row>
    <row r="17" spans="1:29" ht="128.25">
      <c r="A17" s="532"/>
      <c r="B17" s="871" t="s">
        <v>296</v>
      </c>
      <c r="C17" s="872" t="str">
        <f>估价对象房地状况!C6</f>
        <v>周边道路密集程度一般、公共交通通达情况一般，有107路，203路、等公交线路通过，停车便捷程度一般，综合评价交通便捷度一般。</v>
      </c>
      <c r="D17" s="559">
        <v>100</v>
      </c>
      <c r="E17" s="562" t="s">
        <v>3396</v>
      </c>
      <c r="F17" s="563">
        <f>SUMIF(78:78,E18,79:79)-SUMIF(78:78,C18,79:79)+100</f>
        <v>100</v>
      </c>
      <c r="G17" s="564" t="s">
        <v>3784</v>
      </c>
      <c r="H17" s="565">
        <f>SUMIF(78:78,G18,79:79)-SUMIF(78:78,C18,79:79)+100</f>
        <v>100</v>
      </c>
      <c r="I17" s="564" t="s">
        <v>3398</v>
      </c>
      <c r="J17" s="565">
        <f>SUMIF(78:78,I18,79:79)-SUMIF(78:78,C18,79:79)+100</f>
        <v>100</v>
      </c>
      <c r="K17" s="868">
        <v>2</v>
      </c>
      <c r="L17" s="2127"/>
      <c r="M17" s="2119"/>
      <c r="N17" s="2119"/>
      <c r="O17" s="2126"/>
      <c r="P17" s="4321"/>
      <c r="Q17" s="1558" t="str">
        <f>B17</f>
        <v>交通便捷度</v>
      </c>
      <c r="R17" s="1559" t="s">
        <v>11</v>
      </c>
      <c r="S17" s="1560">
        <f>F17</f>
        <v>100</v>
      </c>
      <c r="T17" s="1559" t="s">
        <v>11</v>
      </c>
      <c r="U17" s="1560">
        <f>H17</f>
        <v>100</v>
      </c>
      <c r="V17" s="1559" t="s">
        <v>11</v>
      </c>
      <c r="W17" s="1560">
        <f>J17</f>
        <v>100</v>
      </c>
      <c r="X17" s="1553"/>
      <c r="Y17" s="4321"/>
      <c r="Z17" s="1561" t="str">
        <f>Q17</f>
        <v>交通便捷度</v>
      </c>
      <c r="AA17" s="1562">
        <f t="shared" si="3"/>
        <v>1</v>
      </c>
      <c r="AB17" s="1562">
        <f t="shared" si="4"/>
        <v>1</v>
      </c>
      <c r="AC17" s="1562">
        <f t="shared" si="5"/>
        <v>1</v>
      </c>
    </row>
    <row r="18" spans="1:29" ht="15">
      <c r="A18" s="532"/>
      <c r="B18" s="595"/>
      <c r="C18" s="873" t="s">
        <v>3014</v>
      </c>
      <c r="D18" s="559"/>
      <c r="E18" s="568" t="s">
        <v>3014</v>
      </c>
      <c r="F18" s="563"/>
      <c r="G18" s="569" t="s">
        <v>3014</v>
      </c>
      <c r="H18" s="555"/>
      <c r="I18" s="568" t="s">
        <v>3014</v>
      </c>
      <c r="J18" s="555"/>
      <c r="K18" s="870"/>
      <c r="L18" s="2127"/>
      <c r="M18" s="2119"/>
      <c r="N18" s="2119"/>
      <c r="O18" s="2126"/>
      <c r="P18" s="4321"/>
      <c r="Q18" s="1558"/>
      <c r="R18" s="1559"/>
      <c r="S18" s="1560"/>
      <c r="T18" s="1559"/>
      <c r="U18" s="1560"/>
      <c r="V18" s="1559"/>
      <c r="W18" s="1560"/>
      <c r="X18" s="1553"/>
      <c r="Y18" s="4321"/>
      <c r="Z18" s="1561"/>
      <c r="AA18" s="1562">
        <v>1</v>
      </c>
      <c r="AB18" s="1562">
        <v>1</v>
      </c>
      <c r="AC18" s="1562">
        <v>1</v>
      </c>
    </row>
    <row r="19" spans="1:29" ht="149.25">
      <c r="A19" s="532"/>
      <c r="B19" s="2564" t="s">
        <v>2544</v>
      </c>
      <c r="C19" s="872" t="str">
        <f>估价对象房地状况!C7</f>
        <v>所在区域2公里范围内有银行（中国邮政储蓄银行）、学校（巴川中学）、商业（无）、医院（无）等配套设施，公共配套设施一般；</v>
      </c>
      <c r="D19" s="565">
        <v>100</v>
      </c>
      <c r="E19" s="570" t="s">
        <v>3408</v>
      </c>
      <c r="F19" s="571">
        <f>SUMIF(80:80,E20,81:81)-SUMIF(80:80,C20,81:81)+100</f>
        <v>100</v>
      </c>
      <c r="G19" s="570" t="s">
        <v>3785</v>
      </c>
      <c r="H19" s="559">
        <f>SUMIF(80:80,G20,81:81)-SUMIF(80:80,C20,81:81)+100</f>
        <v>102</v>
      </c>
      <c r="I19" s="570" t="s">
        <v>3399</v>
      </c>
      <c r="J19" s="559">
        <f>SUMIF(80:80,I20,81:81)-SUMIF(80:80,C20,81:81)+100</f>
        <v>102</v>
      </c>
      <c r="K19" s="868">
        <v>2</v>
      </c>
      <c r="L19" s="2127"/>
      <c r="M19" s="2119"/>
      <c r="N19" s="2119"/>
      <c r="O19" s="2126"/>
      <c r="P19" s="4321"/>
      <c r="Q19" s="1558" t="str">
        <f>B19</f>
        <v>公共配套设施</v>
      </c>
      <c r="R19" s="1559" t="s">
        <v>11</v>
      </c>
      <c r="S19" s="1560">
        <f>F19</f>
        <v>100</v>
      </c>
      <c r="T19" s="1559" t="s">
        <v>11</v>
      </c>
      <c r="U19" s="1560">
        <f>H19</f>
        <v>102</v>
      </c>
      <c r="V19" s="1559" t="s">
        <v>11</v>
      </c>
      <c r="W19" s="1560">
        <f>J19</f>
        <v>102</v>
      </c>
      <c r="X19" s="1553"/>
      <c r="Y19" s="4321"/>
      <c r="Z19" s="1561" t="str">
        <f>Q19</f>
        <v>公共配套设施</v>
      </c>
      <c r="AA19" s="1562">
        <f t="shared" si="3"/>
        <v>1</v>
      </c>
      <c r="AB19" s="1562">
        <f t="shared" si="4"/>
        <v>0.98039215686274506</v>
      </c>
      <c r="AC19" s="1562">
        <f t="shared" si="5"/>
        <v>0.98039215686274506</v>
      </c>
    </row>
    <row r="20" spans="1:29" ht="15">
      <c r="A20" s="532"/>
      <c r="B20" s="595"/>
      <c r="C20" s="576" t="s">
        <v>3014</v>
      </c>
      <c r="D20" s="555"/>
      <c r="E20" s="556" t="s">
        <v>3014</v>
      </c>
      <c r="F20" s="557"/>
      <c r="G20" s="558" t="s">
        <v>3013</v>
      </c>
      <c r="H20" s="555"/>
      <c r="I20" s="556" t="s">
        <v>3013</v>
      </c>
      <c r="J20" s="555"/>
      <c r="K20" s="870"/>
      <c r="L20" s="2127"/>
      <c r="M20" s="2119"/>
      <c r="N20" s="2119"/>
      <c r="O20" s="2126"/>
      <c r="P20" s="4321"/>
      <c r="Q20" s="1558"/>
      <c r="R20" s="1559"/>
      <c r="S20" s="1560"/>
      <c r="T20" s="1559"/>
      <c r="U20" s="1560"/>
      <c r="V20" s="1559"/>
      <c r="W20" s="1560"/>
      <c r="X20" s="1553"/>
      <c r="Y20" s="4321"/>
      <c r="Z20" s="1561"/>
      <c r="AA20" s="1562">
        <v>1</v>
      </c>
      <c r="AB20" s="1562">
        <v>1</v>
      </c>
      <c r="AC20" s="1562">
        <v>1</v>
      </c>
    </row>
    <row r="21" spans="1:29" ht="28.5">
      <c r="A21" s="532"/>
      <c r="B21" s="2557" t="s">
        <v>2556</v>
      </c>
      <c r="C21" s="872" t="str">
        <f>估价对象房地状况!C8</f>
        <v>所在区域基础设施水平达六通</v>
      </c>
      <c r="D21" s="565">
        <v>100</v>
      </c>
      <c r="E21" s="572" t="s">
        <v>3373</v>
      </c>
      <c r="F21" s="571">
        <f>SUMIF(82:82,E22,83:83)-SUMIF(82:82,C22,83:83)+100</f>
        <v>100</v>
      </c>
      <c r="G21" s="572" t="s">
        <v>3373</v>
      </c>
      <c r="H21" s="565">
        <f>SUMIF(82:82,G22,83:83)-SUMIF(82:82,C22,83:83)+100</f>
        <v>100</v>
      </c>
      <c r="I21" s="570" t="s">
        <v>3373</v>
      </c>
      <c r="J21" s="565">
        <f>SUMIF(82:82,I22,83:83)-SUMIF(82:82,C22,83:83)+100</f>
        <v>100</v>
      </c>
      <c r="K21" s="868">
        <v>1</v>
      </c>
      <c r="L21" s="2127"/>
      <c r="M21" s="2119"/>
      <c r="N21" s="2119"/>
      <c r="O21" s="2126"/>
      <c r="P21" s="4321"/>
      <c r="Q21" s="2543" t="str">
        <f>B21</f>
        <v>基础设施水平</v>
      </c>
      <c r="R21" s="1559" t="s">
        <v>11</v>
      </c>
      <c r="S21" s="1560">
        <f>F21</f>
        <v>100</v>
      </c>
      <c r="T21" s="1559" t="s">
        <v>11</v>
      </c>
      <c r="U21" s="1560">
        <f>H21</f>
        <v>100</v>
      </c>
      <c r="V21" s="1559" t="s">
        <v>11</v>
      </c>
      <c r="W21" s="1560">
        <f>J21</f>
        <v>100</v>
      </c>
      <c r="X21" s="2545"/>
      <c r="Y21" s="4321"/>
      <c r="Z21" s="2544" t="str">
        <f>Q21</f>
        <v>基础设施水平</v>
      </c>
      <c r="AA21" s="1562">
        <f t="shared" ref="AA21" si="8">D21/F21</f>
        <v>1</v>
      </c>
      <c r="AB21" s="1562">
        <f t="shared" ref="AB21" si="9">D21/H21</f>
        <v>1</v>
      </c>
      <c r="AC21" s="1562">
        <f t="shared" ref="AC21" si="10">D21/J21</f>
        <v>1</v>
      </c>
    </row>
    <row r="22" spans="1:29" ht="15">
      <c r="A22" s="532"/>
      <c r="B22" s="922"/>
      <c r="C22" s="873" t="s">
        <v>3029</v>
      </c>
      <c r="D22" s="555"/>
      <c r="E22" s="576" t="s">
        <v>3029</v>
      </c>
      <c r="F22" s="557"/>
      <c r="G22" s="576" t="s">
        <v>3029</v>
      </c>
      <c r="H22" s="555"/>
      <c r="I22" s="576" t="s">
        <v>3029</v>
      </c>
      <c r="J22" s="555"/>
      <c r="K22" s="2563"/>
      <c r="L22" s="2127"/>
      <c r="M22" s="2119"/>
      <c r="N22" s="2119"/>
      <c r="O22" s="2126"/>
      <c r="P22" s="4321"/>
      <c r="Q22" s="2543"/>
      <c r="R22" s="1559"/>
      <c r="S22" s="1560"/>
      <c r="T22" s="1559"/>
      <c r="U22" s="1560"/>
      <c r="V22" s="1559"/>
      <c r="W22" s="1560"/>
      <c r="X22" s="2545"/>
      <c r="Y22" s="4321"/>
      <c r="Z22" s="2544"/>
      <c r="AA22" s="1562">
        <v>1</v>
      </c>
      <c r="AB22" s="1562">
        <v>1</v>
      </c>
      <c r="AC22" s="1562">
        <v>1</v>
      </c>
    </row>
    <row r="23" spans="1:29" ht="85.5">
      <c r="A23" s="532"/>
      <c r="B23" s="871" t="s">
        <v>297</v>
      </c>
      <c r="C23" s="872" t="str">
        <f>估价对象房地状况!C9</f>
        <v>周边自然环境（项目内部天鹅湖）；人文环境（潼南区图书馆），综合评价环境状况较好；</v>
      </c>
      <c r="D23" s="559">
        <v>100</v>
      </c>
      <c r="E23" s="3309" t="s">
        <v>3409</v>
      </c>
      <c r="F23" s="563">
        <f>SUMIF(84:84,E24,85:85)-SUMIF(84:84,C24,85:85)+100</f>
        <v>98</v>
      </c>
      <c r="G23" s="3309" t="s">
        <v>3787</v>
      </c>
      <c r="H23" s="559">
        <f>SUMIF(84:84,G24,85:85)-SUMIF(84:84,C24,85:85)+100</f>
        <v>100</v>
      </c>
      <c r="I23" s="3309" t="s">
        <v>3400</v>
      </c>
      <c r="J23" s="559">
        <f>SUMIF(84:84,I24,85:85)-SUMIF(84:84,C24,85:85)+100</f>
        <v>100</v>
      </c>
      <c r="K23" s="868">
        <v>2</v>
      </c>
      <c r="L23" s="2127"/>
      <c r="M23" s="2119"/>
      <c r="N23" s="2119"/>
      <c r="O23" s="2126"/>
      <c r="P23" s="4321"/>
      <c r="Q23" s="1558" t="str">
        <f>B23</f>
        <v>自然及人文环境</v>
      </c>
      <c r="R23" s="1559" t="s">
        <v>11</v>
      </c>
      <c r="S23" s="1560">
        <f>F23</f>
        <v>98</v>
      </c>
      <c r="T23" s="1559" t="s">
        <v>11</v>
      </c>
      <c r="U23" s="1560">
        <f>H23</f>
        <v>100</v>
      </c>
      <c r="V23" s="1559" t="s">
        <v>11</v>
      </c>
      <c r="W23" s="1560">
        <f>J23</f>
        <v>100</v>
      </c>
      <c r="X23" s="1553"/>
      <c r="Y23" s="4321"/>
      <c r="Z23" s="1561" t="str">
        <f>Q23</f>
        <v>自然及人文环境</v>
      </c>
      <c r="AA23" s="1562">
        <f t="shared" si="3"/>
        <v>1.0204081632653061</v>
      </c>
      <c r="AB23" s="1562">
        <f t="shared" si="4"/>
        <v>1</v>
      </c>
      <c r="AC23" s="1562">
        <f t="shared" si="5"/>
        <v>1</v>
      </c>
    </row>
    <row r="24" spans="1:29" ht="15">
      <c r="A24" s="532"/>
      <c r="B24" s="595"/>
      <c r="C24" s="576" t="s">
        <v>3013</v>
      </c>
      <c r="D24" s="555"/>
      <c r="E24" s="556" t="s">
        <v>3014</v>
      </c>
      <c r="F24" s="557"/>
      <c r="G24" s="558" t="s">
        <v>3013</v>
      </c>
      <c r="H24" s="555"/>
      <c r="I24" s="556" t="s">
        <v>3013</v>
      </c>
      <c r="J24" s="555"/>
      <c r="K24" s="870"/>
      <c r="L24" s="2127"/>
      <c r="M24" s="2119"/>
      <c r="N24" s="2119"/>
      <c r="O24" s="2126"/>
      <c r="P24" s="4321"/>
      <c r="Q24" s="1558"/>
      <c r="R24" s="1559"/>
      <c r="S24" s="1560"/>
      <c r="T24" s="1559"/>
      <c r="U24" s="1560"/>
      <c r="V24" s="1559"/>
      <c r="W24" s="1560"/>
      <c r="X24" s="1553"/>
      <c r="Y24" s="4321"/>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4321"/>
      <c r="Q25" s="1558" t="str">
        <f t="shared" ref="Q25:Q46" si="11">B25</f>
        <v>楼层-1</v>
      </c>
      <c r="R25" s="1559" t="s">
        <v>11</v>
      </c>
      <c r="S25" s="1560">
        <f>F25</f>
        <v>100</v>
      </c>
      <c r="T25" s="1559" t="s">
        <v>11</v>
      </c>
      <c r="U25" s="1560">
        <f>H25</f>
        <v>100</v>
      </c>
      <c r="V25" s="1559" t="s">
        <v>11</v>
      </c>
      <c r="W25" s="1560">
        <f>J25</f>
        <v>100</v>
      </c>
      <c r="X25" s="1553"/>
      <c r="Y25" s="4321"/>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4321"/>
      <c r="Q26" s="1558" t="str">
        <f t="shared" si="11"/>
        <v>朝向</v>
      </c>
      <c r="R26" s="1559" t="s">
        <v>11</v>
      </c>
      <c r="S26" s="1560">
        <f>F26</f>
        <v>100</v>
      </c>
      <c r="T26" s="1559" t="s">
        <v>11</v>
      </c>
      <c r="U26" s="1560">
        <f>H26</f>
        <v>100</v>
      </c>
      <c r="V26" s="1559" t="s">
        <v>11</v>
      </c>
      <c r="W26" s="1560">
        <f>J26</f>
        <v>100</v>
      </c>
      <c r="X26" s="1553"/>
      <c r="Y26" s="4321"/>
      <c r="Z26" s="1561" t="str">
        <f>Q26</f>
        <v>朝向</v>
      </c>
      <c r="AA26" s="1562">
        <f t="shared" si="3"/>
        <v>1</v>
      </c>
      <c r="AB26" s="1562">
        <f t="shared" si="4"/>
        <v>1</v>
      </c>
      <c r="AC26" s="1562">
        <f t="shared" si="5"/>
        <v>1</v>
      </c>
    </row>
    <row r="27" spans="1:29" s="1216" customFormat="1" ht="15">
      <c r="A27" s="536"/>
      <c r="B27" s="537" t="s">
        <v>724</v>
      </c>
      <c r="C27" s="3310" t="s">
        <v>3406</v>
      </c>
      <c r="D27" s="875">
        <v>100</v>
      </c>
      <c r="E27" s="3311" t="s">
        <v>3404</v>
      </c>
      <c r="F27" s="876">
        <f>SUMIF(90:90,E27,91:91)-SUMIF(90:90,C27,91:91)+100</f>
        <v>101</v>
      </c>
      <c r="G27" s="3312" t="s">
        <v>3404</v>
      </c>
      <c r="H27" s="875">
        <f>SUMIF(90:90,G27,91:91)-SUMIF(90:90,C27,91:91)+100</f>
        <v>101</v>
      </c>
      <c r="I27" s="3311" t="s">
        <v>3405</v>
      </c>
      <c r="J27" s="875">
        <f>SUMIF(90:90,I27,91:91)-SUMIF(90:90,C27,91:91)+100</f>
        <v>99</v>
      </c>
      <c r="K27" s="865"/>
      <c r="L27" s="2120"/>
      <c r="M27" s="2121"/>
      <c r="N27" s="2121"/>
      <c r="O27" s="2122"/>
      <c r="P27" s="4321"/>
      <c r="Q27" s="1147" t="str">
        <f t="shared" si="11"/>
        <v>道路级别</v>
      </c>
      <c r="R27" s="1554" t="s">
        <v>11</v>
      </c>
      <c r="S27" s="1555">
        <f>F27</f>
        <v>101</v>
      </c>
      <c r="T27" s="1554" t="s">
        <v>11</v>
      </c>
      <c r="U27" s="1555">
        <f>H27</f>
        <v>101</v>
      </c>
      <c r="V27" s="1554" t="s">
        <v>11</v>
      </c>
      <c r="W27" s="1555">
        <f>J27</f>
        <v>99</v>
      </c>
      <c r="X27" s="1556"/>
      <c r="Y27" s="4321"/>
      <c r="Z27" s="1146" t="str">
        <f>Q27</f>
        <v>道路级别</v>
      </c>
      <c r="AA27" s="1562">
        <f>D27/F27</f>
        <v>0.99009900990099009</v>
      </c>
      <c r="AB27" s="1562">
        <f>D27/H27</f>
        <v>0.99009900990099009</v>
      </c>
      <c r="AC27" s="1562">
        <f>D27/J27</f>
        <v>1.0101010101010102</v>
      </c>
    </row>
    <row r="28" spans="1:29" ht="15">
      <c r="A28" s="532"/>
      <c r="B28" s="877">
        <v>111</v>
      </c>
      <c r="C28" s="3310" t="s">
        <v>3403</v>
      </c>
      <c r="D28" s="540">
        <v>100</v>
      </c>
      <c r="E28" s="539" t="s">
        <v>3402</v>
      </c>
      <c r="F28" s="575">
        <f>SUMIF(92:92,E28,93:93)-SUMIF(92:92,C28,93:93)+100</f>
        <v>100</v>
      </c>
      <c r="G28" s="529" t="s">
        <v>3397</v>
      </c>
      <c r="H28" s="540">
        <f>SUMIF(92:92,G28,93:93)-SUMIF(92:92,C28,93:93)+100</f>
        <v>100</v>
      </c>
      <c r="I28" s="530" t="s">
        <v>3401</v>
      </c>
      <c r="J28" s="540">
        <f>SUMIF(92:92,I28,93:93)-SUMIF(92:92,C28,93:93)+100</f>
        <v>100</v>
      </c>
      <c r="K28" s="865"/>
      <c r="L28" s="2127"/>
      <c r="M28" s="2119"/>
      <c r="N28" s="2119"/>
      <c r="O28" s="2126"/>
      <c r="P28" s="4321"/>
      <c r="Q28" s="1558">
        <f t="shared" si="11"/>
        <v>111</v>
      </c>
      <c r="R28" s="1559" t="s">
        <v>11</v>
      </c>
      <c r="S28" s="1560">
        <f t="shared" ref="S28:S46" si="12">F28</f>
        <v>100</v>
      </c>
      <c r="T28" s="1559" t="s">
        <v>11</v>
      </c>
      <c r="U28" s="1560">
        <f t="shared" ref="U28:U46" si="13">H28</f>
        <v>100</v>
      </c>
      <c r="V28" s="1559" t="s">
        <v>11</v>
      </c>
      <c r="W28" s="1560">
        <f t="shared" ref="W28:W46" si="14">J28</f>
        <v>100</v>
      </c>
      <c r="X28" s="1553"/>
      <c r="Y28" s="4321"/>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4321"/>
      <c r="Q29" s="1558">
        <f t="shared" si="11"/>
        <v>111</v>
      </c>
      <c r="R29" s="1559" t="s">
        <v>11</v>
      </c>
      <c r="S29" s="1560">
        <f t="shared" si="12"/>
        <v>100</v>
      </c>
      <c r="T29" s="1559" t="s">
        <v>11</v>
      </c>
      <c r="U29" s="1560">
        <f t="shared" si="13"/>
        <v>100</v>
      </c>
      <c r="V29" s="1559" t="s">
        <v>11</v>
      </c>
      <c r="W29" s="1560">
        <f t="shared" si="14"/>
        <v>100</v>
      </c>
      <c r="X29" s="1553"/>
      <c r="Y29" s="432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4321"/>
      <c r="Q30" s="1558">
        <f t="shared" si="11"/>
        <v>111</v>
      </c>
      <c r="R30" s="1559" t="s">
        <v>11</v>
      </c>
      <c r="S30" s="1560">
        <f t="shared" si="12"/>
        <v>100</v>
      </c>
      <c r="T30" s="1559" t="s">
        <v>11</v>
      </c>
      <c r="U30" s="1560">
        <f t="shared" si="13"/>
        <v>100</v>
      </c>
      <c r="V30" s="1559" t="s">
        <v>11</v>
      </c>
      <c r="W30" s="1560">
        <f t="shared" si="14"/>
        <v>100</v>
      </c>
      <c r="X30" s="1553"/>
      <c r="Y30" s="4321"/>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4321"/>
      <c r="Q31" s="1558">
        <f t="shared" si="11"/>
        <v>111</v>
      </c>
      <c r="R31" s="1559" t="s">
        <v>11</v>
      </c>
      <c r="S31" s="1560">
        <f t="shared" si="12"/>
        <v>100</v>
      </c>
      <c r="T31" s="1559" t="s">
        <v>11</v>
      </c>
      <c r="U31" s="1560">
        <f t="shared" si="13"/>
        <v>100</v>
      </c>
      <c r="V31" s="1559" t="s">
        <v>11</v>
      </c>
      <c r="W31" s="1560">
        <f t="shared" si="14"/>
        <v>100</v>
      </c>
      <c r="X31" s="1553"/>
      <c r="Y31" s="4321"/>
      <c r="Z31" s="1561">
        <f t="shared" si="15"/>
        <v>111</v>
      </c>
      <c r="AA31" s="1562">
        <f t="shared" si="3"/>
        <v>1</v>
      </c>
      <c r="AB31" s="1562">
        <f t="shared" si="4"/>
        <v>1</v>
      </c>
      <c r="AC31" s="1562">
        <f t="shared" si="5"/>
        <v>1</v>
      </c>
    </row>
    <row r="32" spans="1:29" ht="15">
      <c r="A32" s="2862" t="s">
        <v>2753</v>
      </c>
      <c r="B32" s="172" t="s">
        <v>725</v>
      </c>
      <c r="C32" s="878" t="s">
        <v>3026</v>
      </c>
      <c r="D32" s="597">
        <v>100</v>
      </c>
      <c r="E32" s="879" t="s">
        <v>3026</v>
      </c>
      <c r="F32" s="575">
        <f>SUMIF(100:100,E32,101:101)-SUMIF(100:100,C32,101:101)+100</f>
        <v>100</v>
      </c>
      <c r="G32" s="878" t="s">
        <v>3026</v>
      </c>
      <c r="H32" s="597">
        <f>SUMIF(100:100,G32,101:101)-SUMIF(100:100,C32,101:101)+100</f>
        <v>100</v>
      </c>
      <c r="I32" s="879" t="s">
        <v>3026</v>
      </c>
      <c r="J32" s="540">
        <f>SUMIF(100:100,I32,101:101)-SUMIF(100:100,C32,101:101)+100</f>
        <v>100</v>
      </c>
      <c r="K32" s="864">
        <v>5</v>
      </c>
      <c r="L32" s="2127"/>
      <c r="M32" s="2119"/>
      <c r="N32" s="2119"/>
      <c r="O32" s="2126"/>
      <c r="P32" s="4322" t="s">
        <v>550</v>
      </c>
      <c r="Q32" s="1558" t="str">
        <f t="shared" si="11"/>
        <v>建筑类型</v>
      </c>
      <c r="R32" s="1559" t="s">
        <v>11</v>
      </c>
      <c r="S32" s="1560">
        <f t="shared" si="12"/>
        <v>100</v>
      </c>
      <c r="T32" s="1559" t="s">
        <v>11</v>
      </c>
      <c r="U32" s="1560">
        <f t="shared" si="13"/>
        <v>100</v>
      </c>
      <c r="V32" s="1559" t="s">
        <v>11</v>
      </c>
      <c r="W32" s="1560">
        <f t="shared" si="14"/>
        <v>100</v>
      </c>
      <c r="X32" s="1553"/>
      <c r="Y32" s="4323" t="s">
        <v>550</v>
      </c>
      <c r="Z32" s="1561" t="str">
        <f t="shared" si="15"/>
        <v>建筑类型</v>
      </c>
      <c r="AA32" s="1562">
        <f t="shared" si="3"/>
        <v>1</v>
      </c>
      <c r="AB32" s="1562">
        <f t="shared" si="4"/>
        <v>1</v>
      </c>
      <c r="AC32" s="1562">
        <f t="shared" si="5"/>
        <v>1</v>
      </c>
    </row>
    <row r="33" spans="1:29" s="1335" customFormat="1" ht="15">
      <c r="A33" s="603"/>
      <c r="B33" s="527" t="s">
        <v>726</v>
      </c>
      <c r="C33" s="3192">
        <v>1</v>
      </c>
      <c r="D33" s="255">
        <v>100</v>
      </c>
      <c r="E33" s="3193">
        <v>1</v>
      </c>
      <c r="F33" s="863">
        <f>LOOKUP(E33,103:103,104:104)-LOOKUP(C33,103:103,104:104)+100</f>
        <v>100</v>
      </c>
      <c r="G33" s="3194">
        <v>1</v>
      </c>
      <c r="H33" s="255">
        <f>LOOKUP(G33,103:103,104:104)-LOOKUP(C33,103:103,104:104)+100</f>
        <v>100</v>
      </c>
      <c r="I33" s="3193">
        <v>1</v>
      </c>
      <c r="J33" s="255">
        <f>LOOKUP(I33,103:103,104:104)-LOOKUP(C33,103:103,104:104)+100</f>
        <v>100</v>
      </c>
      <c r="K33" s="865"/>
      <c r="L33" s="2125"/>
      <c r="M33" s="2156"/>
      <c r="N33" s="2156"/>
      <c r="O33" s="2128"/>
      <c r="P33" s="4323"/>
      <c r="Q33" s="1590" t="str">
        <f t="shared" si="11"/>
        <v>项目建筑规模</v>
      </c>
      <c r="R33" s="1563" t="s">
        <v>11</v>
      </c>
      <c r="S33" s="1564">
        <f t="shared" si="12"/>
        <v>100</v>
      </c>
      <c r="T33" s="1563" t="s">
        <v>11</v>
      </c>
      <c r="U33" s="1564">
        <f t="shared" si="13"/>
        <v>100</v>
      </c>
      <c r="V33" s="1563" t="s">
        <v>11</v>
      </c>
      <c r="W33" s="1564">
        <f t="shared" si="14"/>
        <v>100</v>
      </c>
      <c r="X33" s="1565"/>
      <c r="Y33" s="4323"/>
      <c r="Z33" s="1566" t="str">
        <f t="shared" si="15"/>
        <v>项目建筑规模</v>
      </c>
      <c r="AA33" s="1562">
        <f t="shared" si="3"/>
        <v>1</v>
      </c>
      <c r="AB33" s="1562">
        <f t="shared" si="4"/>
        <v>1</v>
      </c>
      <c r="AC33" s="1562">
        <f t="shared" si="5"/>
        <v>1</v>
      </c>
    </row>
    <row r="34" spans="1:29" ht="15">
      <c r="A34" s="594"/>
      <c r="B34" s="527" t="s">
        <v>727</v>
      </c>
      <c r="C34" s="881" t="s">
        <v>3008</v>
      </c>
      <c r="D34" s="540">
        <v>100</v>
      </c>
      <c r="E34" s="882" t="s">
        <v>3008</v>
      </c>
      <c r="F34" s="575">
        <f>SUMIF(105:105,E34,106:106)-SUMIF(105:105,C34,106:106)+100</f>
        <v>100</v>
      </c>
      <c r="G34" s="881" t="s">
        <v>3008</v>
      </c>
      <c r="H34" s="540">
        <f>SUMIF(105:105,G34,106:106)-SUMIF(105:105,C34,106:106)+100</f>
        <v>100</v>
      </c>
      <c r="I34" s="882" t="s">
        <v>3008</v>
      </c>
      <c r="J34" s="540">
        <f>SUMIF(105:105,I34,106:106)-SUMIF(105:105,C34,106:106)+100</f>
        <v>100</v>
      </c>
      <c r="K34" s="864">
        <v>2</v>
      </c>
      <c r="L34" s="2127"/>
      <c r="M34" s="2119"/>
      <c r="N34" s="2119"/>
      <c r="O34" s="2126"/>
      <c r="P34" s="4323"/>
      <c r="Q34" s="1558" t="str">
        <f t="shared" si="11"/>
        <v>建筑结构</v>
      </c>
      <c r="R34" s="1559" t="s">
        <v>11</v>
      </c>
      <c r="S34" s="1560">
        <f t="shared" si="12"/>
        <v>100</v>
      </c>
      <c r="T34" s="1559" t="s">
        <v>11</v>
      </c>
      <c r="U34" s="1560">
        <f t="shared" si="13"/>
        <v>100</v>
      </c>
      <c r="V34" s="1559" t="s">
        <v>11</v>
      </c>
      <c r="W34" s="1560">
        <f t="shared" si="14"/>
        <v>100</v>
      </c>
      <c r="X34" s="1553"/>
      <c r="Y34" s="4323"/>
      <c r="Z34" s="1561" t="str">
        <f t="shared" si="15"/>
        <v>建筑结构</v>
      </c>
      <c r="AA34" s="1562">
        <f t="shared" si="3"/>
        <v>1</v>
      </c>
      <c r="AB34" s="1562">
        <f t="shared" si="4"/>
        <v>1</v>
      </c>
      <c r="AC34" s="1562">
        <f t="shared" si="5"/>
        <v>1</v>
      </c>
    </row>
    <row r="35" spans="1:29" ht="15">
      <c r="A35" s="594"/>
      <c r="B35" s="527" t="s">
        <v>728</v>
      </c>
      <c r="C35" s="599" t="s">
        <v>3013</v>
      </c>
      <c r="D35" s="540">
        <v>100</v>
      </c>
      <c r="E35" s="874" t="s">
        <v>3013</v>
      </c>
      <c r="F35" s="575">
        <f>SUMIF(107:107,E35,108:108)-SUMIF(107:107,C35,108:108)+100</f>
        <v>100</v>
      </c>
      <c r="G35" s="599" t="s">
        <v>3013</v>
      </c>
      <c r="H35" s="540">
        <f>SUMIF(107:107,G35,108:108)-SUMIF(107:107,C35,108:108)+100</f>
        <v>100</v>
      </c>
      <c r="I35" s="874" t="s">
        <v>3013</v>
      </c>
      <c r="J35" s="540">
        <f>SUMIF(107:107,I35,108:108)-SUMIF(107:107,C35,108:108)+100</f>
        <v>100</v>
      </c>
      <c r="K35" s="864">
        <v>5</v>
      </c>
      <c r="L35" s="2127"/>
      <c r="M35" s="2119"/>
      <c r="N35" s="2119"/>
      <c r="O35" s="2126"/>
      <c r="P35" s="4323"/>
      <c r="Q35" s="1558" t="str">
        <f t="shared" si="11"/>
        <v>建筑品质</v>
      </c>
      <c r="R35" s="1559" t="s">
        <v>11</v>
      </c>
      <c r="S35" s="1560">
        <f t="shared" si="12"/>
        <v>100</v>
      </c>
      <c r="T35" s="1559" t="s">
        <v>11</v>
      </c>
      <c r="U35" s="1560">
        <f t="shared" si="13"/>
        <v>100</v>
      </c>
      <c r="V35" s="1559" t="s">
        <v>11</v>
      </c>
      <c r="W35" s="1560">
        <f t="shared" si="14"/>
        <v>100</v>
      </c>
      <c r="X35" s="1553"/>
      <c r="Y35" s="4323"/>
      <c r="Z35" s="1561" t="str">
        <f t="shared" si="15"/>
        <v>建筑品质</v>
      </c>
      <c r="AA35" s="1562">
        <f t="shared" si="3"/>
        <v>1</v>
      </c>
      <c r="AB35" s="1562">
        <f t="shared" si="4"/>
        <v>1</v>
      </c>
      <c r="AC35" s="1562">
        <f t="shared" si="5"/>
        <v>1</v>
      </c>
    </row>
    <row r="36" spans="1:29" ht="15">
      <c r="A36" s="594"/>
      <c r="B36" s="527" t="s">
        <v>729</v>
      </c>
      <c r="C36" s="599" t="s">
        <v>3015</v>
      </c>
      <c r="D36" s="540">
        <v>100</v>
      </c>
      <c r="E36" s="874" t="s">
        <v>3015</v>
      </c>
      <c r="F36" s="575">
        <f>SUMIF(109:109,E36,110:110)-SUMIF(109:109,C36,110:110)+100</f>
        <v>100</v>
      </c>
      <c r="G36" s="599" t="s">
        <v>3015</v>
      </c>
      <c r="H36" s="540">
        <f>SUMIF(109:109,G36,110:110)-SUMIF(109:109,C36,110:110)+100</f>
        <v>100</v>
      </c>
      <c r="I36" s="874" t="s">
        <v>3015</v>
      </c>
      <c r="J36" s="540">
        <f>SUMIF(109:109,I36,110:110)-SUMIF(109:109,C36,110:110)+100</f>
        <v>100</v>
      </c>
      <c r="K36" s="864">
        <v>1</v>
      </c>
      <c r="L36" s="2127"/>
      <c r="M36" s="2119"/>
      <c r="N36" s="2119"/>
      <c r="O36" s="2126"/>
      <c r="P36" s="4323"/>
      <c r="Q36" s="1558" t="str">
        <f t="shared" si="11"/>
        <v>公共部分装修</v>
      </c>
      <c r="R36" s="1559" t="s">
        <v>11</v>
      </c>
      <c r="S36" s="1560">
        <f t="shared" si="12"/>
        <v>100</v>
      </c>
      <c r="T36" s="1559" t="s">
        <v>11</v>
      </c>
      <c r="U36" s="1560">
        <f t="shared" si="13"/>
        <v>100</v>
      </c>
      <c r="V36" s="1559" t="s">
        <v>11</v>
      </c>
      <c r="W36" s="1560">
        <f t="shared" si="14"/>
        <v>100</v>
      </c>
      <c r="X36" s="1553"/>
      <c r="Y36" s="4323"/>
      <c r="Z36" s="1561" t="str">
        <f t="shared" si="15"/>
        <v>公共部分装修</v>
      </c>
      <c r="AA36" s="1562">
        <f t="shared" si="3"/>
        <v>1</v>
      </c>
      <c r="AB36" s="1562">
        <f t="shared" si="4"/>
        <v>1</v>
      </c>
      <c r="AC36" s="1562">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0"/>
      <c r="M37" s="2121"/>
      <c r="N37" s="2121"/>
      <c r="O37" s="2122"/>
      <c r="P37" s="4323"/>
      <c r="Q37" s="1147" t="str">
        <f t="shared" si="11"/>
        <v>成新度</v>
      </c>
      <c r="R37" s="1554" t="s">
        <v>11</v>
      </c>
      <c r="S37" s="1555">
        <f t="shared" si="12"/>
        <v>100</v>
      </c>
      <c r="T37" s="1554" t="s">
        <v>11</v>
      </c>
      <c r="U37" s="1555">
        <f t="shared" si="13"/>
        <v>100</v>
      </c>
      <c r="V37" s="1554" t="s">
        <v>11</v>
      </c>
      <c r="W37" s="1555">
        <f t="shared" si="14"/>
        <v>100</v>
      </c>
      <c r="X37" s="1556"/>
      <c r="Y37" s="4323"/>
      <c r="Z37" s="1146" t="str">
        <f t="shared" si="15"/>
        <v>成新度</v>
      </c>
      <c r="AA37" s="1557">
        <f t="shared" si="3"/>
        <v>1</v>
      </c>
      <c r="AB37" s="1557">
        <f t="shared" si="4"/>
        <v>1</v>
      </c>
      <c r="AC37" s="1557">
        <f t="shared" si="5"/>
        <v>1</v>
      </c>
    </row>
    <row r="38" spans="1:29" ht="15">
      <c r="A38" s="594"/>
      <c r="B38" s="527" t="s">
        <v>731</v>
      </c>
      <c r="C38" s="599" t="s">
        <v>3017</v>
      </c>
      <c r="D38" s="540">
        <v>100</v>
      </c>
      <c r="E38" s="874" t="s">
        <v>3017</v>
      </c>
      <c r="F38" s="575">
        <f>SUMIF(114:114,E38,115:115)-SUMIF(114:114,C38,115:115)+100</f>
        <v>100</v>
      </c>
      <c r="G38" s="599" t="s">
        <v>3017</v>
      </c>
      <c r="H38" s="540">
        <f>SUMIF(114:114,G38,115:115)-SUMIF(114:114,C38,115:115)+100</f>
        <v>100</v>
      </c>
      <c r="I38" s="874" t="s">
        <v>3017</v>
      </c>
      <c r="J38" s="540">
        <f>SUMIF(114:114,I38,115:115)-SUMIF(114:114,C38,115:115)+100</f>
        <v>100</v>
      </c>
      <c r="K38" s="864">
        <v>3</v>
      </c>
      <c r="L38" s="2127"/>
      <c r="M38" s="2119"/>
      <c r="N38" s="2119"/>
      <c r="O38" s="2126"/>
      <c r="P38" s="4323" t="s">
        <v>550</v>
      </c>
      <c r="Q38" s="1558" t="str">
        <f t="shared" si="11"/>
        <v>物业管理</v>
      </c>
      <c r="R38" s="1559" t="s">
        <v>11</v>
      </c>
      <c r="S38" s="1560">
        <f t="shared" si="12"/>
        <v>100</v>
      </c>
      <c r="T38" s="1559" t="s">
        <v>11</v>
      </c>
      <c r="U38" s="1560">
        <f t="shared" si="13"/>
        <v>100</v>
      </c>
      <c r="V38" s="1559" t="s">
        <v>11</v>
      </c>
      <c r="W38" s="1560">
        <f t="shared" si="14"/>
        <v>100</v>
      </c>
      <c r="X38" s="1553"/>
      <c r="Y38" s="4323" t="s">
        <v>550</v>
      </c>
      <c r="Z38" s="1561" t="str">
        <f t="shared" si="15"/>
        <v>物业管理</v>
      </c>
      <c r="AA38" s="1562">
        <f t="shared" si="3"/>
        <v>1</v>
      </c>
      <c r="AB38" s="1562">
        <f t="shared" si="4"/>
        <v>1</v>
      </c>
      <c r="AC38" s="1562">
        <f t="shared" si="5"/>
        <v>1</v>
      </c>
    </row>
    <row r="39" spans="1:29" ht="15">
      <c r="A39" s="594"/>
      <c r="B39" s="1880" t="s">
        <v>2562</v>
      </c>
      <c r="C39" s="599" t="s">
        <v>3029</v>
      </c>
      <c r="D39" s="540">
        <v>100</v>
      </c>
      <c r="E39" s="874" t="s">
        <v>3029</v>
      </c>
      <c r="F39" s="575">
        <f>SUMIF(116:116,E39,117:117)-SUMIF(116:116,C39,117:117)+100</f>
        <v>100</v>
      </c>
      <c r="G39" s="599" t="s">
        <v>3029</v>
      </c>
      <c r="H39" s="540">
        <f>SUMIF(116:116,G39,117:117)-SUMIF(116:116,C39,117:117)+100</f>
        <v>100</v>
      </c>
      <c r="I39" s="874" t="s">
        <v>3029</v>
      </c>
      <c r="J39" s="540">
        <f>SUMIF(116:116,I39,117:117)-SUMIF(116:116,C39,117:117)+100</f>
        <v>100</v>
      </c>
      <c r="K39" s="864">
        <v>1</v>
      </c>
      <c r="L39" s="2127"/>
      <c r="M39" s="2119"/>
      <c r="N39" s="2119"/>
      <c r="O39" s="2126"/>
      <c r="P39" s="4323"/>
      <c r="Q39" s="1558" t="str">
        <f t="shared" si="11"/>
        <v>市政基础设施</v>
      </c>
      <c r="R39" s="1559" t="s">
        <v>11</v>
      </c>
      <c r="S39" s="1560">
        <f t="shared" si="12"/>
        <v>100</v>
      </c>
      <c r="T39" s="1559" t="s">
        <v>11</v>
      </c>
      <c r="U39" s="1560">
        <f t="shared" si="13"/>
        <v>100</v>
      </c>
      <c r="V39" s="1559" t="s">
        <v>11</v>
      </c>
      <c r="W39" s="1560">
        <f t="shared" si="14"/>
        <v>100</v>
      </c>
      <c r="X39" s="1553"/>
      <c r="Y39" s="4323"/>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4323"/>
      <c r="Q40" s="1558" t="str">
        <f t="shared" si="11"/>
        <v>房型</v>
      </c>
      <c r="R40" s="1559" t="s">
        <v>11</v>
      </c>
      <c r="S40" s="1560">
        <f t="shared" si="12"/>
        <v>100</v>
      </c>
      <c r="T40" s="1559" t="s">
        <v>11</v>
      </c>
      <c r="U40" s="1560">
        <f t="shared" si="13"/>
        <v>100</v>
      </c>
      <c r="V40" s="1559" t="s">
        <v>11</v>
      </c>
      <c r="W40" s="1560">
        <f t="shared" si="14"/>
        <v>100</v>
      </c>
      <c r="X40" s="1553"/>
      <c r="Y40" s="4323"/>
      <c r="Z40" s="1561" t="str">
        <f t="shared" si="15"/>
        <v>房型</v>
      </c>
      <c r="AA40" s="1562">
        <f t="shared" si="3"/>
        <v>1</v>
      </c>
      <c r="AB40" s="1562">
        <f t="shared" si="4"/>
        <v>1</v>
      </c>
      <c r="AC40" s="1562">
        <f t="shared" si="5"/>
        <v>1</v>
      </c>
    </row>
    <row r="41" spans="1:29" s="1335" customFormat="1" ht="28.5">
      <c r="A41" s="603"/>
      <c r="B41" s="527" t="s">
        <v>733</v>
      </c>
      <c r="C41" s="3192" t="s">
        <v>3045</v>
      </c>
      <c r="D41" s="255">
        <v>100</v>
      </c>
      <c r="E41" s="3193" t="s">
        <v>3042</v>
      </c>
      <c r="F41" s="863">
        <f>SUMIF(120:120,E41,121:121)-SUMIF(120:120,C41,121:121)+100</f>
        <v>98</v>
      </c>
      <c r="G41" s="3194" t="s">
        <v>3045</v>
      </c>
      <c r="H41" s="255">
        <f>SUMIF(120:120,G41,121:121)-SUMIF(120:120,C41,121:121)+100</f>
        <v>100</v>
      </c>
      <c r="I41" s="3195" t="s">
        <v>3044</v>
      </c>
      <c r="J41" s="540">
        <f>SUMIF(120:120,I41,121:121)-SUMIF(120:120,C41,121:121)+100</f>
        <v>96</v>
      </c>
      <c r="K41" s="865"/>
      <c r="L41" s="2125"/>
      <c r="M41" s="2156"/>
      <c r="N41" s="2156"/>
      <c r="O41" s="2128"/>
      <c r="P41" s="4323"/>
      <c r="Q41" s="1590" t="str">
        <f t="shared" si="11"/>
        <v>单套/主力户型建筑面积</v>
      </c>
      <c r="R41" s="1563" t="s">
        <v>11</v>
      </c>
      <c r="S41" s="1564">
        <f t="shared" si="12"/>
        <v>98</v>
      </c>
      <c r="T41" s="1563" t="s">
        <v>11</v>
      </c>
      <c r="U41" s="1564">
        <f t="shared" si="13"/>
        <v>100</v>
      </c>
      <c r="V41" s="1563" t="s">
        <v>11</v>
      </c>
      <c r="W41" s="1564">
        <f t="shared" si="14"/>
        <v>96</v>
      </c>
      <c r="X41" s="1565"/>
      <c r="Y41" s="4323"/>
      <c r="Z41" s="1566" t="str">
        <f t="shared" si="15"/>
        <v>单套/主力户型建筑面积</v>
      </c>
      <c r="AA41" s="1562">
        <f t="shared" si="3"/>
        <v>1.0204081632653061</v>
      </c>
      <c r="AB41" s="1562">
        <f t="shared" si="4"/>
        <v>1</v>
      </c>
      <c r="AC41" s="1562">
        <f t="shared" si="5"/>
        <v>1.0416666666666667</v>
      </c>
    </row>
    <row r="42" spans="1:29" ht="15">
      <c r="A42" s="594"/>
      <c r="B42" s="527" t="s">
        <v>734</v>
      </c>
      <c r="C42" s="599" t="s">
        <v>3031</v>
      </c>
      <c r="D42" s="540">
        <v>100</v>
      </c>
      <c r="E42" s="874" t="s">
        <v>3031</v>
      </c>
      <c r="F42" s="575">
        <f>SUMIF(122:122,E42,123:123)-SUMIF(122:122,C42,123:123)+100</f>
        <v>100</v>
      </c>
      <c r="G42" s="599" t="s">
        <v>3031</v>
      </c>
      <c r="H42" s="540">
        <f>SUMIF(122:122,G42,123:123)-SUMIF(122:122,C42,123:123)+100</f>
        <v>100</v>
      </c>
      <c r="I42" s="874" t="s">
        <v>3031</v>
      </c>
      <c r="J42" s="540">
        <f>SUMIF(122:122,I42,123:123)-SUMIF(122:122,C42,123:123)+100</f>
        <v>100</v>
      </c>
      <c r="K42" s="864">
        <v>1</v>
      </c>
      <c r="L42" s="2127"/>
      <c r="M42" s="2119"/>
      <c r="N42" s="2119"/>
      <c r="O42" s="2126"/>
      <c r="P42" s="4323"/>
      <c r="Q42" s="1558" t="str">
        <f t="shared" si="11"/>
        <v>内部装修</v>
      </c>
      <c r="R42" s="1559" t="s">
        <v>11</v>
      </c>
      <c r="S42" s="1560">
        <f t="shared" si="12"/>
        <v>100</v>
      </c>
      <c r="T42" s="1559" t="s">
        <v>11</v>
      </c>
      <c r="U42" s="1560">
        <f t="shared" si="13"/>
        <v>100</v>
      </c>
      <c r="V42" s="1559" t="s">
        <v>11</v>
      </c>
      <c r="W42" s="1560">
        <f t="shared" si="14"/>
        <v>100</v>
      </c>
      <c r="X42" s="1553"/>
      <c r="Y42" s="4323"/>
      <c r="Z42" s="1561" t="str">
        <f t="shared" si="15"/>
        <v>内部装修</v>
      </c>
      <c r="AA42" s="1562">
        <f t="shared" si="3"/>
        <v>1</v>
      </c>
      <c r="AB42" s="1562">
        <f t="shared" si="4"/>
        <v>1</v>
      </c>
      <c r="AC42" s="1562">
        <f t="shared" si="5"/>
        <v>1</v>
      </c>
    </row>
    <row r="43" spans="1:29" ht="27.75" thickBot="1">
      <c r="A43" s="594"/>
      <c r="B43" s="527" t="s">
        <v>735</v>
      </c>
      <c r="C43" s="599" t="s">
        <v>3013</v>
      </c>
      <c r="D43" s="540">
        <v>100</v>
      </c>
      <c r="E43" s="874" t="s">
        <v>3013</v>
      </c>
      <c r="F43" s="575">
        <f>SUMIF(124:124,E43,125:125)-SUMIF(124:124,C43,125:125)+100</f>
        <v>100</v>
      </c>
      <c r="G43" s="599" t="s">
        <v>3013</v>
      </c>
      <c r="H43" s="540">
        <f>SUMIF(124:124,G43,125:125)-SUMIF(124:124,C43,125:125)+100</f>
        <v>100</v>
      </c>
      <c r="I43" s="874" t="s">
        <v>3013</v>
      </c>
      <c r="J43" s="540">
        <f>SUMIF(124:124,I43,125:125)-SUMIF(124:124,C43,125:125)+100</f>
        <v>100</v>
      </c>
      <c r="K43" s="864">
        <v>2</v>
      </c>
      <c r="L43" s="2127"/>
      <c r="M43" s="2119"/>
      <c r="N43" s="2119"/>
      <c r="O43" s="2126"/>
      <c r="P43" s="4323"/>
      <c r="Q43" s="1558" t="str">
        <f t="shared" si="11"/>
        <v>内部装修维护情况</v>
      </c>
      <c r="R43" s="1559" t="s">
        <v>11</v>
      </c>
      <c r="S43" s="1560">
        <f t="shared" si="12"/>
        <v>100</v>
      </c>
      <c r="T43" s="1559" t="s">
        <v>11</v>
      </c>
      <c r="U43" s="1560">
        <f t="shared" si="13"/>
        <v>100</v>
      </c>
      <c r="V43" s="1559" t="s">
        <v>11</v>
      </c>
      <c r="W43" s="1560">
        <f t="shared" si="14"/>
        <v>100</v>
      </c>
      <c r="X43" s="1553"/>
      <c r="Y43" s="4323"/>
      <c r="Z43" s="1561" t="str">
        <f t="shared" si="15"/>
        <v>内部装修维护情况</v>
      </c>
      <c r="AA43" s="1562">
        <f t="shared" si="3"/>
        <v>1</v>
      </c>
      <c r="AB43" s="1562">
        <f t="shared" si="4"/>
        <v>1</v>
      </c>
      <c r="AC43" s="1562">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4323"/>
      <c r="Q44" s="1147">
        <f t="shared" si="11"/>
        <v>111</v>
      </c>
      <c r="R44" s="1554" t="s">
        <v>11</v>
      </c>
      <c r="S44" s="1555">
        <f t="shared" si="12"/>
        <v>100</v>
      </c>
      <c r="T44" s="1554" t="s">
        <v>11</v>
      </c>
      <c r="U44" s="1555">
        <f t="shared" si="13"/>
        <v>100</v>
      </c>
      <c r="V44" s="1554" t="s">
        <v>11</v>
      </c>
      <c r="W44" s="1555">
        <f t="shared" si="14"/>
        <v>100</v>
      </c>
      <c r="X44" s="1556"/>
      <c r="Y44" s="4323"/>
      <c r="Z44" s="1146">
        <f t="shared" si="15"/>
        <v>111</v>
      </c>
      <c r="AA44" s="1557">
        <f t="shared" si="3"/>
        <v>1</v>
      </c>
      <c r="AB44" s="1557">
        <f t="shared" si="4"/>
        <v>1</v>
      </c>
      <c r="AC44" s="1557">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4323"/>
      <c r="Q45" s="1558">
        <f t="shared" si="11"/>
        <v>111</v>
      </c>
      <c r="R45" s="1559" t="s">
        <v>11</v>
      </c>
      <c r="S45" s="1560">
        <f t="shared" si="12"/>
        <v>100</v>
      </c>
      <c r="T45" s="1559" t="s">
        <v>11</v>
      </c>
      <c r="U45" s="1560">
        <f t="shared" si="13"/>
        <v>100</v>
      </c>
      <c r="V45" s="1559" t="s">
        <v>11</v>
      </c>
      <c r="W45" s="1560">
        <f t="shared" si="14"/>
        <v>100</v>
      </c>
      <c r="X45" s="1553"/>
      <c r="Y45" s="4323"/>
      <c r="Z45" s="1561">
        <f t="shared" si="15"/>
        <v>111</v>
      </c>
      <c r="AA45" s="1562">
        <f t="shared" si="3"/>
        <v>1</v>
      </c>
      <c r="AB45" s="1562">
        <f t="shared" si="4"/>
        <v>1</v>
      </c>
      <c r="AC45" s="1562">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4404"/>
      <c r="Q46" s="1558">
        <f t="shared" si="11"/>
        <v>111</v>
      </c>
      <c r="R46" s="1559" t="s">
        <v>10</v>
      </c>
      <c r="S46" s="1560">
        <f t="shared" si="12"/>
        <v>100</v>
      </c>
      <c r="T46" s="1559" t="s">
        <v>10</v>
      </c>
      <c r="U46" s="1560">
        <f t="shared" si="13"/>
        <v>100</v>
      </c>
      <c r="V46" s="1559" t="s">
        <v>10</v>
      </c>
      <c r="W46" s="1560">
        <f t="shared" si="14"/>
        <v>100</v>
      </c>
      <c r="X46" s="1553"/>
      <c r="Y46" s="4404"/>
      <c r="Z46" s="1561">
        <f t="shared" si="15"/>
        <v>111</v>
      </c>
      <c r="AA46" s="1562">
        <f t="shared" si="3"/>
        <v>1</v>
      </c>
      <c r="AB46" s="1562">
        <f t="shared" si="4"/>
        <v>1</v>
      </c>
      <c r="AC46" s="1562">
        <f t="shared" si="5"/>
        <v>1</v>
      </c>
    </row>
    <row r="47" spans="1:29" ht="15">
      <c r="A47" s="607" t="s">
        <v>736</v>
      </c>
      <c r="B47" s="887"/>
      <c r="C47" s="2591" t="s">
        <v>9</v>
      </c>
      <c r="D47" s="2592"/>
      <c r="E47" s="2593">
        <v>6000</v>
      </c>
      <c r="F47" s="2594"/>
      <c r="G47" s="2595">
        <v>6600</v>
      </c>
      <c r="H47" s="2596"/>
      <c r="I47" s="2593">
        <v>6000</v>
      </c>
      <c r="J47" s="2596"/>
      <c r="K47" s="1591"/>
      <c r="L47" s="2129"/>
      <c r="M47" s="2130"/>
      <c r="N47" s="2119"/>
      <c r="O47" s="2130"/>
      <c r="P47" s="4286" t="str">
        <f>A47</f>
        <v>成交单价（元/平方米）</v>
      </c>
      <c r="Q47" s="4286"/>
      <c r="R47" s="4403">
        <f>E47</f>
        <v>6000</v>
      </c>
      <c r="S47" s="4403"/>
      <c r="T47" s="4403">
        <f>G47</f>
        <v>6600</v>
      </c>
      <c r="U47" s="4403"/>
      <c r="V47" s="4403">
        <f>I47</f>
        <v>6000</v>
      </c>
      <c r="W47" s="4403"/>
      <c r="X47" s="1545"/>
      <c r="Y47" s="1567"/>
      <c r="Z47" s="1545"/>
      <c r="AA47" s="1545"/>
      <c r="AB47" s="1545"/>
      <c r="AC47" s="1545"/>
    </row>
    <row r="48" spans="1:29" ht="15.75" thickBot="1">
      <c r="A48" s="615" t="s">
        <v>2758</v>
      </c>
      <c r="B48" s="888"/>
      <c r="C48" s="2597">
        <f>R49</f>
        <v>6525</v>
      </c>
      <c r="D48" s="2598"/>
      <c r="E48" s="2599">
        <f>R48</f>
        <v>6312</v>
      </c>
      <c r="F48" s="2599"/>
      <c r="G48" s="2597">
        <f>T48</f>
        <v>6815</v>
      </c>
      <c r="H48" s="2598"/>
      <c r="I48" s="2599">
        <f>V48</f>
        <v>6447</v>
      </c>
      <c r="J48" s="2598"/>
      <c r="K48" s="1592"/>
      <c r="L48" s="2129"/>
      <c r="M48" s="2130"/>
      <c r="N48" s="2130"/>
      <c r="O48" s="2130"/>
      <c r="P48" s="4286" t="str">
        <f>A48</f>
        <v>比较价格（元/平方米）</v>
      </c>
      <c r="Q48" s="4286"/>
      <c r="R48" s="4403">
        <f>IF(F1="售价",ROUND(PRODUCT(R47,AA7:AA46),0),ROUND(PRODUCT(R47,AA7:AA46),1))</f>
        <v>6312</v>
      </c>
      <c r="S48" s="4403"/>
      <c r="T48" s="4403">
        <f>IF(F1="售价",ROUND(PRODUCT(T47,AB7:AB46),0),ROUND(PRODUCT(T47,AB7:AB46),1))</f>
        <v>6815</v>
      </c>
      <c r="U48" s="4403"/>
      <c r="V48" s="4403">
        <f>IF(F1="售价",ROUND(PRODUCT(V47,AC7:AC46),0),ROUND(PRODUCT(V47,AC7:AC46),1))</f>
        <v>6447</v>
      </c>
      <c r="W48" s="4403"/>
      <c r="X48" s="1545"/>
      <c r="Y48" s="1545"/>
      <c r="Z48" s="1545"/>
      <c r="AA48" s="1545"/>
      <c r="AB48" s="1545"/>
      <c r="AC48" s="1545"/>
    </row>
    <row r="49" spans="1:29" ht="15.75" thickBot="1">
      <c r="A49" s="621" t="s">
        <v>2931</v>
      </c>
      <c r="B49" s="622"/>
      <c r="C49" s="2600">
        <f>R49</f>
        <v>6525</v>
      </c>
      <c r="D49" s="2600"/>
      <c r="E49" s="2600"/>
      <c r="F49" s="2600"/>
      <c r="G49" s="2600"/>
      <c r="H49" s="2600"/>
      <c r="I49" s="2600"/>
      <c r="J49" s="2600"/>
      <c r="K49" s="1593"/>
      <c r="L49" s="2129"/>
      <c r="M49" s="2130"/>
      <c r="N49" s="2130"/>
      <c r="O49" s="2130"/>
      <c r="P49" s="4283" t="str">
        <f>A49</f>
        <v>估价对象XX用房的比较价格（楼面单价，元/平方米）</v>
      </c>
      <c r="Q49" s="4284"/>
      <c r="R49" s="4402">
        <f>IF(F1="售价",ROUND(AVERAGE(R48:V48),0),ROUND(AVERAGE(R48:V48),1))</f>
        <v>6525</v>
      </c>
      <c r="S49" s="4402"/>
      <c r="T49" s="4402"/>
      <c r="U49" s="4402"/>
      <c r="V49" s="4402"/>
      <c r="W49" s="440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5.2000000000000046E-2</v>
      </c>
      <c r="F52" s="627" t="str">
        <f>IF(OR(E52&gt;=0.3,E52&lt;=-0.3),"超过30%","")</f>
        <v/>
      </c>
      <c r="G52" s="626">
        <f>IF(G47&lt;G48,G48/G47-1,G47/G48-1)</f>
        <v>3.257575757575748E-2</v>
      </c>
      <c r="H52" s="627" t="str">
        <f>IF(OR(G52&gt;=0.3,G52&lt;=-0.3),"超过30%","")</f>
        <v/>
      </c>
      <c r="I52" s="626">
        <f>IF(I47&lt;I48,I48/I47-1,I47/I48-1)</f>
        <v>7.4500000000000011E-2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7.9689480354879549E-2</v>
      </c>
      <c r="F53" s="627" t="str">
        <f>IF(OR(E53&gt;=0.2,E53&lt;=-0.2),"超过20%","")</f>
        <v/>
      </c>
      <c r="G53" s="626">
        <f>IF(G48&lt;I48,I48/G48-1,G48/I48-1)</f>
        <v>5.7080812781138413E-2</v>
      </c>
      <c r="H53" s="627" t="str">
        <f>IF(OR(G53&gt;=0.2,G53&lt;=-0.2),"超过20%","")</f>
        <v/>
      </c>
      <c r="I53" s="626">
        <f>IF(I48&lt;E48,E48/I48-1,I48/E48-1)</f>
        <v>2.1387832699619747E-2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0.10000000000000009</v>
      </c>
      <c r="F54" s="627" t="str">
        <f>IF(OR(E54&gt;=0.3,E54&lt;=-0.3),"超过30%","")</f>
        <v/>
      </c>
      <c r="G54" s="626">
        <f>IF(G47&lt;I47,I47/G47-1,G47/I47-1)</f>
        <v>0.10000000000000009</v>
      </c>
      <c r="H54" s="627" t="str">
        <f>IF(OR(G54&gt;=0.3,G54&lt;=-0.3),"超过30%","")</f>
        <v/>
      </c>
      <c r="I54" s="626">
        <f>IF(I47&lt;E47,E47/I47-1,I47/E47-1)</f>
        <v>0</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2019-7</v>
      </c>
      <c r="D58" s="2759">
        <f>EDATE(C58,-1)</f>
        <v>43617</v>
      </c>
      <c r="E58" s="2759">
        <f t="shared" ref="E58:O58" si="16">EDATE(D58,-1)</f>
        <v>43586</v>
      </c>
      <c r="F58" s="2759">
        <f t="shared" si="16"/>
        <v>43556</v>
      </c>
      <c r="G58" s="2759">
        <f t="shared" si="16"/>
        <v>43525</v>
      </c>
      <c r="H58" s="2759">
        <f t="shared" si="16"/>
        <v>43497</v>
      </c>
      <c r="I58" s="2759">
        <f t="shared" si="16"/>
        <v>43466</v>
      </c>
      <c r="J58" s="2759">
        <f t="shared" si="16"/>
        <v>43435</v>
      </c>
      <c r="K58" s="2759">
        <f t="shared" si="16"/>
        <v>43405</v>
      </c>
      <c r="L58" s="2759">
        <f t="shared" si="16"/>
        <v>43374</v>
      </c>
      <c r="M58" s="2759">
        <f t="shared" si="16"/>
        <v>43344</v>
      </c>
      <c r="N58" s="2759">
        <f t="shared" si="16"/>
        <v>43313</v>
      </c>
      <c r="O58" s="2759">
        <f t="shared" si="16"/>
        <v>43282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v>5</v>
      </c>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3188" t="s">
        <v>3020</v>
      </c>
      <c r="D90" s="3188" t="s">
        <v>3021</v>
      </c>
      <c r="E90" s="3188" t="s">
        <v>3022</v>
      </c>
      <c r="F90" s="3188" t="s">
        <v>3023</v>
      </c>
      <c r="G90" s="3188" t="s">
        <v>3024</v>
      </c>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v>100</v>
      </c>
      <c r="D91" s="692">
        <v>99</v>
      </c>
      <c r="E91" s="692">
        <v>98</v>
      </c>
      <c r="F91" s="692">
        <v>97</v>
      </c>
      <c r="G91" s="692">
        <v>96</v>
      </c>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189" t="s">
        <v>3025</v>
      </c>
      <c r="D100" s="3189" t="s">
        <v>3027</v>
      </c>
      <c r="E100" s="3189" t="s">
        <v>3028</v>
      </c>
      <c r="F100" s="3189"/>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1(含)-1</v>
      </c>
      <c r="D102" s="708" t="str">
        <f t="shared" ref="D102:L102" si="23">D103&amp;"(含)"&amp;"-"&amp;E103</f>
        <v>1(含)-1</v>
      </c>
      <c r="E102" s="708" t="str">
        <f t="shared" si="23"/>
        <v>1(含)-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3191">
        <v>1</v>
      </c>
      <c r="D103" s="3191">
        <v>1</v>
      </c>
      <c r="E103" s="3191">
        <v>1</v>
      </c>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97</v>
      </c>
      <c r="E104" s="671">
        <v>94</v>
      </c>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88" t="s">
        <v>3019</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90" t="s">
        <v>3037</v>
      </c>
      <c r="D107" s="3190" t="s">
        <v>3038</v>
      </c>
      <c r="E107" s="3190" t="s">
        <v>3039</v>
      </c>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188" t="s">
        <v>3016</v>
      </c>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188" t="s">
        <v>3018</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2554</v>
      </c>
      <c r="C116" s="3188" t="s">
        <v>3033</v>
      </c>
      <c r="D116" s="3188" t="s">
        <v>3034</v>
      </c>
      <c r="E116" s="3188" t="s">
        <v>3036</v>
      </c>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t="s">
        <v>3040</v>
      </c>
      <c r="D120" s="688" t="s">
        <v>3041</v>
      </c>
      <c r="E120" s="688" t="s">
        <v>3043</v>
      </c>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v>100</v>
      </c>
      <c r="D121" s="671">
        <v>98</v>
      </c>
      <c r="E121" s="671">
        <v>96</v>
      </c>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88" t="s">
        <v>3032</v>
      </c>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E15" sqref="E15"/>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t="s">
        <v>2996</v>
      </c>
      <c r="E1" s="506"/>
      <c r="F1" s="2762" t="s">
        <v>3047</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f>ROUND(B3*D3/10000,0)</f>
        <v>3436</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f>C49</f>
        <v>11396</v>
      </c>
      <c r="C3" s="852" t="s">
        <v>722</v>
      </c>
      <c r="D3" s="851">
        <f>SUMIF('数据-汇总表'!$C19:$C33,D1,'数据-汇总表'!$E19:$E33)</f>
        <v>3014.85</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4292" t="s">
        <v>522</v>
      </c>
      <c r="D4" s="4293"/>
      <c r="E4" s="4326" t="s">
        <v>523</v>
      </c>
      <c r="F4" s="4327"/>
      <c r="G4" s="4292" t="s">
        <v>524</v>
      </c>
      <c r="H4" s="4293"/>
      <c r="I4" s="4292" t="s">
        <v>525</v>
      </c>
      <c r="J4" s="4293"/>
      <c r="K4" s="514" t="s">
        <v>526</v>
      </c>
      <c r="L4" s="2118"/>
      <c r="M4" s="2119"/>
      <c r="N4" s="2119"/>
      <c r="O4" s="2119"/>
      <c r="P4" s="4294" t="s">
        <v>527</v>
      </c>
      <c r="Q4" s="4295"/>
      <c r="R4" s="4300" t="s">
        <v>523</v>
      </c>
      <c r="S4" s="4301"/>
      <c r="T4" s="4300" t="s">
        <v>524</v>
      </c>
      <c r="U4" s="4301"/>
      <c r="V4" s="4287" t="s">
        <v>525</v>
      </c>
      <c r="W4" s="4287"/>
      <c r="X4" s="1553"/>
      <c r="Y4" s="4300" t="s">
        <v>527</v>
      </c>
      <c r="Z4" s="4301"/>
      <c r="AA4" s="4289" t="s">
        <v>523</v>
      </c>
      <c r="AB4" s="4287" t="s">
        <v>524</v>
      </c>
      <c r="AC4" s="4289" t="s">
        <v>525</v>
      </c>
    </row>
    <row r="5" spans="1:29" ht="15">
      <c r="A5" s="515"/>
      <c r="B5" s="516"/>
      <c r="C5" s="4308" t="s">
        <v>2925</v>
      </c>
      <c r="D5" s="4309"/>
      <c r="E5" s="4406" t="s">
        <v>3597</v>
      </c>
      <c r="F5" s="4329"/>
      <c r="G5" s="4405" t="s">
        <v>3358</v>
      </c>
      <c r="H5" s="4309"/>
      <c r="I5" s="4405" t="s">
        <v>3030</v>
      </c>
      <c r="J5" s="4309"/>
      <c r="K5" s="514"/>
      <c r="L5" s="2118"/>
      <c r="M5" s="2119"/>
      <c r="N5" s="2119"/>
      <c r="O5" s="2119"/>
      <c r="P5" s="4296"/>
      <c r="Q5" s="4297"/>
      <c r="R5" s="4302"/>
      <c r="S5" s="4303"/>
      <c r="T5" s="4302"/>
      <c r="U5" s="4303"/>
      <c r="V5" s="4287"/>
      <c r="W5" s="4287"/>
      <c r="X5" s="1553"/>
      <c r="Y5" s="4302"/>
      <c r="Z5" s="4303"/>
      <c r="AA5" s="4290"/>
      <c r="AB5" s="4287"/>
      <c r="AC5" s="4290"/>
    </row>
    <row r="6" spans="1:29" ht="15.75" thickBot="1">
      <c r="A6" s="517"/>
      <c r="B6" s="518"/>
      <c r="C6" s="4306" t="s">
        <v>2929</v>
      </c>
      <c r="D6" s="4307"/>
      <c r="E6" s="4324" t="s">
        <v>2929</v>
      </c>
      <c r="F6" s="4325"/>
      <c r="G6" s="4306" t="s">
        <v>2929</v>
      </c>
      <c r="H6" s="4307"/>
      <c r="I6" s="4306" t="s">
        <v>2929</v>
      </c>
      <c r="J6" s="4307"/>
      <c r="K6" s="514" t="s">
        <v>528</v>
      </c>
      <c r="L6" s="2118"/>
      <c r="M6" s="2119"/>
      <c r="N6" s="2119"/>
      <c r="O6" s="2119"/>
      <c r="P6" s="4298"/>
      <c r="Q6" s="4299"/>
      <c r="R6" s="4302"/>
      <c r="S6" s="4303"/>
      <c r="T6" s="4304"/>
      <c r="U6" s="4305"/>
      <c r="V6" s="4287"/>
      <c r="W6" s="4287"/>
      <c r="X6" s="1553"/>
      <c r="Y6" s="4304"/>
      <c r="Z6" s="4305"/>
      <c r="AA6" s="4291"/>
      <c r="AB6" s="4287"/>
      <c r="AC6" s="4291"/>
    </row>
    <row r="7" spans="1:29" s="1216" customFormat="1" ht="15.75" thickBot="1">
      <c r="A7" s="2867"/>
      <c r="B7" s="2874" t="s">
        <v>529</v>
      </c>
      <c r="C7" s="519">
        <f>'数据-取费表'!B2</f>
        <v>43647</v>
      </c>
      <c r="D7" s="520">
        <v>100</v>
      </c>
      <c r="E7" s="521">
        <f>C7</f>
        <v>43647</v>
      </c>
      <c r="F7" s="522">
        <f>SUMIF(58:58,YEAR(E7)&amp;"-"&amp;MONTH(E7),59:59)</f>
        <v>100</v>
      </c>
      <c r="G7" s="521">
        <f>C7</f>
        <v>43647</v>
      </c>
      <c r="H7" s="520">
        <f>SUMIF(58:58,YEAR(G7)&amp;"-"&amp;MONTH(G7),59:59)</f>
        <v>100</v>
      </c>
      <c r="I7" s="521">
        <f>C7</f>
        <v>43647</v>
      </c>
      <c r="J7" s="520">
        <f>SUMIF(58:58,YEAR(I7)&amp;"-"&amp;MONTH(I7),59:59)</f>
        <v>100</v>
      </c>
      <c r="K7" s="524"/>
      <c r="L7" s="2120"/>
      <c r="M7" s="2121"/>
      <c r="N7" s="2121"/>
      <c r="O7" s="2121"/>
      <c r="P7" s="4317" t="s">
        <v>530</v>
      </c>
      <c r="Q7" s="4319"/>
      <c r="R7" s="1554" t="s">
        <v>8</v>
      </c>
      <c r="S7" s="1555">
        <f t="shared" ref="S7:S15" si="0">F7</f>
        <v>100</v>
      </c>
      <c r="T7" s="1554" t="s">
        <v>8</v>
      </c>
      <c r="U7" s="1555">
        <f t="shared" ref="U7:U15" si="1">H7</f>
        <v>100</v>
      </c>
      <c r="V7" s="1554" t="s">
        <v>8</v>
      </c>
      <c r="W7" s="1555">
        <f t="shared" ref="W7:W15" si="2">J7</f>
        <v>100</v>
      </c>
      <c r="X7" s="1556"/>
      <c r="Y7" s="4317" t="s">
        <v>530</v>
      </c>
      <c r="Z7" s="4318"/>
      <c r="AA7" s="1557">
        <f>D7/F7</f>
        <v>1</v>
      </c>
      <c r="AB7" s="1557">
        <f>D7/H7</f>
        <v>1</v>
      </c>
      <c r="AC7" s="1557">
        <f>D7/J7</f>
        <v>1</v>
      </c>
    </row>
    <row r="8" spans="1:29" s="1216" customFormat="1" ht="15.75" thickBot="1">
      <c r="A8" s="2868"/>
      <c r="B8" s="2875" t="s">
        <v>531</v>
      </c>
      <c r="C8" s="525" t="s">
        <v>576</v>
      </c>
      <c r="D8" s="520">
        <v>100</v>
      </c>
      <c r="E8" s="525" t="s">
        <v>3011</v>
      </c>
      <c r="F8" s="522">
        <f>SUMIF(61:61,E8,62:62)-SUMIF(61:61,C8,62:62)+100</f>
        <v>100</v>
      </c>
      <c r="G8" s="525" t="s">
        <v>3011</v>
      </c>
      <c r="H8" s="520">
        <f>SUMIF(61:61,G8,62:62)-SUMIF(61:61,C8,62:62)+100</f>
        <v>100</v>
      </c>
      <c r="I8" s="525" t="s">
        <v>3011</v>
      </c>
      <c r="J8" s="520">
        <f>SUMIF(61:61,I8,62:62)-SUMIF(61:61,C8,62:62)+100</f>
        <v>100</v>
      </c>
      <c r="K8" s="524"/>
      <c r="L8" s="2120"/>
      <c r="M8" s="2121"/>
      <c r="N8" s="2121"/>
      <c r="O8" s="2121"/>
      <c r="P8" s="4317" t="s">
        <v>533</v>
      </c>
      <c r="Q8" s="4318"/>
      <c r="R8" s="1554" t="s">
        <v>8</v>
      </c>
      <c r="S8" s="1555">
        <f t="shared" si="0"/>
        <v>100</v>
      </c>
      <c r="T8" s="1554" t="s">
        <v>8</v>
      </c>
      <c r="U8" s="1555">
        <f t="shared" si="1"/>
        <v>100</v>
      </c>
      <c r="V8" s="1554" t="s">
        <v>8</v>
      </c>
      <c r="W8" s="1555">
        <f t="shared" si="2"/>
        <v>100</v>
      </c>
      <c r="X8" s="1556"/>
      <c r="Y8" s="4317" t="s">
        <v>533</v>
      </c>
      <c r="Z8" s="4318"/>
      <c r="AA8" s="1557">
        <f t="shared" ref="AA8:AA46" si="3">D8/F8</f>
        <v>1</v>
      </c>
      <c r="AB8" s="1557">
        <f t="shared" ref="AB8:AB46" si="4">D8/H8</f>
        <v>1</v>
      </c>
      <c r="AC8" s="1557">
        <f t="shared" ref="AC8:AC46" si="5">D8/J8</f>
        <v>1</v>
      </c>
    </row>
    <row r="9" spans="1:29" s="1216" customFormat="1" ht="15">
      <c r="A9" s="2869"/>
      <c r="B9" s="2876" t="s">
        <v>2754</v>
      </c>
      <c r="C9" s="3187" t="s">
        <v>3609</v>
      </c>
      <c r="D9" s="254">
        <v>100</v>
      </c>
      <c r="E9" s="860" t="s">
        <v>2996</v>
      </c>
      <c r="F9" s="254">
        <f>SUMIF(63:63,E9,64:64)-SUMIF(63:63,C9,64:64)+100</f>
        <v>100</v>
      </c>
      <c r="G9" s="858" t="s">
        <v>2996</v>
      </c>
      <c r="H9" s="254">
        <f>SUMIF(63:63,G9,64:64)-SUMIF(63:63,C9,64:64)+100</f>
        <v>100</v>
      </c>
      <c r="I9" s="858" t="s">
        <v>2996</v>
      </c>
      <c r="J9" s="254">
        <f>SUMIF(63:63,I9,64:64)-SUMIF(63:63,C9,64:64)+100</f>
        <v>100</v>
      </c>
      <c r="K9" s="524"/>
      <c r="L9" s="2120"/>
      <c r="M9" s="2121"/>
      <c r="N9" s="2121"/>
      <c r="O9" s="2122"/>
      <c r="P9" s="4286" t="s">
        <v>535</v>
      </c>
      <c r="Q9" s="1147" t="str">
        <f t="shared" ref="Q9:Q15" si="6">B9</f>
        <v>用途</v>
      </c>
      <c r="R9" s="1554" t="s">
        <v>8</v>
      </c>
      <c r="S9" s="1555">
        <f t="shared" si="0"/>
        <v>100</v>
      </c>
      <c r="T9" s="1554" t="s">
        <v>8</v>
      </c>
      <c r="U9" s="1555">
        <f t="shared" si="1"/>
        <v>100</v>
      </c>
      <c r="V9" s="1554" t="s">
        <v>8</v>
      </c>
      <c r="W9" s="1555">
        <f t="shared" si="2"/>
        <v>100</v>
      </c>
      <c r="X9" s="1556"/>
      <c r="Y9" s="4232" t="s">
        <v>536</v>
      </c>
      <c r="Z9" s="1146" t="str">
        <f t="shared" ref="Z9:Z15" si="7">Q9</f>
        <v>用途</v>
      </c>
      <c r="AA9" s="1557">
        <f t="shared" si="3"/>
        <v>1</v>
      </c>
      <c r="AB9" s="1557">
        <f t="shared" si="4"/>
        <v>1</v>
      </c>
      <c r="AC9" s="1557">
        <f t="shared" si="5"/>
        <v>1</v>
      </c>
    </row>
    <row r="10" spans="1:29" s="1334" customFormat="1" ht="27">
      <c r="A10" s="2870"/>
      <c r="B10" s="2875" t="s">
        <v>2755</v>
      </c>
      <c r="C10" s="861" t="s">
        <v>3598</v>
      </c>
      <c r="D10" s="255">
        <v>100</v>
      </c>
      <c r="E10" s="861" t="s">
        <v>3598</v>
      </c>
      <c r="F10" s="255">
        <f>SUMIF(65:65,E10,66:66)-SUMIF(65:65,C10,66:66)+100</f>
        <v>100</v>
      </c>
      <c r="G10" s="862" t="s">
        <v>3598</v>
      </c>
      <c r="H10" s="255">
        <f>SUMIF(65:65,G10,66:66)-SUMIF(65:65,C10,66:66)+100</f>
        <v>100</v>
      </c>
      <c r="I10" s="861" t="s">
        <v>3598</v>
      </c>
      <c r="J10" s="255">
        <f>SUMIF(65:65,I10,66:66)-SUMIF(65:65,C10,66:66)+100</f>
        <v>100</v>
      </c>
      <c r="K10" s="584">
        <v>1</v>
      </c>
      <c r="L10" s="2123"/>
      <c r="M10" s="2163"/>
      <c r="N10" s="2163"/>
      <c r="O10" s="2124"/>
      <c r="P10" s="4286"/>
      <c r="Q10" s="1147" t="str">
        <f t="shared" si="6"/>
        <v>土地使用年限（年）</v>
      </c>
      <c r="R10" s="1554" t="s">
        <v>8</v>
      </c>
      <c r="S10" s="1555">
        <f t="shared" si="0"/>
        <v>100</v>
      </c>
      <c r="T10" s="1554" t="s">
        <v>8</v>
      </c>
      <c r="U10" s="1555">
        <f t="shared" si="1"/>
        <v>100</v>
      </c>
      <c r="V10" s="1554" t="s">
        <v>8</v>
      </c>
      <c r="W10" s="1555">
        <f t="shared" si="2"/>
        <v>100</v>
      </c>
      <c r="X10" s="1556"/>
      <c r="Y10" s="4232"/>
      <c r="Z10" s="1146" t="str">
        <f t="shared" si="7"/>
        <v>土地使用年限（年）</v>
      </c>
      <c r="AA10" s="1557">
        <f t="shared" si="3"/>
        <v>1</v>
      </c>
      <c r="AB10" s="1557">
        <f t="shared" si="4"/>
        <v>1</v>
      </c>
      <c r="AC10" s="1557">
        <f t="shared" si="5"/>
        <v>1</v>
      </c>
    </row>
    <row r="11" spans="1:29" ht="15">
      <c r="A11" s="2871"/>
      <c r="B11" s="2875" t="s">
        <v>2756</v>
      </c>
      <c r="C11" s="533">
        <f>'数据-汇总表'!I7</f>
        <v>0.8</v>
      </c>
      <c r="D11" s="255">
        <v>100</v>
      </c>
      <c r="E11" s="533">
        <v>2.6</v>
      </c>
      <c r="F11" s="255">
        <f>LOOKUP(E11,68:68,69:69)-LOOKUP(C11,68:68,69:69)+100</f>
        <v>96</v>
      </c>
      <c r="G11" s="534">
        <v>3</v>
      </c>
      <c r="H11" s="255">
        <f>LOOKUP(G11,68:68,69:69)-LOOKUP(C11,68:68,69:69)+100</f>
        <v>94</v>
      </c>
      <c r="I11" s="533">
        <v>2.39</v>
      </c>
      <c r="J11" s="255">
        <f>LOOKUP(I11,68:68,69:69)-LOOKUP(C11,68:68,69:69)+100</f>
        <v>96</v>
      </c>
      <c r="K11" s="584">
        <v>2</v>
      </c>
      <c r="L11" s="2125"/>
      <c r="M11" s="2119"/>
      <c r="N11" s="2119"/>
      <c r="O11" s="2126"/>
      <c r="P11" s="4286"/>
      <c r="Q11" s="1147" t="str">
        <f t="shared" si="6"/>
        <v>容积率</v>
      </c>
      <c r="R11" s="1554" t="s">
        <v>8</v>
      </c>
      <c r="S11" s="1555">
        <f t="shared" si="0"/>
        <v>96</v>
      </c>
      <c r="T11" s="1554" t="s">
        <v>8</v>
      </c>
      <c r="U11" s="1555">
        <f t="shared" si="1"/>
        <v>94</v>
      </c>
      <c r="V11" s="1554" t="s">
        <v>8</v>
      </c>
      <c r="W11" s="1555">
        <f t="shared" si="2"/>
        <v>96</v>
      </c>
      <c r="X11" s="1556"/>
      <c r="Y11" s="4232"/>
      <c r="Z11" s="1146" t="str">
        <f t="shared" si="7"/>
        <v>容积率</v>
      </c>
      <c r="AA11" s="1557">
        <f t="shared" si="3"/>
        <v>1.0416666666666667</v>
      </c>
      <c r="AB11" s="1557">
        <f t="shared" si="4"/>
        <v>1.0638297872340425</v>
      </c>
      <c r="AC11" s="1557">
        <f t="shared" si="5"/>
        <v>1.0416666666666667</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4286"/>
      <c r="Q12" s="1147">
        <f t="shared" si="6"/>
        <v>111</v>
      </c>
      <c r="R12" s="1554" t="s">
        <v>8</v>
      </c>
      <c r="S12" s="1555">
        <f t="shared" si="0"/>
        <v>100</v>
      </c>
      <c r="T12" s="1554" t="s">
        <v>8</v>
      </c>
      <c r="U12" s="1555">
        <f t="shared" si="1"/>
        <v>100</v>
      </c>
      <c r="V12" s="1554" t="s">
        <v>8</v>
      </c>
      <c r="W12" s="1555">
        <f t="shared" si="2"/>
        <v>100</v>
      </c>
      <c r="X12" s="1556"/>
      <c r="Y12" s="4232"/>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4286"/>
      <c r="Q13" s="1147">
        <f t="shared" si="6"/>
        <v>111</v>
      </c>
      <c r="R13" s="1554" t="s">
        <v>8</v>
      </c>
      <c r="S13" s="1555">
        <f t="shared" si="0"/>
        <v>100</v>
      </c>
      <c r="T13" s="1554" t="s">
        <v>8</v>
      </c>
      <c r="U13" s="1555">
        <f t="shared" si="1"/>
        <v>100</v>
      </c>
      <c r="V13" s="1554" t="s">
        <v>8</v>
      </c>
      <c r="W13" s="1555">
        <f t="shared" si="2"/>
        <v>100</v>
      </c>
      <c r="X13" s="1556"/>
      <c r="Y13" s="4232"/>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4286"/>
      <c r="Q14" s="1147">
        <f t="shared" si="6"/>
        <v>111</v>
      </c>
      <c r="R14" s="1554" t="s">
        <v>8</v>
      </c>
      <c r="S14" s="1555">
        <f t="shared" si="0"/>
        <v>100</v>
      </c>
      <c r="T14" s="1554" t="s">
        <v>8</v>
      </c>
      <c r="U14" s="1555">
        <f t="shared" si="1"/>
        <v>100</v>
      </c>
      <c r="V14" s="1554" t="s">
        <v>8</v>
      </c>
      <c r="W14" s="1555">
        <f t="shared" si="2"/>
        <v>100</v>
      </c>
      <c r="X14" s="1556"/>
      <c r="Y14" s="4232"/>
      <c r="Z14" s="1146">
        <f t="shared" si="7"/>
        <v>111</v>
      </c>
      <c r="AA14" s="1557">
        <f t="shared" si="3"/>
        <v>1</v>
      </c>
      <c r="AB14" s="1557">
        <f t="shared" si="4"/>
        <v>1</v>
      </c>
      <c r="AC14" s="1557">
        <f t="shared" si="5"/>
        <v>1</v>
      </c>
    </row>
    <row r="15" spans="1:29" ht="85.5">
      <c r="A15" s="2865" t="s">
        <v>2752</v>
      </c>
      <c r="B15" s="166" t="s">
        <v>541</v>
      </c>
      <c r="C15" s="867" t="str">
        <f>估价对象房地状况!C4</f>
        <v>估价对象周边商业为项目内部商业街，周边商业氛围较好，人流量较大，商业繁华度较好</v>
      </c>
      <c r="D15" s="549">
        <v>100</v>
      </c>
      <c r="E15" s="550"/>
      <c r="F15" s="551">
        <f>SUMIF(76:76,E16,77:77)-SUMIF(76:76,C16,77:77)+100</f>
        <v>100</v>
      </c>
      <c r="G15" s="552"/>
      <c r="H15" s="549">
        <f>SUMIF(76:76,G16,77:77)-SUMIF(76:76,C16,77:77)+100</f>
        <v>100</v>
      </c>
      <c r="I15" s="550"/>
      <c r="J15" s="549">
        <f>SUMIF(76:76,I16,77:77)-SUMIF(76:76,C16,77:77)+100</f>
        <v>100</v>
      </c>
      <c r="K15" s="898">
        <v>2</v>
      </c>
      <c r="L15" s="2127"/>
      <c r="M15" s="2119"/>
      <c r="N15" s="2119"/>
      <c r="O15" s="2126"/>
      <c r="P15" s="4320" t="s">
        <v>540</v>
      </c>
      <c r="Q15" s="1558" t="str">
        <f t="shared" si="6"/>
        <v>商业繁华度</v>
      </c>
      <c r="R15" s="1559" t="s">
        <v>8</v>
      </c>
      <c r="S15" s="1560">
        <f t="shared" si="0"/>
        <v>100</v>
      </c>
      <c r="T15" s="1559" t="s">
        <v>8</v>
      </c>
      <c r="U15" s="1560">
        <f t="shared" si="1"/>
        <v>100</v>
      </c>
      <c r="V15" s="1559" t="s">
        <v>8</v>
      </c>
      <c r="W15" s="1560">
        <f t="shared" si="2"/>
        <v>100</v>
      </c>
      <c r="X15" s="1553"/>
      <c r="Y15" s="4320" t="s">
        <v>540</v>
      </c>
      <c r="Z15" s="1561" t="str">
        <f t="shared" si="7"/>
        <v>商业繁华度</v>
      </c>
      <c r="AA15" s="1562">
        <f t="shared" si="3"/>
        <v>1</v>
      </c>
      <c r="AB15" s="1562">
        <f t="shared" si="4"/>
        <v>1</v>
      </c>
      <c r="AC15" s="1562">
        <f t="shared" si="5"/>
        <v>1</v>
      </c>
    </row>
    <row r="16" spans="1:29" ht="15">
      <c r="A16" s="532"/>
      <c r="B16" s="869"/>
      <c r="C16" s="576" t="s">
        <v>3013</v>
      </c>
      <c r="D16" s="555"/>
      <c r="E16" s="576" t="s">
        <v>3013</v>
      </c>
      <c r="F16" s="557"/>
      <c r="G16" s="576" t="s">
        <v>3013</v>
      </c>
      <c r="H16" s="559"/>
      <c r="I16" s="576" t="s">
        <v>3013</v>
      </c>
      <c r="J16" s="555"/>
      <c r="K16" s="899"/>
      <c r="L16" s="2127"/>
      <c r="M16" s="2119"/>
      <c r="N16" s="2119"/>
      <c r="O16" s="2126"/>
      <c r="P16" s="4321"/>
      <c r="Q16" s="1558"/>
      <c r="R16" s="1559"/>
      <c r="S16" s="1560"/>
      <c r="T16" s="1559"/>
      <c r="U16" s="1560"/>
      <c r="V16" s="1559"/>
      <c r="W16" s="1560"/>
      <c r="X16" s="1553"/>
      <c r="Y16" s="4321"/>
      <c r="Z16" s="1561"/>
      <c r="AA16" s="1562">
        <v>1</v>
      </c>
      <c r="AB16" s="1562">
        <v>1</v>
      </c>
      <c r="AC16" s="1562">
        <v>1</v>
      </c>
    </row>
    <row r="17" spans="1:29" ht="128.25">
      <c r="A17" s="532"/>
      <c r="B17" s="871" t="s">
        <v>296</v>
      </c>
      <c r="C17" s="872" t="str">
        <f>估价对象房地状况!C6</f>
        <v>周边道路密集程度一般、公共交通通达情况一般，有107路，203路、等公交线路通过，停车便捷程度一般，综合评价交通便捷度一般。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8">
        <v>2</v>
      </c>
      <c r="L17" s="2127"/>
      <c r="M17" s="2119"/>
      <c r="N17" s="2119"/>
      <c r="O17" s="2126"/>
      <c r="P17" s="4321"/>
      <c r="Q17" s="1558" t="str">
        <f>B17</f>
        <v>交通便捷度</v>
      </c>
      <c r="R17" s="1559" t="s">
        <v>8</v>
      </c>
      <c r="S17" s="1560">
        <f>F17</f>
        <v>100</v>
      </c>
      <c r="T17" s="1559" t="s">
        <v>8</v>
      </c>
      <c r="U17" s="1560">
        <f>H17</f>
        <v>100</v>
      </c>
      <c r="V17" s="1559" t="s">
        <v>8</v>
      </c>
      <c r="W17" s="1560">
        <f>J17</f>
        <v>100</v>
      </c>
      <c r="X17" s="1553"/>
      <c r="Y17" s="4321"/>
      <c r="Z17" s="1561" t="str">
        <f>Q17</f>
        <v>交通便捷度</v>
      </c>
      <c r="AA17" s="1562">
        <f t="shared" si="3"/>
        <v>1</v>
      </c>
      <c r="AB17" s="1562">
        <f t="shared" si="4"/>
        <v>1</v>
      </c>
      <c r="AC17" s="1562">
        <f t="shared" si="5"/>
        <v>1</v>
      </c>
    </row>
    <row r="18" spans="1:29" ht="15">
      <c r="A18" s="532"/>
      <c r="B18" s="595"/>
      <c r="C18" s="873" t="s">
        <v>3014</v>
      </c>
      <c r="D18" s="559"/>
      <c r="E18" s="568" t="s">
        <v>3014</v>
      </c>
      <c r="F18" s="563"/>
      <c r="G18" s="569" t="s">
        <v>3014</v>
      </c>
      <c r="H18" s="555"/>
      <c r="I18" s="568" t="s">
        <v>3014</v>
      </c>
      <c r="J18" s="555"/>
      <c r="K18" s="899"/>
      <c r="L18" s="2127"/>
      <c r="M18" s="2119"/>
      <c r="N18" s="2119"/>
      <c r="O18" s="2126"/>
      <c r="P18" s="4321"/>
      <c r="Q18" s="1558"/>
      <c r="R18" s="1559"/>
      <c r="S18" s="1560"/>
      <c r="T18" s="1559"/>
      <c r="U18" s="1560"/>
      <c r="V18" s="1559"/>
      <c r="W18" s="1560"/>
      <c r="X18" s="1553"/>
      <c r="Y18" s="4321"/>
      <c r="Z18" s="1561"/>
      <c r="AA18" s="1562">
        <v>1</v>
      </c>
      <c r="AB18" s="1562">
        <v>1</v>
      </c>
      <c r="AC18" s="1562">
        <v>1</v>
      </c>
    </row>
    <row r="19" spans="1:29" ht="128.25">
      <c r="A19" s="532"/>
      <c r="B19" s="2564" t="s">
        <v>2544</v>
      </c>
      <c r="C19" s="872" t="str">
        <f>估价对象房地状况!C7</f>
        <v>所在区域2公里范围内有银行（中国邮政储蓄银行）、学校（巴川中学）、商业（无）、医院（无）等配套设施，公共配套设施一般；</v>
      </c>
      <c r="D19" s="565">
        <v>100</v>
      </c>
      <c r="E19" s="570"/>
      <c r="F19" s="571">
        <f>SUMIF(80:80,E20,81:81)-SUMIF(80:80,C20,81:81)+100</f>
        <v>100</v>
      </c>
      <c r="G19" s="572"/>
      <c r="H19" s="559">
        <f>SUMIF(80:80,G20,81:81)-SUMIF(80:80,C20,81:81)+100</f>
        <v>102</v>
      </c>
      <c r="I19" s="570"/>
      <c r="J19" s="559">
        <f>SUMIF(80:80,I20,81:81)-SUMIF(80:80,C20,81:81)+100</f>
        <v>102</v>
      </c>
      <c r="K19" s="898">
        <v>2</v>
      </c>
      <c r="L19" s="2127"/>
      <c r="M19" s="2119"/>
      <c r="N19" s="2119"/>
      <c r="O19" s="2126"/>
      <c r="P19" s="4321"/>
      <c r="Q19" s="1558" t="str">
        <f>B19</f>
        <v>公共配套设施</v>
      </c>
      <c r="R19" s="1559" t="s">
        <v>8</v>
      </c>
      <c r="S19" s="1560">
        <f>F19</f>
        <v>100</v>
      </c>
      <c r="T19" s="1559" t="s">
        <v>8</v>
      </c>
      <c r="U19" s="1560">
        <f>H19</f>
        <v>102</v>
      </c>
      <c r="V19" s="1559" t="s">
        <v>8</v>
      </c>
      <c r="W19" s="1560">
        <f>J19</f>
        <v>102</v>
      </c>
      <c r="X19" s="1553"/>
      <c r="Y19" s="4321"/>
      <c r="Z19" s="1561" t="str">
        <f>Q19</f>
        <v>公共配套设施</v>
      </c>
      <c r="AA19" s="1562">
        <f t="shared" si="3"/>
        <v>1</v>
      </c>
      <c r="AB19" s="1562">
        <f t="shared" si="4"/>
        <v>0.98039215686274506</v>
      </c>
      <c r="AC19" s="1562">
        <f t="shared" si="5"/>
        <v>0.98039215686274506</v>
      </c>
    </row>
    <row r="20" spans="1:29" ht="15">
      <c r="A20" s="532"/>
      <c r="B20" s="595"/>
      <c r="C20" s="576" t="s">
        <v>3014</v>
      </c>
      <c r="D20" s="555"/>
      <c r="E20" s="556" t="s">
        <v>3014</v>
      </c>
      <c r="F20" s="557"/>
      <c r="G20" s="558" t="s">
        <v>3013</v>
      </c>
      <c r="H20" s="555"/>
      <c r="I20" s="556" t="s">
        <v>3013</v>
      </c>
      <c r="J20" s="555"/>
      <c r="K20" s="899"/>
      <c r="L20" s="2127"/>
      <c r="M20" s="2119"/>
      <c r="N20" s="2119"/>
      <c r="O20" s="2126"/>
      <c r="P20" s="4321"/>
      <c r="Q20" s="1558"/>
      <c r="R20" s="1559"/>
      <c r="S20" s="1560"/>
      <c r="T20" s="1559"/>
      <c r="U20" s="1560"/>
      <c r="V20" s="1559"/>
      <c r="W20" s="1560"/>
      <c r="X20" s="1553"/>
      <c r="Y20" s="4321"/>
      <c r="Z20" s="1561"/>
      <c r="AA20" s="1562">
        <v>1</v>
      </c>
      <c r="AB20" s="1562">
        <v>1</v>
      </c>
      <c r="AC20" s="1562">
        <v>1</v>
      </c>
    </row>
    <row r="21" spans="1:29" ht="28.5">
      <c r="A21" s="532"/>
      <c r="B21" s="2557" t="s">
        <v>2556</v>
      </c>
      <c r="C21" s="872" t="str">
        <f>估价对象房地状况!C8</f>
        <v>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v>1</v>
      </c>
      <c r="L21" s="2127"/>
      <c r="M21" s="2119"/>
      <c r="N21" s="2119"/>
      <c r="O21" s="2126"/>
      <c r="P21" s="4321"/>
      <c r="Q21" s="2543" t="str">
        <f>B21</f>
        <v>基础设施水平</v>
      </c>
      <c r="R21" s="1559" t="s">
        <v>8</v>
      </c>
      <c r="S21" s="1560">
        <f>F21</f>
        <v>100</v>
      </c>
      <c r="T21" s="1559" t="s">
        <v>8</v>
      </c>
      <c r="U21" s="1560">
        <f>H21</f>
        <v>100</v>
      </c>
      <c r="V21" s="1559" t="s">
        <v>8</v>
      </c>
      <c r="W21" s="1560">
        <f>J21</f>
        <v>100</v>
      </c>
      <c r="X21" s="2545"/>
      <c r="Y21" s="4321"/>
      <c r="Z21" s="2544" t="str">
        <f>Q21</f>
        <v>基础设施水平</v>
      </c>
      <c r="AA21" s="1562">
        <f t="shared" ref="AA21" si="8">D21/F21</f>
        <v>1</v>
      </c>
      <c r="AB21" s="1562">
        <f t="shared" ref="AB21" si="9">D21/H21</f>
        <v>1</v>
      </c>
      <c r="AC21" s="1562">
        <f t="shared" ref="AC21" si="10">D21/J21</f>
        <v>1</v>
      </c>
    </row>
    <row r="22" spans="1:29" ht="15">
      <c r="A22" s="532"/>
      <c r="B22" s="922"/>
      <c r="C22" s="873" t="s">
        <v>3029</v>
      </c>
      <c r="D22" s="555"/>
      <c r="E22" s="576" t="s">
        <v>3029</v>
      </c>
      <c r="F22" s="557"/>
      <c r="G22" s="576" t="s">
        <v>3029</v>
      </c>
      <c r="H22" s="555"/>
      <c r="I22" s="576" t="s">
        <v>3029</v>
      </c>
      <c r="J22" s="555"/>
      <c r="K22" s="2566"/>
      <c r="L22" s="2127"/>
      <c r="M22" s="2119"/>
      <c r="N22" s="2119"/>
      <c r="O22" s="2126"/>
      <c r="P22" s="4321"/>
      <c r="Q22" s="2543"/>
      <c r="R22" s="1559"/>
      <c r="S22" s="1560"/>
      <c r="T22" s="1559"/>
      <c r="U22" s="1560"/>
      <c r="V22" s="1559"/>
      <c r="W22" s="1560"/>
      <c r="X22" s="2545"/>
      <c r="Y22" s="4321"/>
      <c r="Z22" s="2544"/>
      <c r="AA22" s="1562">
        <v>1</v>
      </c>
      <c r="AB22" s="1562">
        <v>1</v>
      </c>
      <c r="AC22" s="1562">
        <v>1</v>
      </c>
    </row>
    <row r="23" spans="1:29" ht="85.5">
      <c r="A23" s="532"/>
      <c r="B23" s="871" t="s">
        <v>297</v>
      </c>
      <c r="C23" s="900" t="str">
        <f>估价对象房地状况!C9</f>
        <v>周边自然环境（项目内部天鹅湖）；人文环境（潼南区图书馆），综合评价环境状况较好；</v>
      </c>
      <c r="D23" s="559">
        <v>100</v>
      </c>
      <c r="E23" s="562"/>
      <c r="F23" s="563">
        <f>SUMIF(84:84,E24,85:85)-SUMIF(84:84,C24,85:85)+100</f>
        <v>100</v>
      </c>
      <c r="G23" s="564"/>
      <c r="H23" s="559">
        <f>SUMIF(84:84,G24,85:85)-SUMIF(84:84,C24,85:85)+100</f>
        <v>100</v>
      </c>
      <c r="I23" s="562"/>
      <c r="J23" s="559">
        <f>SUMIF(84:84,I24,85:85)-SUMIF(84:84,C24,85:85)+100</f>
        <v>100</v>
      </c>
      <c r="K23" s="898">
        <v>2</v>
      </c>
      <c r="L23" s="2127"/>
      <c r="M23" s="2119"/>
      <c r="N23" s="2119"/>
      <c r="O23" s="2126"/>
      <c r="P23" s="4321"/>
      <c r="Q23" s="1558" t="str">
        <f>B23</f>
        <v>自然及人文环境</v>
      </c>
      <c r="R23" s="1559" t="s">
        <v>8</v>
      </c>
      <c r="S23" s="1560">
        <f>F23</f>
        <v>100</v>
      </c>
      <c r="T23" s="1559" t="s">
        <v>8</v>
      </c>
      <c r="U23" s="1560">
        <f>H23</f>
        <v>100</v>
      </c>
      <c r="V23" s="1559" t="s">
        <v>8</v>
      </c>
      <c r="W23" s="1560">
        <f>J23</f>
        <v>100</v>
      </c>
      <c r="X23" s="1553"/>
      <c r="Y23" s="4321"/>
      <c r="Z23" s="1561" t="str">
        <f>Q23</f>
        <v>自然及人文环境</v>
      </c>
      <c r="AA23" s="1562">
        <f t="shared" si="3"/>
        <v>1</v>
      </c>
      <c r="AB23" s="1562">
        <f t="shared" si="4"/>
        <v>1</v>
      </c>
      <c r="AC23" s="1562">
        <f t="shared" si="5"/>
        <v>1</v>
      </c>
    </row>
    <row r="24" spans="1:29" ht="15">
      <c r="A24" s="532"/>
      <c r="B24" s="595"/>
      <c r="C24" s="576" t="s">
        <v>3013</v>
      </c>
      <c r="D24" s="555"/>
      <c r="E24" s="556" t="s">
        <v>3013</v>
      </c>
      <c r="F24" s="557"/>
      <c r="G24" s="558" t="s">
        <v>3013</v>
      </c>
      <c r="H24" s="555"/>
      <c r="I24" s="556" t="s">
        <v>3013</v>
      </c>
      <c r="J24" s="555"/>
      <c r="K24" s="899"/>
      <c r="L24" s="2127"/>
      <c r="M24" s="2119"/>
      <c r="N24" s="2119"/>
      <c r="O24" s="2126"/>
      <c r="P24" s="4321"/>
      <c r="Q24" s="1558"/>
      <c r="R24" s="1559"/>
      <c r="S24" s="1560"/>
      <c r="T24" s="1559"/>
      <c r="U24" s="1560"/>
      <c r="V24" s="1559"/>
      <c r="W24" s="1560"/>
      <c r="X24" s="1553"/>
      <c r="Y24" s="4321"/>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4321"/>
      <c r="Q25" s="1558" t="str">
        <f t="shared" ref="Q25:Q46" si="11">B25</f>
        <v>临街状况</v>
      </c>
      <c r="R25" s="1559" t="s">
        <v>8</v>
      </c>
      <c r="S25" s="1560">
        <f>F25</f>
        <v>100</v>
      </c>
      <c r="T25" s="1559" t="s">
        <v>8</v>
      </c>
      <c r="U25" s="1560">
        <f>H25</f>
        <v>100</v>
      </c>
      <c r="V25" s="1559" t="s">
        <v>8</v>
      </c>
      <c r="W25" s="1560">
        <f>J25</f>
        <v>100</v>
      </c>
      <c r="X25" s="1553"/>
      <c r="Y25" s="4321"/>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4321"/>
      <c r="Q26" s="1558" t="str">
        <f t="shared" si="11"/>
        <v>平面位置/可视性</v>
      </c>
      <c r="R26" s="1559" t="s">
        <v>8</v>
      </c>
      <c r="S26" s="1560">
        <f>F26</f>
        <v>100</v>
      </c>
      <c r="T26" s="1559" t="s">
        <v>8</v>
      </c>
      <c r="U26" s="1560">
        <f>H26</f>
        <v>100</v>
      </c>
      <c r="V26" s="1559" t="s">
        <v>8</v>
      </c>
      <c r="W26" s="1560">
        <f>J26</f>
        <v>100</v>
      </c>
      <c r="X26" s="1553"/>
      <c r="Y26" s="4321"/>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4321"/>
      <c r="Q27" s="1147" t="str">
        <f t="shared" si="11"/>
        <v>人流量</v>
      </c>
      <c r="R27" s="1554" t="s">
        <v>8</v>
      </c>
      <c r="S27" s="1555">
        <f>F27</f>
        <v>100</v>
      </c>
      <c r="T27" s="1554" t="s">
        <v>8</v>
      </c>
      <c r="U27" s="1555">
        <f>H27</f>
        <v>100</v>
      </c>
      <c r="V27" s="1554" t="s">
        <v>8</v>
      </c>
      <c r="W27" s="1555">
        <f>J27</f>
        <v>100</v>
      </c>
      <c r="X27" s="1556"/>
      <c r="Y27" s="4321"/>
      <c r="Z27" s="1146" t="str">
        <f>Q27</f>
        <v>人流量</v>
      </c>
      <c r="AA27" s="1562">
        <f>D27/F27</f>
        <v>1</v>
      </c>
      <c r="AB27" s="1562">
        <f>D27/H27</f>
        <v>1</v>
      </c>
      <c r="AC27" s="1562">
        <f>D27/J27</f>
        <v>1</v>
      </c>
    </row>
    <row r="28" spans="1:29" ht="15">
      <c r="A28" s="532"/>
      <c r="B28" s="527" t="s">
        <v>761</v>
      </c>
      <c r="C28" s="583" t="s">
        <v>3610</v>
      </c>
      <c r="D28" s="540">
        <v>100</v>
      </c>
      <c r="E28" s="583">
        <v>1</v>
      </c>
      <c r="F28" s="575">
        <f>SUMIF(92:92,E28,93:93)-SUMIF(92:92,C28,93:93)+100</f>
        <v>125</v>
      </c>
      <c r="G28" s="583">
        <v>1</v>
      </c>
      <c r="H28" s="540">
        <f>SUMIF(92:92,G28,93:93)-SUMIF(92:92,C28,93:93)+100</f>
        <v>125</v>
      </c>
      <c r="I28" s="583">
        <v>1</v>
      </c>
      <c r="J28" s="540">
        <f>SUMIF(92:92,I28,93:93)-SUMIF(92:92,C28,93:93)+100</f>
        <v>125</v>
      </c>
      <c r="K28" s="581"/>
      <c r="L28" s="2127"/>
      <c r="M28" s="2119"/>
      <c r="N28" s="2119"/>
      <c r="O28" s="2126"/>
      <c r="P28" s="4321"/>
      <c r="Q28" s="1558" t="str">
        <f t="shared" si="11"/>
        <v>楼层</v>
      </c>
      <c r="R28" s="1559" t="s">
        <v>8</v>
      </c>
      <c r="S28" s="1560">
        <f t="shared" ref="S28:S46" si="12">F28</f>
        <v>125</v>
      </c>
      <c r="T28" s="1559" t="s">
        <v>8</v>
      </c>
      <c r="U28" s="1560">
        <f t="shared" ref="U28:U46" si="13">H28</f>
        <v>125</v>
      </c>
      <c r="V28" s="1559" t="s">
        <v>8</v>
      </c>
      <c r="W28" s="1560">
        <f t="shared" ref="W28:W46" si="14">J28</f>
        <v>125</v>
      </c>
      <c r="X28" s="1553"/>
      <c r="Y28" s="4321"/>
      <c r="Z28" s="1561" t="str">
        <f t="shared" ref="Z28:Z46" si="15">Q28</f>
        <v>楼层</v>
      </c>
      <c r="AA28" s="1562">
        <f t="shared" si="3"/>
        <v>0.8</v>
      </c>
      <c r="AB28" s="1562">
        <f t="shared" si="4"/>
        <v>0.8</v>
      </c>
      <c r="AC28" s="1562">
        <f t="shared" si="5"/>
        <v>0.8</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4321"/>
      <c r="Q29" s="1558">
        <f t="shared" si="11"/>
        <v>111</v>
      </c>
      <c r="R29" s="1559" t="s">
        <v>8</v>
      </c>
      <c r="S29" s="1560">
        <f t="shared" si="12"/>
        <v>100</v>
      </c>
      <c r="T29" s="1559" t="s">
        <v>8</v>
      </c>
      <c r="U29" s="1560">
        <f t="shared" si="13"/>
        <v>100</v>
      </c>
      <c r="V29" s="1559" t="s">
        <v>8</v>
      </c>
      <c r="W29" s="1560">
        <f t="shared" si="14"/>
        <v>100</v>
      </c>
      <c r="X29" s="1553"/>
      <c r="Y29" s="432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4321"/>
      <c r="Q30" s="1558">
        <f t="shared" si="11"/>
        <v>111</v>
      </c>
      <c r="R30" s="1559" t="s">
        <v>8</v>
      </c>
      <c r="S30" s="1560">
        <f t="shared" si="12"/>
        <v>100</v>
      </c>
      <c r="T30" s="1559" t="s">
        <v>8</v>
      </c>
      <c r="U30" s="1560">
        <f t="shared" si="13"/>
        <v>100</v>
      </c>
      <c r="V30" s="1559" t="s">
        <v>8</v>
      </c>
      <c r="W30" s="1560">
        <f t="shared" si="14"/>
        <v>100</v>
      </c>
      <c r="X30" s="1553"/>
      <c r="Y30" s="4321"/>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4321"/>
      <c r="Q31" s="1558">
        <f t="shared" si="11"/>
        <v>111</v>
      </c>
      <c r="R31" s="1559" t="s">
        <v>8</v>
      </c>
      <c r="S31" s="1560">
        <f t="shared" si="12"/>
        <v>100</v>
      </c>
      <c r="T31" s="1559" t="s">
        <v>8</v>
      </c>
      <c r="U31" s="1560">
        <f t="shared" si="13"/>
        <v>100</v>
      </c>
      <c r="V31" s="1559" t="s">
        <v>8</v>
      </c>
      <c r="W31" s="1560">
        <f t="shared" si="14"/>
        <v>100</v>
      </c>
      <c r="X31" s="1553"/>
      <c r="Y31" s="4321"/>
      <c r="Z31" s="1561">
        <f t="shared" si="15"/>
        <v>111</v>
      </c>
      <c r="AA31" s="1562">
        <f t="shared" si="3"/>
        <v>1</v>
      </c>
      <c r="AB31" s="1562">
        <f t="shared" si="4"/>
        <v>1</v>
      </c>
      <c r="AC31" s="1562">
        <f t="shared" si="5"/>
        <v>1</v>
      </c>
    </row>
    <row r="32" spans="1:29" ht="15">
      <c r="A32" s="2862"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4322" t="s">
        <v>550</v>
      </c>
      <c r="Q32" s="1558" t="str">
        <f t="shared" si="11"/>
        <v>商业类型</v>
      </c>
      <c r="R32" s="1559" t="s">
        <v>8</v>
      </c>
      <c r="S32" s="1560">
        <f t="shared" si="12"/>
        <v>100</v>
      </c>
      <c r="T32" s="1559" t="s">
        <v>8</v>
      </c>
      <c r="U32" s="1560">
        <f t="shared" si="13"/>
        <v>100</v>
      </c>
      <c r="V32" s="1559" t="s">
        <v>8</v>
      </c>
      <c r="W32" s="1560">
        <f t="shared" si="14"/>
        <v>100</v>
      </c>
      <c r="X32" s="1553"/>
      <c r="Y32" s="4323" t="s">
        <v>550</v>
      </c>
      <c r="Z32" s="1561" t="str">
        <f t="shared" si="15"/>
        <v>商业类型</v>
      </c>
      <c r="AA32" s="1562">
        <f t="shared" si="3"/>
        <v>1</v>
      </c>
      <c r="AB32" s="1562">
        <f t="shared" si="4"/>
        <v>1</v>
      </c>
      <c r="AC32" s="1562">
        <f t="shared" si="5"/>
        <v>1</v>
      </c>
    </row>
    <row r="33" spans="1:29" s="1335" customFormat="1" ht="15">
      <c r="A33" s="603"/>
      <c r="B33" s="527" t="s">
        <v>726</v>
      </c>
      <c r="C33" s="880">
        <v>1</v>
      </c>
      <c r="D33" s="255">
        <v>100</v>
      </c>
      <c r="E33" s="534">
        <v>1</v>
      </c>
      <c r="F33" s="863">
        <f>LOOKUP(E33,103:103,104:104)-LOOKUP(C33,103:103,104:104)+100</f>
        <v>100</v>
      </c>
      <c r="G33" s="533">
        <v>1</v>
      </c>
      <c r="H33" s="255">
        <f>LOOKUP(G33,103:103,104:104)-LOOKUP(C33,103:103,104:104)+100</f>
        <v>100</v>
      </c>
      <c r="I33" s="533">
        <v>1</v>
      </c>
      <c r="J33" s="255">
        <f>LOOKUP(I33,103:103,104:104)-LOOKUP(C33,103:103,104:104)+100</f>
        <v>100</v>
      </c>
      <c r="K33" s="581"/>
      <c r="L33" s="2125"/>
      <c r="M33" s="2156"/>
      <c r="N33" s="2156"/>
      <c r="O33" s="2128"/>
      <c r="P33" s="4323"/>
      <c r="Q33" s="1590" t="str">
        <f t="shared" si="11"/>
        <v>项目建筑规模</v>
      </c>
      <c r="R33" s="1563" t="s">
        <v>8</v>
      </c>
      <c r="S33" s="1564">
        <f t="shared" si="12"/>
        <v>100</v>
      </c>
      <c r="T33" s="1563" t="s">
        <v>8</v>
      </c>
      <c r="U33" s="1564">
        <f t="shared" si="13"/>
        <v>100</v>
      </c>
      <c r="V33" s="1563" t="s">
        <v>8</v>
      </c>
      <c r="W33" s="1564">
        <f t="shared" si="14"/>
        <v>100</v>
      </c>
      <c r="X33" s="1565"/>
      <c r="Y33" s="4323"/>
      <c r="Z33" s="1566" t="str">
        <f t="shared" si="15"/>
        <v>项目建筑规模</v>
      </c>
      <c r="AA33" s="1562">
        <f t="shared" si="3"/>
        <v>1</v>
      </c>
      <c r="AB33" s="1562">
        <f t="shared" si="4"/>
        <v>1</v>
      </c>
      <c r="AC33" s="1562">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4323"/>
      <c r="Q34" s="1558" t="str">
        <f t="shared" si="11"/>
        <v>建筑结构</v>
      </c>
      <c r="R34" s="1559" t="s">
        <v>8</v>
      </c>
      <c r="S34" s="1560">
        <f t="shared" si="12"/>
        <v>100</v>
      </c>
      <c r="T34" s="1559" t="s">
        <v>8</v>
      </c>
      <c r="U34" s="1560">
        <f t="shared" si="13"/>
        <v>100</v>
      </c>
      <c r="V34" s="1559" t="s">
        <v>8</v>
      </c>
      <c r="W34" s="1560">
        <f t="shared" si="14"/>
        <v>100</v>
      </c>
      <c r="X34" s="1553"/>
      <c r="Y34" s="4323"/>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4323"/>
      <c r="Q35" s="1558" t="str">
        <f t="shared" si="11"/>
        <v>公共部分装修</v>
      </c>
      <c r="R35" s="1559" t="s">
        <v>8</v>
      </c>
      <c r="S35" s="1560">
        <f t="shared" si="12"/>
        <v>100</v>
      </c>
      <c r="T35" s="1559" t="s">
        <v>8</v>
      </c>
      <c r="U35" s="1560">
        <f t="shared" si="13"/>
        <v>100</v>
      </c>
      <c r="V35" s="1559" t="s">
        <v>8</v>
      </c>
      <c r="W35" s="1560">
        <f t="shared" si="14"/>
        <v>100</v>
      </c>
      <c r="X35" s="1553"/>
      <c r="Y35" s="4323"/>
      <c r="Z35" s="1561" t="str">
        <f t="shared" si="15"/>
        <v>公共部分装修</v>
      </c>
      <c r="AA35" s="1562">
        <f t="shared" si="3"/>
        <v>1</v>
      </c>
      <c r="AB35" s="1562">
        <f t="shared" si="4"/>
        <v>1</v>
      </c>
      <c r="AC35" s="1562">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27"/>
      <c r="M36" s="2119"/>
      <c r="N36" s="2119"/>
      <c r="O36" s="2126"/>
      <c r="P36" s="4323"/>
      <c r="Q36" s="1558" t="str">
        <f t="shared" si="11"/>
        <v>成新度</v>
      </c>
      <c r="R36" s="1559" t="s">
        <v>8</v>
      </c>
      <c r="S36" s="1560">
        <f t="shared" si="12"/>
        <v>100</v>
      </c>
      <c r="T36" s="1559" t="s">
        <v>8</v>
      </c>
      <c r="U36" s="1560">
        <f t="shared" si="13"/>
        <v>100</v>
      </c>
      <c r="V36" s="1559" t="s">
        <v>8</v>
      </c>
      <c r="W36" s="1560">
        <f t="shared" si="14"/>
        <v>100</v>
      </c>
      <c r="X36" s="1553"/>
      <c r="Y36" s="4323"/>
      <c r="Z36" s="1561" t="str">
        <f t="shared" si="15"/>
        <v>成新度</v>
      </c>
      <c r="AA36" s="1562">
        <f t="shared" si="3"/>
        <v>1</v>
      </c>
      <c r="AB36" s="1562">
        <f t="shared" si="4"/>
        <v>1</v>
      </c>
      <c r="AC36" s="1562">
        <f t="shared" si="5"/>
        <v>1</v>
      </c>
    </row>
    <row r="37" spans="1:29" s="1216" customFormat="1" ht="15">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4323"/>
      <c r="Q37" s="1147" t="str">
        <f t="shared" si="11"/>
        <v>市政基础设施</v>
      </c>
      <c r="R37" s="1554" t="s">
        <v>8</v>
      </c>
      <c r="S37" s="1555">
        <f t="shared" si="12"/>
        <v>100</v>
      </c>
      <c r="T37" s="1554" t="s">
        <v>8</v>
      </c>
      <c r="U37" s="1555">
        <f t="shared" si="13"/>
        <v>100</v>
      </c>
      <c r="V37" s="1554" t="s">
        <v>8</v>
      </c>
      <c r="W37" s="1555">
        <f t="shared" si="14"/>
        <v>100</v>
      </c>
      <c r="X37" s="1556"/>
      <c r="Y37" s="4323"/>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4323" t="s">
        <v>766</v>
      </c>
      <c r="Q38" s="1558" t="str">
        <f t="shared" si="11"/>
        <v>业态</v>
      </c>
      <c r="R38" s="1559" t="s">
        <v>8</v>
      </c>
      <c r="S38" s="1560">
        <f t="shared" si="12"/>
        <v>100</v>
      </c>
      <c r="T38" s="1559" t="s">
        <v>8</v>
      </c>
      <c r="U38" s="1560">
        <f t="shared" si="13"/>
        <v>100</v>
      </c>
      <c r="V38" s="1559" t="s">
        <v>8</v>
      </c>
      <c r="W38" s="1560">
        <f t="shared" si="14"/>
        <v>100</v>
      </c>
      <c r="X38" s="1553"/>
      <c r="Y38" s="4323"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4323"/>
      <c r="Q39" s="1558" t="str">
        <f t="shared" si="11"/>
        <v>层高</v>
      </c>
      <c r="R39" s="1559" t="s">
        <v>8</v>
      </c>
      <c r="S39" s="1560">
        <f t="shared" si="12"/>
        <v>100</v>
      </c>
      <c r="T39" s="1559" t="s">
        <v>8</v>
      </c>
      <c r="U39" s="1560">
        <f t="shared" si="13"/>
        <v>100</v>
      </c>
      <c r="V39" s="1559" t="s">
        <v>8</v>
      </c>
      <c r="W39" s="1560">
        <f t="shared" si="14"/>
        <v>100</v>
      </c>
      <c r="X39" s="1553"/>
      <c r="Y39" s="4323"/>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4323"/>
      <c r="Q40" s="1558" t="str">
        <f t="shared" si="11"/>
        <v>单套建筑面积</v>
      </c>
      <c r="R40" s="1559" t="s">
        <v>8</v>
      </c>
      <c r="S40" s="1560">
        <f t="shared" si="12"/>
        <v>100</v>
      </c>
      <c r="T40" s="1559" t="s">
        <v>8</v>
      </c>
      <c r="U40" s="1560">
        <f t="shared" si="13"/>
        <v>100</v>
      </c>
      <c r="V40" s="1559" t="s">
        <v>8</v>
      </c>
      <c r="W40" s="1560">
        <f t="shared" si="14"/>
        <v>100</v>
      </c>
      <c r="X40" s="1553"/>
      <c r="Y40" s="4323"/>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4323"/>
      <c r="Q41" s="1590" t="str">
        <f t="shared" si="11"/>
        <v>进深比</v>
      </c>
      <c r="R41" s="1563" t="s">
        <v>8</v>
      </c>
      <c r="S41" s="1564">
        <f t="shared" si="12"/>
        <v>100</v>
      </c>
      <c r="T41" s="1563" t="s">
        <v>8</v>
      </c>
      <c r="U41" s="1564">
        <f t="shared" si="13"/>
        <v>100</v>
      </c>
      <c r="V41" s="1563" t="s">
        <v>8</v>
      </c>
      <c r="W41" s="1564">
        <f t="shared" si="14"/>
        <v>100</v>
      </c>
      <c r="X41" s="1565"/>
      <c r="Y41" s="4323"/>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4323"/>
      <c r="Q42" s="1558" t="str">
        <f t="shared" si="11"/>
        <v>内部装修</v>
      </c>
      <c r="R42" s="1559" t="s">
        <v>8</v>
      </c>
      <c r="S42" s="1560">
        <f t="shared" si="12"/>
        <v>100</v>
      </c>
      <c r="T42" s="1559" t="s">
        <v>8</v>
      </c>
      <c r="U42" s="1560">
        <f t="shared" si="13"/>
        <v>100</v>
      </c>
      <c r="V42" s="1559" t="s">
        <v>8</v>
      </c>
      <c r="W42" s="1560">
        <f t="shared" si="14"/>
        <v>100</v>
      </c>
      <c r="X42" s="1553"/>
      <c r="Y42" s="4323"/>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4323"/>
      <c r="Q43" s="1558" t="str">
        <f t="shared" si="11"/>
        <v>内部装修维护情况</v>
      </c>
      <c r="R43" s="1559" t="s">
        <v>8</v>
      </c>
      <c r="S43" s="1560">
        <f t="shared" si="12"/>
        <v>100</v>
      </c>
      <c r="T43" s="1559" t="s">
        <v>8</v>
      </c>
      <c r="U43" s="1560">
        <f t="shared" si="13"/>
        <v>100</v>
      </c>
      <c r="V43" s="1559" t="s">
        <v>8</v>
      </c>
      <c r="W43" s="1560">
        <f t="shared" si="14"/>
        <v>100</v>
      </c>
      <c r="X43" s="1553"/>
      <c r="Y43" s="4323"/>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4323"/>
      <c r="Q44" s="1147">
        <f t="shared" si="11"/>
        <v>111</v>
      </c>
      <c r="R44" s="1554" t="s">
        <v>8</v>
      </c>
      <c r="S44" s="1555">
        <f t="shared" si="12"/>
        <v>100</v>
      </c>
      <c r="T44" s="1554" t="s">
        <v>8</v>
      </c>
      <c r="U44" s="1555">
        <f t="shared" si="13"/>
        <v>100</v>
      </c>
      <c r="V44" s="1554" t="s">
        <v>8</v>
      </c>
      <c r="W44" s="1555">
        <f t="shared" si="14"/>
        <v>100</v>
      </c>
      <c r="X44" s="1556"/>
      <c r="Y44" s="4323"/>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4323"/>
      <c r="Q45" s="1558">
        <f t="shared" si="11"/>
        <v>111</v>
      </c>
      <c r="R45" s="1559" t="s">
        <v>8</v>
      </c>
      <c r="S45" s="1560">
        <f t="shared" si="12"/>
        <v>100</v>
      </c>
      <c r="T45" s="1559" t="s">
        <v>8</v>
      </c>
      <c r="U45" s="1560">
        <f t="shared" si="13"/>
        <v>100</v>
      </c>
      <c r="V45" s="1559" t="s">
        <v>8</v>
      </c>
      <c r="W45" s="1560">
        <f t="shared" si="14"/>
        <v>100</v>
      </c>
      <c r="X45" s="1553"/>
      <c r="Y45" s="4323"/>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4404"/>
      <c r="Q46" s="1558">
        <f t="shared" si="11"/>
        <v>111</v>
      </c>
      <c r="R46" s="1559" t="s">
        <v>8</v>
      </c>
      <c r="S46" s="1560">
        <f t="shared" si="12"/>
        <v>100</v>
      </c>
      <c r="T46" s="1559" t="s">
        <v>8</v>
      </c>
      <c r="U46" s="1560">
        <f t="shared" si="13"/>
        <v>100</v>
      </c>
      <c r="V46" s="1559" t="s">
        <v>8</v>
      </c>
      <c r="W46" s="1560">
        <f t="shared" si="14"/>
        <v>100</v>
      </c>
      <c r="X46" s="1553"/>
      <c r="Y46" s="4404"/>
      <c r="Z46" s="1561">
        <f t="shared" si="15"/>
        <v>111</v>
      </c>
      <c r="AA46" s="1562">
        <f t="shared" si="3"/>
        <v>1</v>
      </c>
      <c r="AB46" s="1562">
        <f t="shared" si="4"/>
        <v>1</v>
      </c>
      <c r="AC46" s="1562">
        <f t="shared" si="5"/>
        <v>1</v>
      </c>
    </row>
    <row r="47" spans="1:29" ht="15">
      <c r="A47" s="607" t="s">
        <v>736</v>
      </c>
      <c r="B47" s="887"/>
      <c r="C47" s="2591" t="s">
        <v>1</v>
      </c>
      <c r="D47" s="2592"/>
      <c r="E47" s="2593">
        <v>13000</v>
      </c>
      <c r="F47" s="2594"/>
      <c r="G47" s="2595">
        <v>13500</v>
      </c>
      <c r="H47" s="2596"/>
      <c r="I47" s="2593">
        <v>14800</v>
      </c>
      <c r="J47" s="2596"/>
      <c r="K47" s="1596"/>
      <c r="L47" s="2129"/>
      <c r="M47" s="2130"/>
      <c r="N47" s="2119"/>
      <c r="O47" s="2130"/>
      <c r="P47" s="4286" t="str">
        <f>A47</f>
        <v>成交单价（元/平方米）</v>
      </c>
      <c r="Q47" s="4286"/>
      <c r="R47" s="4403">
        <f>E47</f>
        <v>13000</v>
      </c>
      <c r="S47" s="4403"/>
      <c r="T47" s="4403">
        <f>G47</f>
        <v>13500</v>
      </c>
      <c r="U47" s="4403"/>
      <c r="V47" s="4403">
        <f>I47</f>
        <v>14800</v>
      </c>
      <c r="W47" s="4403"/>
      <c r="X47" s="1545"/>
      <c r="Y47" s="1567"/>
      <c r="Z47" s="1545"/>
      <c r="AA47" s="1545"/>
      <c r="AB47" s="1545"/>
      <c r="AC47" s="1545"/>
    </row>
    <row r="48" spans="1:29" ht="15.75" thickBot="1">
      <c r="A48" s="615" t="s">
        <v>2758</v>
      </c>
      <c r="B48" s="888"/>
      <c r="C48" s="2597">
        <f>R49</f>
        <v>11396</v>
      </c>
      <c r="D48" s="2598"/>
      <c r="E48" s="2599">
        <f>R48</f>
        <v>10833</v>
      </c>
      <c r="F48" s="2599"/>
      <c r="G48" s="2597">
        <f>T48</f>
        <v>11264</v>
      </c>
      <c r="H48" s="2598"/>
      <c r="I48" s="2599">
        <f>V48</f>
        <v>12092</v>
      </c>
      <c r="J48" s="2598"/>
      <c r="K48" s="1597"/>
      <c r="L48" s="2129"/>
      <c r="M48" s="2130"/>
      <c r="N48" s="2119"/>
      <c r="O48" s="2130"/>
      <c r="P48" s="4286" t="str">
        <f>A48</f>
        <v>比较价格（元/平方米）</v>
      </c>
      <c r="Q48" s="4286"/>
      <c r="R48" s="4403">
        <f>IF(F1="售价",ROUND(PRODUCT(R47,AA7:AA46),0),ROUND(PRODUCT(R47,AA7:AA46),1))</f>
        <v>10833</v>
      </c>
      <c r="S48" s="4403"/>
      <c r="T48" s="4403">
        <f>IF(F1="售价",ROUND(PRODUCT(T47,AB7:AB46),0),ROUND(PRODUCT(T47,AB7:AB46),1))</f>
        <v>11264</v>
      </c>
      <c r="U48" s="4403"/>
      <c r="V48" s="4403">
        <f>IF(F1="售价",ROUND(PRODUCT(V47,AC7:AC46),0),ROUND(PRODUCT(V47,AC7:AC46),1))</f>
        <v>12092</v>
      </c>
      <c r="W48" s="4403"/>
      <c r="X48" s="1545"/>
      <c r="Y48" s="1545"/>
      <c r="Z48" s="1545"/>
      <c r="AA48" s="1545"/>
      <c r="AB48" s="1545"/>
      <c r="AC48" s="1545"/>
    </row>
    <row r="49" spans="1:29" ht="15.75" thickBot="1">
      <c r="A49" s="621" t="s">
        <v>2931</v>
      </c>
      <c r="B49" s="622"/>
      <c r="C49" s="2600">
        <f>R49</f>
        <v>11396</v>
      </c>
      <c r="D49" s="2600"/>
      <c r="E49" s="2600"/>
      <c r="F49" s="2600"/>
      <c r="G49" s="2600"/>
      <c r="H49" s="2600"/>
      <c r="I49" s="2600"/>
      <c r="J49" s="2600"/>
      <c r="K49" s="1598"/>
      <c r="L49" s="2129"/>
      <c r="M49" s="2130"/>
      <c r="N49" s="2119"/>
      <c r="O49" s="2130"/>
      <c r="P49" s="4283" t="str">
        <f>A49</f>
        <v>估价对象XX用房的比较价格（楼面单价，元/平方米）</v>
      </c>
      <c r="Q49" s="4284"/>
      <c r="R49" s="4402">
        <f>IF(F1="售价",ROUND(AVERAGE(R48:V48),0),ROUND(AVERAGE(R48:V48),1))</f>
        <v>11396</v>
      </c>
      <c r="S49" s="4402"/>
      <c r="T49" s="4402"/>
      <c r="U49" s="4402"/>
      <c r="V49" s="4402"/>
      <c r="W49" s="440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0.20003692421305264</v>
      </c>
      <c r="F52" s="627" t="str">
        <f>IF(OR(E52&gt;=0.3,E52&lt;=-0.3),"超过30%","")</f>
        <v/>
      </c>
      <c r="G52" s="626">
        <f>IF(G47&lt;G48,G48/G47-1,G47/G48-1)</f>
        <v>0.19850852272727271</v>
      </c>
      <c r="H52" s="627" t="str">
        <f>IF(OR(G52&gt;=0.3,G52&lt;=-0.3),"超过30%","")</f>
        <v/>
      </c>
      <c r="I52" s="626">
        <f>IF(I47&lt;I48,I48/I47-1,I47/I48-1)</f>
        <v>0.22394971882236181</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3.9785839564294267E-2</v>
      </c>
      <c r="F53" s="627" t="str">
        <f>IF(OR(E53&gt;=0.2,E53&lt;=-0.2),"超过20%","")</f>
        <v/>
      </c>
      <c r="G53" s="626">
        <f>IF(G48&lt;I48,I48/G48-1,G48/I48-1)</f>
        <v>7.3508522727272707E-2</v>
      </c>
      <c r="H53" s="627" t="str">
        <f>IF(OR(G53&gt;=0.2,G53&lt;=-0.2),"超过20%","")</f>
        <v/>
      </c>
      <c r="I53" s="626">
        <f>IF(I48&lt;E48,E48/I48-1,I48/E48-1)</f>
        <v>0.11621896058340253</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3.8461538461538547E-2</v>
      </c>
      <c r="F54" s="627" t="str">
        <f>IF(OR(E54&gt;=0.3,E54&lt;=-0.3),"超过30%","")</f>
        <v/>
      </c>
      <c r="G54" s="626">
        <f>IF(G47&lt;I47,I47/G47-1,G47/I47-1)</f>
        <v>9.6296296296296324E-2</v>
      </c>
      <c r="H54" s="627" t="str">
        <f>IF(OR(G54&gt;=0.3,G54&lt;=-0.3),"超过30%","")</f>
        <v/>
      </c>
      <c r="I54" s="626">
        <f>IF(I47&lt;E47,E47/I47-1,I47/E47-1)</f>
        <v>0.13846153846153841</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2019-7</v>
      </c>
      <c r="D58" s="2759">
        <f>EDATE(C58,-1)</f>
        <v>43617</v>
      </c>
      <c r="E58" s="2759">
        <f t="shared" ref="E58:O58" si="16">EDATE(D58,-1)</f>
        <v>43586</v>
      </c>
      <c r="F58" s="2759">
        <f t="shared" si="16"/>
        <v>43556</v>
      </c>
      <c r="G58" s="2759">
        <f t="shared" si="16"/>
        <v>43525</v>
      </c>
      <c r="H58" s="2759">
        <f t="shared" si="16"/>
        <v>43497</v>
      </c>
      <c r="I58" s="2759">
        <f t="shared" si="16"/>
        <v>43466</v>
      </c>
      <c r="J58" s="2759">
        <f t="shared" si="16"/>
        <v>43435</v>
      </c>
      <c r="K58" s="2759">
        <f t="shared" si="16"/>
        <v>43405</v>
      </c>
      <c r="L58" s="2759">
        <f t="shared" si="16"/>
        <v>43374</v>
      </c>
      <c r="M58" s="2759">
        <f t="shared" si="16"/>
        <v>43344</v>
      </c>
      <c r="N58" s="2759">
        <f t="shared" si="16"/>
        <v>43313</v>
      </c>
      <c r="O58" s="2759">
        <f t="shared" si="16"/>
        <v>43282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t="str">
        <f>C9</f>
        <v>商业</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3726" t="s">
        <v>3608</v>
      </c>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99</v>
      </c>
      <c r="H66" s="679">
        <f>G66-$K10</f>
        <v>98</v>
      </c>
      <c r="I66" s="679">
        <f>H66-$K10</f>
        <v>97</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4（含）-5</v>
      </c>
      <c r="H67" s="682" t="str">
        <f t="shared" si="17"/>
        <v>5（含）-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v>5</v>
      </c>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3188" t="s">
        <v>3607</v>
      </c>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3188" t="s">
        <v>3606</v>
      </c>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3188" t="s">
        <v>3605</v>
      </c>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v>1</v>
      </c>
      <c r="D92" s="3727" t="s">
        <v>3611</v>
      </c>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v>100</v>
      </c>
      <c r="D93" s="671">
        <v>75</v>
      </c>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1(含)-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1</v>
      </c>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88" t="s">
        <v>3600</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3188" t="s">
        <v>3604</v>
      </c>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2554</v>
      </c>
      <c r="C112" s="3188" t="s">
        <v>3601</v>
      </c>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3188" t="s">
        <v>3603</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3190" t="s">
        <v>3599</v>
      </c>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88" t="s">
        <v>3602</v>
      </c>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4292" t="s">
        <v>522</v>
      </c>
      <c r="D4" s="4293"/>
      <c r="E4" s="4326" t="s">
        <v>523</v>
      </c>
      <c r="F4" s="4327"/>
      <c r="G4" s="4292" t="s">
        <v>524</v>
      </c>
      <c r="H4" s="4293"/>
      <c r="I4" s="4292" t="s">
        <v>525</v>
      </c>
      <c r="J4" s="4293"/>
      <c r="K4" s="514" t="s">
        <v>526</v>
      </c>
      <c r="L4" s="2118"/>
      <c r="M4" s="2119"/>
      <c r="N4" s="2119"/>
      <c r="O4" s="2119"/>
      <c r="P4" s="4408" t="s">
        <v>527</v>
      </c>
      <c r="Q4" s="4295"/>
      <c r="R4" s="4300" t="s">
        <v>523</v>
      </c>
      <c r="S4" s="4301"/>
      <c r="T4" s="4300" t="s">
        <v>524</v>
      </c>
      <c r="U4" s="4301"/>
      <c r="V4" s="4287" t="s">
        <v>525</v>
      </c>
      <c r="W4" s="4287"/>
      <c r="X4" s="1553"/>
      <c r="Y4" s="4300" t="s">
        <v>527</v>
      </c>
      <c r="Z4" s="4301"/>
      <c r="AA4" s="4289" t="s">
        <v>523</v>
      </c>
      <c r="AB4" s="4289" t="s">
        <v>524</v>
      </c>
      <c r="AC4" s="4289" t="s">
        <v>525</v>
      </c>
    </row>
    <row r="5" spans="1:29" ht="15">
      <c r="A5" s="515"/>
      <c r="B5" s="516"/>
      <c r="C5" s="4308" t="s">
        <v>2925</v>
      </c>
      <c r="D5" s="4309"/>
      <c r="E5" s="4328" t="s">
        <v>2926</v>
      </c>
      <c r="F5" s="4329"/>
      <c r="G5" s="4308" t="s">
        <v>2927</v>
      </c>
      <c r="H5" s="4309"/>
      <c r="I5" s="4308" t="s">
        <v>2928</v>
      </c>
      <c r="J5" s="4309"/>
      <c r="K5" s="514"/>
      <c r="L5" s="2118"/>
      <c r="M5" s="2119"/>
      <c r="N5" s="2119"/>
      <c r="O5" s="2119"/>
      <c r="P5" s="4409"/>
      <c r="Q5" s="4297"/>
      <c r="R5" s="4302"/>
      <c r="S5" s="4303"/>
      <c r="T5" s="4302"/>
      <c r="U5" s="4303"/>
      <c r="V5" s="4287"/>
      <c r="W5" s="4287"/>
      <c r="X5" s="1553"/>
      <c r="Y5" s="4302"/>
      <c r="Z5" s="4303"/>
      <c r="AA5" s="4290"/>
      <c r="AB5" s="4290"/>
      <c r="AC5" s="4290"/>
    </row>
    <row r="6" spans="1:29" ht="15.75" thickBot="1">
      <c r="A6" s="517"/>
      <c r="B6" s="518"/>
      <c r="C6" s="4306" t="s">
        <v>2929</v>
      </c>
      <c r="D6" s="4307"/>
      <c r="E6" s="4324" t="s">
        <v>2929</v>
      </c>
      <c r="F6" s="4325"/>
      <c r="G6" s="4306" t="s">
        <v>2929</v>
      </c>
      <c r="H6" s="4307"/>
      <c r="I6" s="4306" t="s">
        <v>2929</v>
      </c>
      <c r="J6" s="4307"/>
      <c r="K6" s="514" t="s">
        <v>528</v>
      </c>
      <c r="L6" s="2118"/>
      <c r="M6" s="2119"/>
      <c r="N6" s="2119"/>
      <c r="O6" s="2119"/>
      <c r="P6" s="4410"/>
      <c r="Q6" s="4299"/>
      <c r="R6" s="4302"/>
      <c r="S6" s="4303"/>
      <c r="T6" s="4304"/>
      <c r="U6" s="4305"/>
      <c r="V6" s="4287"/>
      <c r="W6" s="4287"/>
      <c r="X6" s="1553"/>
      <c r="Y6" s="4304"/>
      <c r="Z6" s="4305"/>
      <c r="AA6" s="4291"/>
      <c r="AB6" s="4291"/>
      <c r="AC6" s="4291"/>
    </row>
    <row r="7" spans="1:29" s="1216" customFormat="1" ht="15.75" thickBot="1">
      <c r="A7" s="2867"/>
      <c r="B7" s="2874" t="s">
        <v>529</v>
      </c>
      <c r="C7" s="519">
        <f>'数据-取费表'!B2</f>
        <v>43647</v>
      </c>
      <c r="D7" s="520">
        <v>100</v>
      </c>
      <c r="E7" s="521"/>
      <c r="F7" s="522">
        <f>SUMIF(59:59,YEAR(E7)&amp;"-"&amp;MONTH(E7),60:60)</f>
        <v>0</v>
      </c>
      <c r="G7" s="521"/>
      <c r="H7" s="520">
        <f>SUMIF(59:59,YEAR(G7)&amp;"-"&amp;MONTH(G7),60:60)</f>
        <v>0</v>
      </c>
      <c r="I7" s="521"/>
      <c r="J7" s="520">
        <f>SUMIF(59:59,YEAR(I7)&amp;"-"&amp;MONTH(I7),60:60)</f>
        <v>0</v>
      </c>
      <c r="K7" s="524"/>
      <c r="L7" s="2120"/>
      <c r="M7" s="2121"/>
      <c r="N7" s="2121"/>
      <c r="O7" s="2121"/>
      <c r="P7" s="4319" t="s">
        <v>530</v>
      </c>
      <c r="Q7" s="4319"/>
      <c r="R7" s="1554" t="s">
        <v>8</v>
      </c>
      <c r="S7" s="1555">
        <f t="shared" ref="S7:S15" si="0">F7</f>
        <v>0</v>
      </c>
      <c r="T7" s="1554" t="s">
        <v>8</v>
      </c>
      <c r="U7" s="1555">
        <f t="shared" ref="U7:U15" si="1">H7</f>
        <v>0</v>
      </c>
      <c r="V7" s="1554" t="s">
        <v>8</v>
      </c>
      <c r="W7" s="1555">
        <f t="shared" ref="W7:W15" si="2">J7</f>
        <v>0</v>
      </c>
      <c r="X7" s="1556"/>
      <c r="Y7" s="4317" t="s">
        <v>530</v>
      </c>
      <c r="Z7" s="4318"/>
      <c r="AA7" s="1557" t="e">
        <f>D7/F7</f>
        <v>#DIV/0!</v>
      </c>
      <c r="AB7" s="1557" t="e">
        <f>D7/H7</f>
        <v>#DIV/0!</v>
      </c>
      <c r="AC7" s="1557"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4319" t="s">
        <v>533</v>
      </c>
      <c r="Q8" s="4318"/>
      <c r="R8" s="1554" t="s">
        <v>8</v>
      </c>
      <c r="S8" s="1555">
        <f t="shared" si="0"/>
        <v>0</v>
      </c>
      <c r="T8" s="1554" t="s">
        <v>8</v>
      </c>
      <c r="U8" s="1555">
        <f t="shared" si="1"/>
        <v>0</v>
      </c>
      <c r="V8" s="1554" t="s">
        <v>8</v>
      </c>
      <c r="W8" s="1555">
        <f t="shared" si="2"/>
        <v>0</v>
      </c>
      <c r="X8" s="1556"/>
      <c r="Y8" s="4317" t="s">
        <v>533</v>
      </c>
      <c r="Z8" s="4318"/>
      <c r="AA8" s="1557" t="e">
        <f t="shared" ref="AA8:AA47" si="3">D8/F8</f>
        <v>#DIV/0!</v>
      </c>
      <c r="AB8" s="1557" t="e">
        <f t="shared" ref="AB8:AB47" si="4">D8/H8</f>
        <v>#DIV/0!</v>
      </c>
      <c r="AC8" s="1557" t="e">
        <f t="shared" ref="AC8:AC47" si="5">D8/J8</f>
        <v>#DIV/0!</v>
      </c>
    </row>
    <row r="9" spans="1:29" s="1216" customFormat="1" ht="15">
      <c r="A9" s="2869"/>
      <c r="B9" s="2876" t="s">
        <v>2754</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4286" t="s">
        <v>535</v>
      </c>
      <c r="Q9" s="1147" t="str">
        <f t="shared" ref="Q9:Q15" si="6">B9</f>
        <v>用途</v>
      </c>
      <c r="R9" s="1554" t="s">
        <v>8</v>
      </c>
      <c r="S9" s="1555">
        <f t="shared" si="0"/>
        <v>100</v>
      </c>
      <c r="T9" s="1554" t="s">
        <v>8</v>
      </c>
      <c r="U9" s="1555">
        <f t="shared" si="1"/>
        <v>100</v>
      </c>
      <c r="V9" s="1554" t="s">
        <v>8</v>
      </c>
      <c r="W9" s="1555">
        <f t="shared" si="2"/>
        <v>100</v>
      </c>
      <c r="X9" s="1556"/>
      <c r="Y9" s="4232" t="s">
        <v>536</v>
      </c>
      <c r="Z9" s="1146" t="str">
        <f t="shared" ref="Z9:Z15" si="7">Q9</f>
        <v>用途</v>
      </c>
      <c r="AA9" s="1557">
        <f t="shared" si="3"/>
        <v>1</v>
      </c>
      <c r="AB9" s="1557">
        <f t="shared" si="4"/>
        <v>1</v>
      </c>
      <c r="AC9" s="1557">
        <f t="shared" si="5"/>
        <v>1</v>
      </c>
    </row>
    <row r="10" spans="1:29" s="1334" customFormat="1" ht="27">
      <c r="A10" s="2870"/>
      <c r="B10" s="2875" t="s">
        <v>2755</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4286"/>
      <c r="Q10" s="1147" t="str">
        <f t="shared" si="6"/>
        <v>土地使用年限（年）</v>
      </c>
      <c r="R10" s="1554" t="s">
        <v>8</v>
      </c>
      <c r="S10" s="1555">
        <f t="shared" si="0"/>
        <v>100</v>
      </c>
      <c r="T10" s="1554" t="s">
        <v>8</v>
      </c>
      <c r="U10" s="1555">
        <f t="shared" si="1"/>
        <v>100</v>
      </c>
      <c r="V10" s="1554" t="s">
        <v>8</v>
      </c>
      <c r="W10" s="1555">
        <f t="shared" si="2"/>
        <v>100</v>
      </c>
      <c r="X10" s="1556"/>
      <c r="Y10" s="4232"/>
      <c r="Z10" s="1146" t="str">
        <f t="shared" si="7"/>
        <v>土地使用年限（年）</v>
      </c>
      <c r="AA10" s="1557">
        <f t="shared" si="3"/>
        <v>1</v>
      </c>
      <c r="AB10" s="1557">
        <f t="shared" si="4"/>
        <v>1</v>
      </c>
      <c r="AC10" s="1557">
        <f t="shared" si="5"/>
        <v>1</v>
      </c>
    </row>
    <row r="11" spans="1:29" ht="15">
      <c r="A11" s="2871"/>
      <c r="B11" s="2875"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4286"/>
      <c r="Q11" s="1147" t="str">
        <f t="shared" si="6"/>
        <v>容积率</v>
      </c>
      <c r="R11" s="1554" t="s">
        <v>8</v>
      </c>
      <c r="S11" s="1555" t="e">
        <f t="shared" si="0"/>
        <v>#N/A</v>
      </c>
      <c r="T11" s="1554" t="s">
        <v>8</v>
      </c>
      <c r="U11" s="1555" t="e">
        <f t="shared" si="1"/>
        <v>#N/A</v>
      </c>
      <c r="V11" s="1554" t="s">
        <v>8</v>
      </c>
      <c r="W11" s="1555" t="e">
        <f t="shared" si="2"/>
        <v>#N/A</v>
      </c>
      <c r="X11" s="1556"/>
      <c r="Y11" s="4232"/>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4286"/>
      <c r="Q12" s="1147">
        <f t="shared" si="6"/>
        <v>111</v>
      </c>
      <c r="R12" s="1554" t="s">
        <v>8</v>
      </c>
      <c r="S12" s="1555">
        <f t="shared" si="0"/>
        <v>100</v>
      </c>
      <c r="T12" s="1554" t="s">
        <v>8</v>
      </c>
      <c r="U12" s="1555">
        <f t="shared" si="1"/>
        <v>100</v>
      </c>
      <c r="V12" s="1554" t="s">
        <v>8</v>
      </c>
      <c r="W12" s="1555">
        <f t="shared" si="2"/>
        <v>100</v>
      </c>
      <c r="X12" s="1556"/>
      <c r="Y12" s="4232"/>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4286"/>
      <c r="Q13" s="1147">
        <f t="shared" si="6"/>
        <v>111</v>
      </c>
      <c r="R13" s="1554" t="s">
        <v>8</v>
      </c>
      <c r="S13" s="1555">
        <f t="shared" si="0"/>
        <v>100</v>
      </c>
      <c r="T13" s="1554" t="s">
        <v>8</v>
      </c>
      <c r="U13" s="1555">
        <f t="shared" si="1"/>
        <v>100</v>
      </c>
      <c r="V13" s="1554" t="s">
        <v>8</v>
      </c>
      <c r="W13" s="1555">
        <f t="shared" si="2"/>
        <v>100</v>
      </c>
      <c r="X13" s="1556"/>
      <c r="Y13" s="4232"/>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4286"/>
      <c r="Q14" s="1147">
        <f t="shared" si="6"/>
        <v>111</v>
      </c>
      <c r="R14" s="1554" t="s">
        <v>8</v>
      </c>
      <c r="S14" s="1555">
        <f t="shared" si="0"/>
        <v>100</v>
      </c>
      <c r="T14" s="1554" t="s">
        <v>8</v>
      </c>
      <c r="U14" s="1555">
        <f t="shared" si="1"/>
        <v>100</v>
      </c>
      <c r="V14" s="1554" t="s">
        <v>8</v>
      </c>
      <c r="W14" s="1555">
        <f t="shared" si="2"/>
        <v>100</v>
      </c>
      <c r="X14" s="1556"/>
      <c r="Y14" s="4232"/>
      <c r="Z14" s="1146">
        <f t="shared" si="7"/>
        <v>111</v>
      </c>
      <c r="AA14" s="1557">
        <f t="shared" si="3"/>
        <v>1</v>
      </c>
      <c r="AB14" s="1557">
        <f t="shared" si="4"/>
        <v>1</v>
      </c>
      <c r="AC14" s="1557">
        <f t="shared" si="5"/>
        <v>1</v>
      </c>
    </row>
    <row r="15" spans="1:29" ht="71.25">
      <c r="A15" s="2865"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4320" t="s">
        <v>540</v>
      </c>
      <c r="Q15" s="1558" t="str">
        <f t="shared" si="6"/>
        <v>办公集聚程度</v>
      </c>
      <c r="R15" s="1559" t="s">
        <v>8</v>
      </c>
      <c r="S15" s="1560">
        <f t="shared" si="0"/>
        <v>100</v>
      </c>
      <c r="T15" s="1559" t="s">
        <v>8</v>
      </c>
      <c r="U15" s="1560">
        <f t="shared" si="1"/>
        <v>100</v>
      </c>
      <c r="V15" s="1559" t="s">
        <v>8</v>
      </c>
      <c r="W15" s="1560">
        <f t="shared" si="2"/>
        <v>100</v>
      </c>
      <c r="X15" s="1553"/>
      <c r="Y15" s="4320"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4321"/>
      <c r="Q16" s="1558"/>
      <c r="R16" s="1559"/>
      <c r="S16" s="1560"/>
      <c r="T16" s="1559"/>
      <c r="U16" s="1560"/>
      <c r="V16" s="1559"/>
      <c r="W16" s="1560"/>
      <c r="X16" s="1553"/>
      <c r="Y16" s="4321"/>
      <c r="Z16" s="1561"/>
      <c r="AA16" s="1562">
        <v>1</v>
      </c>
      <c r="AB16" s="1562">
        <v>1</v>
      </c>
      <c r="AC16" s="1562">
        <v>1</v>
      </c>
    </row>
    <row r="17" spans="1:29" ht="128.25">
      <c r="A17" s="532"/>
      <c r="B17" s="560" t="s">
        <v>296</v>
      </c>
      <c r="C17" s="573" t="str">
        <f>估价对象房地状况!C6</f>
        <v>周边道路密集程度一般、公共交通通达情况一般，有107路，203路、等公交线路通过，停车便捷程度一般，综合评价交通便捷度一般。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4321"/>
      <c r="Q17" s="1558" t="str">
        <f>B17</f>
        <v>交通便捷度</v>
      </c>
      <c r="R17" s="1559" t="s">
        <v>8</v>
      </c>
      <c r="S17" s="1560">
        <f>F17</f>
        <v>100</v>
      </c>
      <c r="T17" s="1559" t="s">
        <v>8</v>
      </c>
      <c r="U17" s="1560">
        <f>H17</f>
        <v>100</v>
      </c>
      <c r="V17" s="1559" t="s">
        <v>8</v>
      </c>
      <c r="W17" s="1560">
        <f>J17</f>
        <v>100</v>
      </c>
      <c r="X17" s="1553"/>
      <c r="Y17" s="4321"/>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4321"/>
      <c r="Q18" s="1558"/>
      <c r="R18" s="1559"/>
      <c r="S18" s="1560"/>
      <c r="T18" s="1559"/>
      <c r="U18" s="1560"/>
      <c r="V18" s="1559"/>
      <c r="W18" s="1560"/>
      <c r="X18" s="1553"/>
      <c r="Y18" s="4321"/>
      <c r="Z18" s="1561"/>
      <c r="AA18" s="1562">
        <v>1</v>
      </c>
      <c r="AB18" s="1562">
        <v>1</v>
      </c>
      <c r="AC18" s="1562">
        <v>1</v>
      </c>
    </row>
    <row r="19" spans="1:29" ht="128.25">
      <c r="A19" s="532"/>
      <c r="B19" s="2567" t="s">
        <v>2544</v>
      </c>
      <c r="C19" s="573" t="str">
        <f>估价对象房地状况!C7</f>
        <v>所在区域2公里范围内有银行（中国邮政储蓄银行）、学校（巴川中学）、商业（无）、医院（无）等配套设施，公共配套设施一般；</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4321"/>
      <c r="Q19" s="1558" t="str">
        <f>B19</f>
        <v>公共配套设施</v>
      </c>
      <c r="R19" s="1559" t="s">
        <v>8</v>
      </c>
      <c r="S19" s="1560">
        <f>F19</f>
        <v>100</v>
      </c>
      <c r="T19" s="1559" t="s">
        <v>8</v>
      </c>
      <c r="U19" s="1560">
        <f>H19</f>
        <v>100</v>
      </c>
      <c r="V19" s="1559" t="s">
        <v>8</v>
      </c>
      <c r="W19" s="1560">
        <f>J19</f>
        <v>100</v>
      </c>
      <c r="X19" s="1553"/>
      <c r="Y19" s="4321"/>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4321"/>
      <c r="Q20" s="1558"/>
      <c r="R20" s="1559"/>
      <c r="S20" s="1560"/>
      <c r="T20" s="1559"/>
      <c r="U20" s="1560"/>
      <c r="V20" s="1559"/>
      <c r="W20" s="1560"/>
      <c r="X20" s="1553"/>
      <c r="Y20" s="4321"/>
      <c r="Z20" s="1561"/>
      <c r="AA20" s="1562">
        <v>1</v>
      </c>
      <c r="AB20" s="1562">
        <v>1</v>
      </c>
      <c r="AC20" s="1562">
        <v>1</v>
      </c>
    </row>
    <row r="21" spans="1:29" ht="28.5">
      <c r="A21" s="532"/>
      <c r="B21" s="2555" t="s">
        <v>2556</v>
      </c>
      <c r="C21" s="573" t="str">
        <f>估价对象房地状况!C8</f>
        <v>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4321"/>
      <c r="Q21" s="2543" t="str">
        <f>B21</f>
        <v>基础设施水平</v>
      </c>
      <c r="R21" s="1559" t="s">
        <v>8</v>
      </c>
      <c r="S21" s="1560">
        <f>F21</f>
        <v>100</v>
      </c>
      <c r="T21" s="1559" t="s">
        <v>8</v>
      </c>
      <c r="U21" s="1560">
        <f>H21</f>
        <v>100</v>
      </c>
      <c r="V21" s="1559" t="s">
        <v>8</v>
      </c>
      <c r="W21" s="1560">
        <f>J21</f>
        <v>100</v>
      </c>
      <c r="X21" s="2545"/>
      <c r="Y21" s="4321"/>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4321"/>
      <c r="Q22" s="2543"/>
      <c r="R22" s="1559"/>
      <c r="S22" s="1560"/>
      <c r="T22" s="1559"/>
      <c r="U22" s="1560"/>
      <c r="V22" s="1559"/>
      <c r="W22" s="1560"/>
      <c r="X22" s="2545"/>
      <c r="Y22" s="4321"/>
      <c r="Z22" s="2544"/>
      <c r="AA22" s="1562">
        <v>1</v>
      </c>
      <c r="AB22" s="1562">
        <v>1</v>
      </c>
      <c r="AC22" s="1562">
        <v>1</v>
      </c>
    </row>
    <row r="23" spans="1:29" ht="85.5">
      <c r="A23" s="532"/>
      <c r="B23" s="560" t="s">
        <v>778</v>
      </c>
      <c r="C23" s="573" t="str">
        <f>估价对象房地状况!C9</f>
        <v>周边自然环境（项目内部天鹅湖）；人文环境（潼南区图书馆），综合评价环境状况较好；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4321"/>
      <c r="Q23" s="1558" t="str">
        <f>B23</f>
        <v>环境质量</v>
      </c>
      <c r="R23" s="1559" t="s">
        <v>8</v>
      </c>
      <c r="S23" s="1560">
        <f>F23</f>
        <v>100</v>
      </c>
      <c r="T23" s="1559" t="s">
        <v>8</v>
      </c>
      <c r="U23" s="1560">
        <f>H23</f>
        <v>100</v>
      </c>
      <c r="V23" s="1559" t="s">
        <v>8</v>
      </c>
      <c r="W23" s="1560">
        <f>J23</f>
        <v>100</v>
      </c>
      <c r="X23" s="1553"/>
      <c r="Y23" s="4321"/>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4321"/>
      <c r="Q24" s="1558"/>
      <c r="R24" s="1559"/>
      <c r="S24" s="1560"/>
      <c r="T24" s="1559"/>
      <c r="U24" s="1560"/>
      <c r="V24" s="1559"/>
      <c r="W24" s="1560"/>
      <c r="X24" s="1553"/>
      <c r="Y24" s="4321"/>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4321"/>
      <c r="Q25" s="1558" t="str">
        <f>B25</f>
        <v>毗邻道路的类型与等级</v>
      </c>
      <c r="R25" s="1559" t="s">
        <v>8</v>
      </c>
      <c r="S25" s="1560">
        <f>F25</f>
        <v>100</v>
      </c>
      <c r="T25" s="1559" t="s">
        <v>8</v>
      </c>
      <c r="U25" s="1560">
        <f>H25</f>
        <v>100</v>
      </c>
      <c r="V25" s="1559" t="s">
        <v>8</v>
      </c>
      <c r="W25" s="1560">
        <f>J25</f>
        <v>100</v>
      </c>
      <c r="X25" s="1553"/>
      <c r="Y25" s="4321"/>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4321"/>
      <c r="Q26" s="1558"/>
      <c r="R26" s="1559"/>
      <c r="S26" s="1560"/>
      <c r="T26" s="1559"/>
      <c r="U26" s="1560"/>
      <c r="V26" s="1559"/>
      <c r="W26" s="1560"/>
      <c r="X26" s="1553"/>
      <c r="Y26" s="4321"/>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4321"/>
      <c r="Q27" s="1558" t="str">
        <f t="shared" ref="Q27:Q47" si="11">B27</f>
        <v>楼层</v>
      </c>
      <c r="R27" s="1559" t="s">
        <v>8</v>
      </c>
      <c r="S27" s="1560">
        <f>F27</f>
        <v>100</v>
      </c>
      <c r="T27" s="1559" t="s">
        <v>8</v>
      </c>
      <c r="U27" s="1560">
        <f>H27</f>
        <v>100</v>
      </c>
      <c r="V27" s="1559" t="s">
        <v>8</v>
      </c>
      <c r="W27" s="1560">
        <f>J27</f>
        <v>100</v>
      </c>
      <c r="X27" s="1553"/>
      <c r="Y27" s="4321"/>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4321"/>
      <c r="Q28" s="1147" t="str">
        <f t="shared" si="11"/>
        <v>朝向</v>
      </c>
      <c r="R28" s="1554" t="s">
        <v>8</v>
      </c>
      <c r="S28" s="1555">
        <f>F28</f>
        <v>100</v>
      </c>
      <c r="T28" s="1554" t="s">
        <v>8</v>
      </c>
      <c r="U28" s="1555">
        <f>H28</f>
        <v>100</v>
      </c>
      <c r="V28" s="1554" t="s">
        <v>8</v>
      </c>
      <c r="W28" s="1555">
        <f>J28</f>
        <v>100</v>
      </c>
      <c r="X28" s="1556"/>
      <c r="Y28" s="4321"/>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4321"/>
      <c r="Q29" s="1558">
        <f t="shared" si="11"/>
        <v>111</v>
      </c>
      <c r="R29" s="1559" t="s">
        <v>8</v>
      </c>
      <c r="S29" s="1560">
        <f t="shared" ref="S29:S47" si="12">F29</f>
        <v>100</v>
      </c>
      <c r="T29" s="1559" t="s">
        <v>8</v>
      </c>
      <c r="U29" s="1560">
        <f t="shared" ref="U29:U47" si="13">H29</f>
        <v>100</v>
      </c>
      <c r="V29" s="1559" t="s">
        <v>8</v>
      </c>
      <c r="W29" s="1560">
        <f t="shared" ref="W29:W47" si="14">J29</f>
        <v>100</v>
      </c>
      <c r="X29" s="1553"/>
      <c r="Y29" s="4321"/>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4321"/>
      <c r="Q30" s="1558">
        <f t="shared" si="11"/>
        <v>111</v>
      </c>
      <c r="R30" s="1559" t="s">
        <v>8</v>
      </c>
      <c r="S30" s="1560">
        <f t="shared" si="12"/>
        <v>100</v>
      </c>
      <c r="T30" s="1559" t="s">
        <v>8</v>
      </c>
      <c r="U30" s="1560">
        <f t="shared" si="13"/>
        <v>100</v>
      </c>
      <c r="V30" s="1559" t="s">
        <v>8</v>
      </c>
      <c r="W30" s="1560">
        <f t="shared" si="14"/>
        <v>100</v>
      </c>
      <c r="X30" s="1553"/>
      <c r="Y30" s="4321"/>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4321"/>
      <c r="Q31" s="1558">
        <f t="shared" si="11"/>
        <v>111</v>
      </c>
      <c r="R31" s="1559" t="s">
        <v>8</v>
      </c>
      <c r="S31" s="1560">
        <f t="shared" si="12"/>
        <v>100</v>
      </c>
      <c r="T31" s="1559" t="s">
        <v>8</v>
      </c>
      <c r="U31" s="1560">
        <f t="shared" si="13"/>
        <v>100</v>
      </c>
      <c r="V31" s="1559" t="s">
        <v>8</v>
      </c>
      <c r="W31" s="1560">
        <f t="shared" si="14"/>
        <v>100</v>
      </c>
      <c r="X31" s="1553"/>
      <c r="Y31" s="4321"/>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4321"/>
      <c r="Q32" s="1558">
        <f t="shared" si="11"/>
        <v>111</v>
      </c>
      <c r="R32" s="1559" t="s">
        <v>8</v>
      </c>
      <c r="S32" s="1560">
        <f t="shared" si="12"/>
        <v>100</v>
      </c>
      <c r="T32" s="1559" t="s">
        <v>8</v>
      </c>
      <c r="U32" s="1560">
        <f t="shared" si="13"/>
        <v>100</v>
      </c>
      <c r="V32" s="1559" t="s">
        <v>8</v>
      </c>
      <c r="W32" s="1560">
        <f t="shared" si="14"/>
        <v>100</v>
      </c>
      <c r="X32" s="1553"/>
      <c r="Y32" s="4321"/>
      <c r="Z32" s="1561">
        <f t="shared" si="15"/>
        <v>111</v>
      </c>
      <c r="AA32" s="1562">
        <f t="shared" si="3"/>
        <v>1</v>
      </c>
      <c r="AB32" s="1562">
        <f t="shared" si="4"/>
        <v>1</v>
      </c>
      <c r="AC32" s="1562">
        <f t="shared" si="5"/>
        <v>1</v>
      </c>
    </row>
    <row r="33" spans="1:29" ht="15">
      <c r="A33" s="2862"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4322" t="s">
        <v>550</v>
      </c>
      <c r="Q33" s="1558" t="str">
        <f t="shared" si="11"/>
        <v>建筑类型</v>
      </c>
      <c r="R33" s="1559" t="s">
        <v>8</v>
      </c>
      <c r="S33" s="1560">
        <f t="shared" si="12"/>
        <v>100</v>
      </c>
      <c r="T33" s="1559" t="s">
        <v>8</v>
      </c>
      <c r="U33" s="1560">
        <f t="shared" si="13"/>
        <v>100</v>
      </c>
      <c r="V33" s="1559" t="s">
        <v>8</v>
      </c>
      <c r="W33" s="1560">
        <f t="shared" si="14"/>
        <v>100</v>
      </c>
      <c r="X33" s="1553"/>
      <c r="Y33" s="4323"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4323"/>
      <c r="Q34" s="1590" t="str">
        <f t="shared" si="11"/>
        <v>项目建筑规模</v>
      </c>
      <c r="R34" s="1563" t="s">
        <v>8</v>
      </c>
      <c r="S34" s="1564" t="e">
        <f t="shared" si="12"/>
        <v>#N/A</v>
      </c>
      <c r="T34" s="1563" t="s">
        <v>8</v>
      </c>
      <c r="U34" s="1564" t="e">
        <f t="shared" si="13"/>
        <v>#N/A</v>
      </c>
      <c r="V34" s="1563" t="s">
        <v>8</v>
      </c>
      <c r="W34" s="1564" t="e">
        <f t="shared" si="14"/>
        <v>#N/A</v>
      </c>
      <c r="X34" s="1565"/>
      <c r="Y34" s="4323"/>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4323"/>
      <c r="Q35" s="1558" t="str">
        <f t="shared" si="11"/>
        <v>建筑结构</v>
      </c>
      <c r="R35" s="1559" t="s">
        <v>8</v>
      </c>
      <c r="S35" s="1560">
        <f t="shared" si="12"/>
        <v>100</v>
      </c>
      <c r="T35" s="1559" t="s">
        <v>8</v>
      </c>
      <c r="U35" s="1560">
        <f t="shared" si="13"/>
        <v>100</v>
      </c>
      <c r="V35" s="1559" t="s">
        <v>8</v>
      </c>
      <c r="W35" s="1560">
        <f t="shared" si="14"/>
        <v>100</v>
      </c>
      <c r="X35" s="1553"/>
      <c r="Y35" s="4323"/>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4323"/>
      <c r="Q36" s="1558" t="str">
        <f t="shared" si="11"/>
        <v>公共部分装修</v>
      </c>
      <c r="R36" s="1559" t="s">
        <v>8</v>
      </c>
      <c r="S36" s="1560">
        <f t="shared" si="12"/>
        <v>100</v>
      </c>
      <c r="T36" s="1559" t="s">
        <v>8</v>
      </c>
      <c r="U36" s="1560">
        <f t="shared" si="13"/>
        <v>100</v>
      </c>
      <c r="V36" s="1559" t="s">
        <v>8</v>
      </c>
      <c r="W36" s="1560">
        <f t="shared" si="14"/>
        <v>100</v>
      </c>
      <c r="X36" s="1553"/>
      <c r="Y36" s="4323"/>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4323"/>
      <c r="Q37" s="1558" t="str">
        <f t="shared" si="11"/>
        <v>成新度</v>
      </c>
      <c r="R37" s="1559" t="s">
        <v>8</v>
      </c>
      <c r="S37" s="1560" t="e">
        <f t="shared" si="12"/>
        <v>#N/A</v>
      </c>
      <c r="T37" s="1559" t="s">
        <v>8</v>
      </c>
      <c r="U37" s="1560" t="e">
        <f t="shared" si="13"/>
        <v>#N/A</v>
      </c>
      <c r="V37" s="1559" t="s">
        <v>8</v>
      </c>
      <c r="W37" s="1560" t="e">
        <f t="shared" si="14"/>
        <v>#N/A</v>
      </c>
      <c r="X37" s="1553"/>
      <c r="Y37" s="4323"/>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4323"/>
      <c r="Q38" s="1147" t="str">
        <f t="shared" si="11"/>
        <v>写字楼等级</v>
      </c>
      <c r="R38" s="1554" t="s">
        <v>8</v>
      </c>
      <c r="S38" s="1555">
        <f t="shared" si="12"/>
        <v>100</v>
      </c>
      <c r="T38" s="1554" t="s">
        <v>8</v>
      </c>
      <c r="U38" s="1555">
        <f t="shared" si="13"/>
        <v>100</v>
      </c>
      <c r="V38" s="1554" t="s">
        <v>8</v>
      </c>
      <c r="W38" s="1555">
        <f t="shared" si="14"/>
        <v>100</v>
      </c>
      <c r="X38" s="1556"/>
      <c r="Y38" s="4323"/>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4323" t="s">
        <v>550</v>
      </c>
      <c r="Q39" s="1558" t="str">
        <f t="shared" si="11"/>
        <v>物业管理</v>
      </c>
      <c r="R39" s="1559" t="s">
        <v>8</v>
      </c>
      <c r="S39" s="1560">
        <f t="shared" si="12"/>
        <v>100</v>
      </c>
      <c r="T39" s="1559" t="s">
        <v>8</v>
      </c>
      <c r="U39" s="1560">
        <f t="shared" si="13"/>
        <v>100</v>
      </c>
      <c r="V39" s="1559" t="s">
        <v>8</v>
      </c>
      <c r="W39" s="1560">
        <f t="shared" si="14"/>
        <v>100</v>
      </c>
      <c r="X39" s="1553"/>
      <c r="Y39" s="4323" t="s">
        <v>550</v>
      </c>
      <c r="Z39" s="1561" t="str">
        <f t="shared" si="15"/>
        <v>物业管理</v>
      </c>
      <c r="AA39" s="1562">
        <f t="shared" si="3"/>
        <v>1</v>
      </c>
      <c r="AB39" s="1562">
        <f t="shared" si="4"/>
        <v>1</v>
      </c>
      <c r="AC39" s="1562">
        <f t="shared" si="5"/>
        <v>1</v>
      </c>
    </row>
    <row r="40" spans="1:29" ht="15">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4323"/>
      <c r="Q40" s="1558" t="str">
        <f t="shared" si="11"/>
        <v>市政基础设施</v>
      </c>
      <c r="R40" s="1559" t="s">
        <v>8</v>
      </c>
      <c r="S40" s="1560">
        <f t="shared" si="12"/>
        <v>100</v>
      </c>
      <c r="T40" s="1559" t="s">
        <v>8</v>
      </c>
      <c r="U40" s="1560">
        <f t="shared" si="13"/>
        <v>100</v>
      </c>
      <c r="V40" s="1559" t="s">
        <v>8</v>
      </c>
      <c r="W40" s="1560">
        <f t="shared" si="14"/>
        <v>100</v>
      </c>
      <c r="X40" s="1553"/>
      <c r="Y40" s="4323"/>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4323"/>
      <c r="Q41" s="1558" t="str">
        <f t="shared" si="11"/>
        <v>层高</v>
      </c>
      <c r="R41" s="1559" t="s">
        <v>8</v>
      </c>
      <c r="S41" s="1560">
        <f t="shared" si="12"/>
        <v>100</v>
      </c>
      <c r="T41" s="1559" t="s">
        <v>8</v>
      </c>
      <c r="U41" s="1560">
        <f t="shared" si="13"/>
        <v>100</v>
      </c>
      <c r="V41" s="1559" t="s">
        <v>8</v>
      </c>
      <c r="W41" s="1560">
        <f t="shared" si="14"/>
        <v>100</v>
      </c>
      <c r="X41" s="1553"/>
      <c r="Y41" s="4323"/>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4323"/>
      <c r="Q42" s="1590" t="str">
        <f t="shared" si="11"/>
        <v>单套建筑面积</v>
      </c>
      <c r="R42" s="1563" t="s">
        <v>8</v>
      </c>
      <c r="S42" s="1564">
        <f t="shared" si="12"/>
        <v>100</v>
      </c>
      <c r="T42" s="1563" t="s">
        <v>8</v>
      </c>
      <c r="U42" s="1564">
        <f t="shared" si="13"/>
        <v>100</v>
      </c>
      <c r="V42" s="1563" t="s">
        <v>8</v>
      </c>
      <c r="W42" s="1564">
        <f t="shared" si="14"/>
        <v>100</v>
      </c>
      <c r="X42" s="1565"/>
      <c r="Y42" s="4323"/>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4323"/>
      <c r="Q43" s="1558" t="str">
        <f t="shared" si="11"/>
        <v>内部装修</v>
      </c>
      <c r="R43" s="1559" t="s">
        <v>8</v>
      </c>
      <c r="S43" s="1560">
        <f t="shared" si="12"/>
        <v>100</v>
      </c>
      <c r="T43" s="1559" t="s">
        <v>8</v>
      </c>
      <c r="U43" s="1560">
        <f t="shared" si="13"/>
        <v>100</v>
      </c>
      <c r="V43" s="1559" t="s">
        <v>8</v>
      </c>
      <c r="W43" s="1560">
        <f t="shared" si="14"/>
        <v>100</v>
      </c>
      <c r="X43" s="1553"/>
      <c r="Y43" s="4323"/>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4323"/>
      <c r="Q44" s="1558" t="str">
        <f t="shared" si="11"/>
        <v>内部装修维护情况</v>
      </c>
      <c r="R44" s="1559" t="s">
        <v>8</v>
      </c>
      <c r="S44" s="1560">
        <f t="shared" si="12"/>
        <v>100</v>
      </c>
      <c r="T44" s="1559" t="s">
        <v>8</v>
      </c>
      <c r="U44" s="1560">
        <f t="shared" si="13"/>
        <v>100</v>
      </c>
      <c r="V44" s="1559" t="s">
        <v>8</v>
      </c>
      <c r="W44" s="1560">
        <f t="shared" si="14"/>
        <v>100</v>
      </c>
      <c r="X44" s="1553"/>
      <c r="Y44" s="4323"/>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4323"/>
      <c r="Q45" s="1147">
        <f t="shared" si="11"/>
        <v>111</v>
      </c>
      <c r="R45" s="1554" t="s">
        <v>8</v>
      </c>
      <c r="S45" s="1555">
        <f t="shared" si="12"/>
        <v>100</v>
      </c>
      <c r="T45" s="1554" t="s">
        <v>8</v>
      </c>
      <c r="U45" s="1555">
        <f t="shared" si="13"/>
        <v>100</v>
      </c>
      <c r="V45" s="1554" t="s">
        <v>8</v>
      </c>
      <c r="W45" s="1555">
        <f t="shared" si="14"/>
        <v>100</v>
      </c>
      <c r="X45" s="1556"/>
      <c r="Y45" s="4323"/>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4323"/>
      <c r="Q46" s="1558">
        <f t="shared" si="11"/>
        <v>111</v>
      </c>
      <c r="R46" s="1559" t="s">
        <v>8</v>
      </c>
      <c r="S46" s="1560">
        <f t="shared" si="12"/>
        <v>100</v>
      </c>
      <c r="T46" s="1559" t="s">
        <v>8</v>
      </c>
      <c r="U46" s="1560">
        <f t="shared" si="13"/>
        <v>100</v>
      </c>
      <c r="V46" s="1559" t="s">
        <v>8</v>
      </c>
      <c r="W46" s="1560">
        <f t="shared" si="14"/>
        <v>100</v>
      </c>
      <c r="X46" s="1553"/>
      <c r="Y46" s="4323"/>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4404"/>
      <c r="Q47" s="1558">
        <f t="shared" si="11"/>
        <v>111</v>
      </c>
      <c r="R47" s="1559" t="s">
        <v>8</v>
      </c>
      <c r="S47" s="1560">
        <f t="shared" si="12"/>
        <v>100</v>
      </c>
      <c r="T47" s="1559" t="s">
        <v>8</v>
      </c>
      <c r="U47" s="1560">
        <f t="shared" si="13"/>
        <v>100</v>
      </c>
      <c r="V47" s="1559" t="s">
        <v>8</v>
      </c>
      <c r="W47" s="1560">
        <f t="shared" si="14"/>
        <v>100</v>
      </c>
      <c r="X47" s="1553"/>
      <c r="Y47" s="4404"/>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4284" t="str">
        <f>A48</f>
        <v>成交单价（元/平方米）</v>
      </c>
      <c r="Q48" s="4286"/>
      <c r="R48" s="4403">
        <f>E48</f>
        <v>0</v>
      </c>
      <c r="S48" s="4403"/>
      <c r="T48" s="4403">
        <f>G48</f>
        <v>0</v>
      </c>
      <c r="U48" s="4403"/>
      <c r="V48" s="4403">
        <f>I48</f>
        <v>0</v>
      </c>
      <c r="W48" s="4403"/>
      <c r="X48" s="1545"/>
      <c r="Y48" s="1567"/>
      <c r="Z48" s="1545"/>
      <c r="AA48" s="1545"/>
      <c r="AB48" s="1545"/>
      <c r="AC48" s="1545"/>
    </row>
    <row r="49" spans="1:29" ht="15.75" thickBot="1">
      <c r="A49" s="615" t="s">
        <v>2758</v>
      </c>
      <c r="B49" s="888"/>
      <c r="C49" s="2597" t="e">
        <f>R50</f>
        <v>#DIV/0!</v>
      </c>
      <c r="D49" s="2598"/>
      <c r="E49" s="2599" t="e">
        <f>R49</f>
        <v>#DIV/0!</v>
      </c>
      <c r="F49" s="2599"/>
      <c r="G49" s="2597" t="e">
        <f>T49</f>
        <v>#DIV/0!</v>
      </c>
      <c r="H49" s="2598"/>
      <c r="I49" s="2599" t="e">
        <f>V49</f>
        <v>#DIV/0!</v>
      </c>
      <c r="J49" s="2598"/>
      <c r="K49" s="1597"/>
      <c r="L49" s="2129"/>
      <c r="M49" s="2119"/>
      <c r="N49" s="2119"/>
      <c r="O49" s="2119"/>
      <c r="P49" s="4284" t="str">
        <f>A49</f>
        <v>比较价格（元/平方米）</v>
      </c>
      <c r="Q49" s="4286"/>
      <c r="R49" s="4403" t="e">
        <f>IF(F1="售价",ROUND(PRODUCT(R48,AA7:AA47),0),ROUND(PRODUCT(R48,AA7:AA47),1))</f>
        <v>#DIV/0!</v>
      </c>
      <c r="S49" s="4403"/>
      <c r="T49" s="4403" t="e">
        <f>IF(F1="售价",ROUND(PRODUCT(T48,AB7:AB47),0),ROUND(PRODUCT(T48,AB7:AB47),1))</f>
        <v>#DIV/0!</v>
      </c>
      <c r="U49" s="4403"/>
      <c r="V49" s="4403" t="e">
        <f>IF(F1="售价",ROUND(PRODUCT(V48,AC7:AC47),0),ROUND(PRODUCT(V48,AC7:AC47),1))</f>
        <v>#DIV/0!</v>
      </c>
      <c r="W49" s="4403"/>
      <c r="X49" s="1545"/>
      <c r="Y49" s="1545"/>
      <c r="Z49" s="1545"/>
      <c r="AA49" s="1545"/>
      <c r="AB49" s="1545"/>
      <c r="AC49" s="1545"/>
    </row>
    <row r="50" spans="1:29" ht="15.75" thickBot="1">
      <c r="A50" s="621" t="s">
        <v>2931</v>
      </c>
      <c r="B50" s="622"/>
      <c r="C50" s="2600" t="e">
        <f>R50</f>
        <v>#DIV/0!</v>
      </c>
      <c r="D50" s="2600"/>
      <c r="E50" s="2600"/>
      <c r="F50" s="2600"/>
      <c r="G50" s="2600"/>
      <c r="H50" s="2600"/>
      <c r="I50" s="2600"/>
      <c r="J50" s="2600"/>
      <c r="K50" s="1598"/>
      <c r="L50" s="2129"/>
      <c r="M50" s="2119"/>
      <c r="N50" s="2119"/>
      <c r="O50" s="2119"/>
      <c r="P50" s="4407" t="str">
        <f>A50</f>
        <v>估价对象XX用房的比较价格（楼面单价，元/平方米）</v>
      </c>
      <c r="Q50" s="4284"/>
      <c r="R50" s="4402" t="e">
        <f>IF(F1="售价",ROUND(AVERAGE(R49:V49),0),ROUND(AVERAGE(R49:V49),1))</f>
        <v>#DIV/0!</v>
      </c>
      <c r="S50" s="4402"/>
      <c r="T50" s="4402"/>
      <c r="U50" s="4402"/>
      <c r="V50" s="4402"/>
      <c r="W50" s="440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2019-7</v>
      </c>
      <c r="D59" s="2759">
        <f>EDATE(C59,-1)</f>
        <v>43617</v>
      </c>
      <c r="E59" s="2759">
        <f t="shared" ref="E59:O59" si="16">EDATE(D59,-1)</f>
        <v>43586</v>
      </c>
      <c r="F59" s="2759">
        <f t="shared" si="16"/>
        <v>43556</v>
      </c>
      <c r="G59" s="2759">
        <f t="shared" si="16"/>
        <v>43525</v>
      </c>
      <c r="H59" s="2759">
        <f t="shared" si="16"/>
        <v>43497</v>
      </c>
      <c r="I59" s="2759">
        <f t="shared" si="16"/>
        <v>43466</v>
      </c>
      <c r="J59" s="2759">
        <f t="shared" si="16"/>
        <v>43435</v>
      </c>
      <c r="K59" s="2759">
        <f t="shared" si="16"/>
        <v>43405</v>
      </c>
      <c r="L59" s="2759">
        <f t="shared" si="16"/>
        <v>43374</v>
      </c>
      <c r="M59" s="2759">
        <f t="shared" si="16"/>
        <v>43344</v>
      </c>
      <c r="N59" s="2759">
        <f t="shared" si="16"/>
        <v>43313</v>
      </c>
      <c r="O59" s="2759">
        <f t="shared" si="16"/>
        <v>43282</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4292" t="s">
        <v>522</v>
      </c>
      <c r="D4" s="4293"/>
      <c r="E4" s="4326" t="s">
        <v>523</v>
      </c>
      <c r="F4" s="4327"/>
      <c r="G4" s="4292" t="s">
        <v>524</v>
      </c>
      <c r="H4" s="4293"/>
      <c r="I4" s="4292" t="s">
        <v>525</v>
      </c>
      <c r="J4" s="4293"/>
      <c r="K4" s="514" t="s">
        <v>526</v>
      </c>
      <c r="L4" s="2118"/>
      <c r="M4" s="2119"/>
      <c r="N4" s="2119"/>
      <c r="O4" s="2119"/>
      <c r="P4" s="4294" t="s">
        <v>527</v>
      </c>
      <c r="Q4" s="4295"/>
      <c r="R4" s="4300" t="s">
        <v>523</v>
      </c>
      <c r="S4" s="4301"/>
      <c r="T4" s="4300" t="s">
        <v>524</v>
      </c>
      <c r="U4" s="4301"/>
      <c r="V4" s="4287" t="s">
        <v>525</v>
      </c>
      <c r="W4" s="4287"/>
      <c r="X4" s="1553"/>
      <c r="Y4" s="4300" t="s">
        <v>527</v>
      </c>
      <c r="Z4" s="4301"/>
      <c r="AA4" s="4289" t="s">
        <v>523</v>
      </c>
      <c r="AB4" s="4290" t="s">
        <v>524</v>
      </c>
      <c r="AC4" s="4289" t="s">
        <v>525</v>
      </c>
    </row>
    <row r="5" spans="1:29" ht="15">
      <c r="A5" s="515"/>
      <c r="B5" s="516"/>
      <c r="C5" s="4308" t="s">
        <v>2925</v>
      </c>
      <c r="D5" s="4309"/>
      <c r="E5" s="4328" t="s">
        <v>2926</v>
      </c>
      <c r="F5" s="4329"/>
      <c r="G5" s="4308" t="s">
        <v>2927</v>
      </c>
      <c r="H5" s="4309"/>
      <c r="I5" s="4308" t="s">
        <v>2928</v>
      </c>
      <c r="J5" s="4309"/>
      <c r="K5" s="514"/>
      <c r="L5" s="2118"/>
      <c r="M5" s="2119"/>
      <c r="N5" s="2119"/>
      <c r="O5" s="2119"/>
      <c r="P5" s="4296"/>
      <c r="Q5" s="4297"/>
      <c r="R5" s="4302"/>
      <c r="S5" s="4303"/>
      <c r="T5" s="4302"/>
      <c r="U5" s="4303"/>
      <c r="V5" s="4287"/>
      <c r="W5" s="4287"/>
      <c r="X5" s="1553"/>
      <c r="Y5" s="4302"/>
      <c r="Z5" s="4303"/>
      <c r="AA5" s="4290"/>
      <c r="AB5" s="4290"/>
      <c r="AC5" s="4290"/>
    </row>
    <row r="6" spans="1:29" ht="15.75" thickBot="1">
      <c r="A6" s="517"/>
      <c r="B6" s="518"/>
      <c r="C6" s="4306" t="s">
        <v>2929</v>
      </c>
      <c r="D6" s="4307"/>
      <c r="E6" s="4324" t="s">
        <v>2929</v>
      </c>
      <c r="F6" s="4325"/>
      <c r="G6" s="4306" t="s">
        <v>2929</v>
      </c>
      <c r="H6" s="4307"/>
      <c r="I6" s="4306" t="s">
        <v>2929</v>
      </c>
      <c r="J6" s="4307"/>
      <c r="K6" s="514" t="s">
        <v>528</v>
      </c>
      <c r="L6" s="2118"/>
      <c r="M6" s="2119"/>
      <c r="N6" s="2119"/>
      <c r="O6" s="2119"/>
      <c r="P6" s="4298"/>
      <c r="Q6" s="4299"/>
      <c r="R6" s="4302"/>
      <c r="S6" s="4303"/>
      <c r="T6" s="4304"/>
      <c r="U6" s="4305"/>
      <c r="V6" s="4287"/>
      <c r="W6" s="4287"/>
      <c r="X6" s="1553"/>
      <c r="Y6" s="4304"/>
      <c r="Z6" s="4305"/>
      <c r="AA6" s="4291"/>
      <c r="AB6" s="4291"/>
      <c r="AC6" s="4291"/>
    </row>
    <row r="7" spans="1:29" s="1216" customFormat="1" ht="15.75" thickBot="1">
      <c r="A7" s="2867"/>
      <c r="B7" s="2874" t="s">
        <v>529</v>
      </c>
      <c r="C7" s="519">
        <f>'数据-取费表'!B2</f>
        <v>43647</v>
      </c>
      <c r="D7" s="520">
        <v>100</v>
      </c>
      <c r="E7" s="521"/>
      <c r="F7" s="522">
        <f>SUMIF(52:52,YEAR(E7)&amp;"-"&amp;MONTH(E7),53:53)</f>
        <v>0</v>
      </c>
      <c r="G7" s="521"/>
      <c r="H7" s="520">
        <f>SUMIF(52:52,YEAR(G7)&amp;"-"&amp;MONTH(G7),53:53)</f>
        <v>0</v>
      </c>
      <c r="I7" s="521"/>
      <c r="J7" s="520">
        <f>SUMIF(52:52,YEAR(I7)&amp;"-"&amp;MONTH(I7),53:53)</f>
        <v>0</v>
      </c>
      <c r="K7" s="524"/>
      <c r="L7" s="2120"/>
      <c r="M7" s="2121"/>
      <c r="N7" s="2121"/>
      <c r="O7" s="2121"/>
      <c r="P7" s="4317" t="s">
        <v>530</v>
      </c>
      <c r="Q7" s="4319"/>
      <c r="R7" s="1554" t="s">
        <v>8</v>
      </c>
      <c r="S7" s="1555">
        <f t="shared" ref="S7:S15" si="0">F7</f>
        <v>0</v>
      </c>
      <c r="T7" s="1554" t="s">
        <v>8</v>
      </c>
      <c r="U7" s="1555">
        <f t="shared" ref="U7:U15" si="1">H7</f>
        <v>0</v>
      </c>
      <c r="V7" s="1554" t="s">
        <v>8</v>
      </c>
      <c r="W7" s="1555">
        <f t="shared" ref="W7:W15" si="2">J7</f>
        <v>0</v>
      </c>
      <c r="X7" s="1556"/>
      <c r="Y7" s="4317" t="s">
        <v>530</v>
      </c>
      <c r="Z7" s="4318"/>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4317" t="s">
        <v>533</v>
      </c>
      <c r="Q8" s="4318"/>
      <c r="R8" s="1554" t="s">
        <v>8</v>
      </c>
      <c r="S8" s="1555">
        <f t="shared" si="0"/>
        <v>0</v>
      </c>
      <c r="T8" s="1554" t="s">
        <v>8</v>
      </c>
      <c r="U8" s="1555">
        <f t="shared" si="1"/>
        <v>0</v>
      </c>
      <c r="V8" s="1554" t="s">
        <v>8</v>
      </c>
      <c r="W8" s="1555">
        <f t="shared" si="2"/>
        <v>0</v>
      </c>
      <c r="X8" s="1556"/>
      <c r="Y8" s="4317" t="s">
        <v>533</v>
      </c>
      <c r="Z8" s="4318"/>
      <c r="AA8" s="1557" t="e">
        <f t="shared" ref="AA8:AA40" si="3">D8/F8</f>
        <v>#DIV/0!</v>
      </c>
      <c r="AB8" s="1557" t="e">
        <f t="shared" ref="AB8:AB40" si="4">D8/H8</f>
        <v>#DIV/0!</v>
      </c>
      <c r="AC8" s="1557" t="e">
        <f t="shared" ref="AC8:AC40" si="5">D8/J8</f>
        <v>#DIV/0!</v>
      </c>
    </row>
    <row r="9" spans="1:29" s="1216" customFormat="1" ht="15">
      <c r="A9" s="2869"/>
      <c r="B9" s="2876" t="s">
        <v>2754</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4286" t="s">
        <v>535</v>
      </c>
      <c r="Q9" s="1147" t="str">
        <f t="shared" ref="Q9:Q15" si="6">B9</f>
        <v>用途</v>
      </c>
      <c r="R9" s="1554" t="s">
        <v>8</v>
      </c>
      <c r="S9" s="1555">
        <f t="shared" si="0"/>
        <v>100</v>
      </c>
      <c r="T9" s="1554" t="s">
        <v>8</v>
      </c>
      <c r="U9" s="1555">
        <f t="shared" si="1"/>
        <v>100</v>
      </c>
      <c r="V9" s="1554" t="s">
        <v>8</v>
      </c>
      <c r="W9" s="1555">
        <f t="shared" si="2"/>
        <v>100</v>
      </c>
      <c r="X9" s="1556"/>
      <c r="Y9" s="4232" t="s">
        <v>536</v>
      </c>
      <c r="Z9" s="1146" t="str">
        <f t="shared" ref="Z9:Z15" si="7">Q9</f>
        <v>用途</v>
      </c>
      <c r="AA9" s="1557">
        <f t="shared" si="3"/>
        <v>1</v>
      </c>
      <c r="AB9" s="1557">
        <f t="shared" si="4"/>
        <v>1</v>
      </c>
      <c r="AC9" s="1557">
        <f t="shared" si="5"/>
        <v>1</v>
      </c>
    </row>
    <row r="10" spans="1:29" s="1334" customFormat="1" ht="27">
      <c r="A10" s="2870"/>
      <c r="B10" s="2875" t="s">
        <v>2755</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4286"/>
      <c r="Q10" s="1147" t="str">
        <f t="shared" si="6"/>
        <v>土地使用年限（年）</v>
      </c>
      <c r="R10" s="1554" t="s">
        <v>8</v>
      </c>
      <c r="S10" s="1555">
        <f t="shared" si="0"/>
        <v>100</v>
      </c>
      <c r="T10" s="1554" t="s">
        <v>8</v>
      </c>
      <c r="U10" s="1555">
        <f t="shared" si="1"/>
        <v>100</v>
      </c>
      <c r="V10" s="1554" t="s">
        <v>8</v>
      </c>
      <c r="W10" s="1555">
        <f t="shared" si="2"/>
        <v>100</v>
      </c>
      <c r="X10" s="1556"/>
      <c r="Y10" s="4232"/>
      <c r="Z10" s="1146" t="str">
        <f t="shared" si="7"/>
        <v>土地使用年限（年）</v>
      </c>
      <c r="AA10" s="1557">
        <f t="shared" si="3"/>
        <v>1</v>
      </c>
      <c r="AB10" s="1557">
        <f t="shared" si="4"/>
        <v>1</v>
      </c>
      <c r="AC10" s="1557">
        <f t="shared" si="5"/>
        <v>1</v>
      </c>
    </row>
    <row r="11" spans="1:29" ht="15">
      <c r="A11" s="2871"/>
      <c r="B11" s="2875"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4286"/>
      <c r="Q11" s="1147" t="str">
        <f t="shared" si="6"/>
        <v>容积率</v>
      </c>
      <c r="R11" s="1554" t="s">
        <v>8</v>
      </c>
      <c r="S11" s="1555" t="e">
        <f t="shared" si="0"/>
        <v>#N/A</v>
      </c>
      <c r="T11" s="1554" t="s">
        <v>8</v>
      </c>
      <c r="U11" s="1555" t="e">
        <f t="shared" si="1"/>
        <v>#N/A</v>
      </c>
      <c r="V11" s="1554" t="s">
        <v>8</v>
      </c>
      <c r="W11" s="1555" t="e">
        <f t="shared" si="2"/>
        <v>#N/A</v>
      </c>
      <c r="X11" s="1556"/>
      <c r="Y11" s="4232"/>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4286"/>
      <c r="Q12" s="1147">
        <f t="shared" si="6"/>
        <v>111</v>
      </c>
      <c r="R12" s="1554" t="s">
        <v>8</v>
      </c>
      <c r="S12" s="1555">
        <f t="shared" si="0"/>
        <v>100</v>
      </c>
      <c r="T12" s="1554" t="s">
        <v>8</v>
      </c>
      <c r="U12" s="1555">
        <f t="shared" si="1"/>
        <v>100</v>
      </c>
      <c r="V12" s="1554" t="s">
        <v>8</v>
      </c>
      <c r="W12" s="1555">
        <f t="shared" si="2"/>
        <v>100</v>
      </c>
      <c r="X12" s="1556"/>
      <c r="Y12" s="4232"/>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4286"/>
      <c r="Q13" s="1147">
        <f t="shared" si="6"/>
        <v>111</v>
      </c>
      <c r="R13" s="1554" t="s">
        <v>8</v>
      </c>
      <c r="S13" s="1555">
        <f t="shared" si="0"/>
        <v>100</v>
      </c>
      <c r="T13" s="1554" t="s">
        <v>8</v>
      </c>
      <c r="U13" s="1555">
        <f t="shared" si="1"/>
        <v>100</v>
      </c>
      <c r="V13" s="1554" t="s">
        <v>8</v>
      </c>
      <c r="W13" s="1555">
        <f t="shared" si="2"/>
        <v>100</v>
      </c>
      <c r="X13" s="1556"/>
      <c r="Y13" s="4232"/>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4286"/>
      <c r="Q14" s="1147">
        <f t="shared" si="6"/>
        <v>111</v>
      </c>
      <c r="R14" s="1554" t="s">
        <v>8</v>
      </c>
      <c r="S14" s="1555">
        <f t="shared" si="0"/>
        <v>100</v>
      </c>
      <c r="T14" s="1554" t="s">
        <v>8</v>
      </c>
      <c r="U14" s="1555">
        <f t="shared" si="1"/>
        <v>100</v>
      </c>
      <c r="V14" s="1554" t="s">
        <v>8</v>
      </c>
      <c r="W14" s="1555">
        <f t="shared" si="2"/>
        <v>100</v>
      </c>
      <c r="X14" s="1556"/>
      <c r="Y14" s="4232"/>
      <c r="Z14" s="1146">
        <f t="shared" si="7"/>
        <v>111</v>
      </c>
      <c r="AA14" s="1557">
        <f t="shared" si="3"/>
        <v>1</v>
      </c>
      <c r="AB14" s="1557">
        <f t="shared" si="4"/>
        <v>1</v>
      </c>
      <c r="AC14" s="1557">
        <f t="shared" si="5"/>
        <v>1</v>
      </c>
    </row>
    <row r="15" spans="1:29" ht="57">
      <c r="A15" s="2865"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4320" t="s">
        <v>540</v>
      </c>
      <c r="Q15" s="1558" t="str">
        <f t="shared" si="6"/>
        <v>产业集聚程度</v>
      </c>
      <c r="R15" s="1559" t="s">
        <v>8</v>
      </c>
      <c r="S15" s="1560">
        <f t="shared" si="0"/>
        <v>100</v>
      </c>
      <c r="T15" s="1559" t="s">
        <v>8</v>
      </c>
      <c r="U15" s="1560">
        <f t="shared" si="1"/>
        <v>100</v>
      </c>
      <c r="V15" s="1559" t="s">
        <v>8</v>
      </c>
      <c r="W15" s="1560">
        <f t="shared" si="2"/>
        <v>100</v>
      </c>
      <c r="X15" s="1553"/>
      <c r="Y15" s="4320"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4321"/>
      <c r="Q16" s="1558"/>
      <c r="R16" s="1559"/>
      <c r="S16" s="1560"/>
      <c r="T16" s="1559"/>
      <c r="U16" s="1560"/>
      <c r="V16" s="1559"/>
      <c r="W16" s="1560"/>
      <c r="X16" s="1553"/>
      <c r="Y16" s="4321"/>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4321"/>
      <c r="Q17" s="1558" t="str">
        <f>B17</f>
        <v>交通便捷度</v>
      </c>
      <c r="R17" s="1559" t="s">
        <v>8</v>
      </c>
      <c r="S17" s="1560">
        <f>F17</f>
        <v>100</v>
      </c>
      <c r="T17" s="1559" t="s">
        <v>8</v>
      </c>
      <c r="U17" s="1560">
        <f>H17</f>
        <v>100</v>
      </c>
      <c r="V17" s="1559" t="s">
        <v>8</v>
      </c>
      <c r="W17" s="1560">
        <f>J17</f>
        <v>100</v>
      </c>
      <c r="X17" s="1553"/>
      <c r="Y17" s="432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4321"/>
      <c r="Q18" s="1558"/>
      <c r="R18" s="1559"/>
      <c r="S18" s="1560"/>
      <c r="T18" s="1559"/>
      <c r="U18" s="1560"/>
      <c r="V18" s="1559"/>
      <c r="W18" s="1560"/>
      <c r="X18" s="1553"/>
      <c r="Y18" s="4321"/>
      <c r="Z18" s="1561"/>
      <c r="AA18" s="1562">
        <v>1</v>
      </c>
      <c r="AB18" s="1562">
        <v>1</v>
      </c>
      <c r="AC18" s="1562">
        <v>1</v>
      </c>
    </row>
    <row r="19" spans="1:29" ht="42.75">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4321"/>
      <c r="Q19" s="1558" t="str">
        <f>B19</f>
        <v>公共配套设施</v>
      </c>
      <c r="R19" s="1559" t="s">
        <v>8</v>
      </c>
      <c r="S19" s="1560">
        <f>F19</f>
        <v>100</v>
      </c>
      <c r="T19" s="1559" t="s">
        <v>8</v>
      </c>
      <c r="U19" s="1560">
        <f>H19</f>
        <v>100</v>
      </c>
      <c r="V19" s="1559" t="s">
        <v>8</v>
      </c>
      <c r="W19" s="1560">
        <f>J19</f>
        <v>100</v>
      </c>
      <c r="X19" s="1553"/>
      <c r="Y19" s="4321"/>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4321"/>
      <c r="Q20" s="1558"/>
      <c r="R20" s="1559"/>
      <c r="S20" s="1560"/>
      <c r="T20" s="1559"/>
      <c r="U20" s="1560"/>
      <c r="V20" s="1559"/>
      <c r="W20" s="1560"/>
      <c r="X20" s="1553"/>
      <c r="Y20" s="4321"/>
      <c r="Z20" s="1561"/>
      <c r="AA20" s="1562">
        <v>1</v>
      </c>
      <c r="AB20" s="1562">
        <v>1</v>
      </c>
      <c r="AC20" s="1562">
        <v>1</v>
      </c>
    </row>
    <row r="21" spans="1:29" ht="28.5">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4321"/>
      <c r="Q21" s="2543" t="str">
        <f>B21</f>
        <v>基础设施水平</v>
      </c>
      <c r="R21" s="1559" t="s">
        <v>8</v>
      </c>
      <c r="S21" s="1560">
        <f>F21</f>
        <v>100</v>
      </c>
      <c r="T21" s="1559" t="s">
        <v>8</v>
      </c>
      <c r="U21" s="1560">
        <f>H21</f>
        <v>100</v>
      </c>
      <c r="V21" s="1559" t="s">
        <v>8</v>
      </c>
      <c r="W21" s="1560">
        <f>J21</f>
        <v>100</v>
      </c>
      <c r="X21" s="2545"/>
      <c r="Y21" s="4321"/>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4321"/>
      <c r="Q22" s="2543"/>
      <c r="R22" s="1559"/>
      <c r="S22" s="1560"/>
      <c r="T22" s="1559"/>
      <c r="U22" s="1560"/>
      <c r="V22" s="1559"/>
      <c r="W22" s="1560"/>
      <c r="X22" s="2545"/>
      <c r="Y22" s="4321"/>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4321"/>
      <c r="Q23" s="1558" t="str">
        <f>B23</f>
        <v>环境质量</v>
      </c>
      <c r="R23" s="1559" t="s">
        <v>8</v>
      </c>
      <c r="S23" s="1560">
        <f>F23</f>
        <v>100</v>
      </c>
      <c r="T23" s="1559" t="s">
        <v>8</v>
      </c>
      <c r="U23" s="1560">
        <f>H23</f>
        <v>100</v>
      </c>
      <c r="V23" s="1559" t="s">
        <v>8</v>
      </c>
      <c r="W23" s="1560">
        <f>J23</f>
        <v>100</v>
      </c>
      <c r="X23" s="1553"/>
      <c r="Y23" s="4321"/>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4321"/>
      <c r="Q24" s="1558"/>
      <c r="R24" s="1559"/>
      <c r="S24" s="1560"/>
      <c r="T24" s="1559"/>
      <c r="U24" s="1560"/>
      <c r="V24" s="1559"/>
      <c r="W24" s="1560"/>
      <c r="X24" s="1553"/>
      <c r="Y24" s="4321"/>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4321"/>
      <c r="Q25" s="1558">
        <f>B25</f>
        <v>111</v>
      </c>
      <c r="R25" s="1559" t="s">
        <v>8</v>
      </c>
      <c r="S25" s="1560">
        <f>F25</f>
        <v>100</v>
      </c>
      <c r="T25" s="1559" t="s">
        <v>8</v>
      </c>
      <c r="U25" s="1560">
        <f>H25</f>
        <v>100</v>
      </c>
      <c r="V25" s="1559" t="s">
        <v>8</v>
      </c>
      <c r="W25" s="1560">
        <f>J25</f>
        <v>100</v>
      </c>
      <c r="X25" s="1553"/>
      <c r="Y25" s="4321"/>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4321"/>
      <c r="Q26" s="1558">
        <f t="shared" ref="Q26:Q40" si="11">B26</f>
        <v>111</v>
      </c>
      <c r="R26" s="1559" t="s">
        <v>8</v>
      </c>
      <c r="S26" s="1560">
        <f>F26</f>
        <v>100</v>
      </c>
      <c r="T26" s="1559" t="s">
        <v>8</v>
      </c>
      <c r="U26" s="1560">
        <f>H26</f>
        <v>100</v>
      </c>
      <c r="V26" s="1559" t="s">
        <v>8</v>
      </c>
      <c r="W26" s="1560">
        <f>J26</f>
        <v>100</v>
      </c>
      <c r="X26" s="1553"/>
      <c r="Y26" s="4321"/>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4321"/>
      <c r="Q27" s="1147">
        <f t="shared" si="11"/>
        <v>111</v>
      </c>
      <c r="R27" s="1554" t="s">
        <v>8</v>
      </c>
      <c r="S27" s="1555">
        <f>F27</f>
        <v>100</v>
      </c>
      <c r="T27" s="1554" t="s">
        <v>8</v>
      </c>
      <c r="U27" s="1555">
        <f>H27</f>
        <v>100</v>
      </c>
      <c r="V27" s="1554" t="s">
        <v>8</v>
      </c>
      <c r="W27" s="1555">
        <f>J27</f>
        <v>100</v>
      </c>
      <c r="X27" s="1556"/>
      <c r="Y27" s="4321"/>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4321"/>
      <c r="Q28" s="1558">
        <f t="shared" si="11"/>
        <v>111</v>
      </c>
      <c r="R28" s="1559" t="s">
        <v>8</v>
      </c>
      <c r="S28" s="1560">
        <f t="shared" ref="S28:S40" si="12">F28</f>
        <v>100</v>
      </c>
      <c r="T28" s="1559" t="s">
        <v>8</v>
      </c>
      <c r="U28" s="1560">
        <f t="shared" ref="U28:U40" si="13">H28</f>
        <v>100</v>
      </c>
      <c r="V28" s="1559" t="s">
        <v>8</v>
      </c>
      <c r="W28" s="1560">
        <f t="shared" ref="W28:W40" si="14">J28</f>
        <v>100</v>
      </c>
      <c r="X28" s="1553"/>
      <c r="Y28" s="4321"/>
      <c r="Z28" s="1561">
        <f t="shared" ref="Z28:Z40" si="15">Q28</f>
        <v>111</v>
      </c>
      <c r="AA28" s="1562">
        <f t="shared" si="3"/>
        <v>1</v>
      </c>
      <c r="AB28" s="1562">
        <f t="shared" si="4"/>
        <v>1</v>
      </c>
      <c r="AC28" s="1562">
        <f t="shared" si="5"/>
        <v>1</v>
      </c>
    </row>
    <row r="29" spans="1:29" ht="15">
      <c r="A29" s="2862"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4322" t="s">
        <v>550</v>
      </c>
      <c r="Q29" s="1558" t="str">
        <f t="shared" si="11"/>
        <v>建筑类型</v>
      </c>
      <c r="R29" s="1559" t="s">
        <v>8</v>
      </c>
      <c r="S29" s="1560">
        <f t="shared" si="12"/>
        <v>100</v>
      </c>
      <c r="T29" s="1559" t="s">
        <v>8</v>
      </c>
      <c r="U29" s="1560">
        <f t="shared" si="13"/>
        <v>100</v>
      </c>
      <c r="V29" s="1559" t="s">
        <v>8</v>
      </c>
      <c r="W29" s="1560">
        <f t="shared" si="14"/>
        <v>100</v>
      </c>
      <c r="X29" s="1553"/>
      <c r="Y29" s="4323"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4323"/>
      <c r="Q30" s="1590" t="str">
        <f t="shared" si="11"/>
        <v>项目建筑规模</v>
      </c>
      <c r="R30" s="1563" t="s">
        <v>8</v>
      </c>
      <c r="S30" s="1564" t="e">
        <f t="shared" si="12"/>
        <v>#N/A</v>
      </c>
      <c r="T30" s="1563" t="s">
        <v>8</v>
      </c>
      <c r="U30" s="1564" t="e">
        <f t="shared" si="13"/>
        <v>#N/A</v>
      </c>
      <c r="V30" s="1563" t="s">
        <v>8</v>
      </c>
      <c r="W30" s="1564" t="e">
        <f t="shared" si="14"/>
        <v>#N/A</v>
      </c>
      <c r="X30" s="1565"/>
      <c r="Y30" s="4323"/>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4323"/>
      <c r="Q31" s="1558" t="str">
        <f t="shared" si="11"/>
        <v>建筑结构</v>
      </c>
      <c r="R31" s="1559" t="s">
        <v>8</v>
      </c>
      <c r="S31" s="1560">
        <f t="shared" si="12"/>
        <v>100</v>
      </c>
      <c r="T31" s="1559" t="s">
        <v>8</v>
      </c>
      <c r="U31" s="1560">
        <f t="shared" si="13"/>
        <v>100</v>
      </c>
      <c r="V31" s="1559" t="s">
        <v>8</v>
      </c>
      <c r="W31" s="1560">
        <f t="shared" si="14"/>
        <v>100</v>
      </c>
      <c r="X31" s="1553"/>
      <c r="Y31" s="4323"/>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4323"/>
      <c r="Q32" s="1558" t="str">
        <f t="shared" si="11"/>
        <v>公共部分装修</v>
      </c>
      <c r="R32" s="1559" t="s">
        <v>8</v>
      </c>
      <c r="S32" s="1560">
        <f t="shared" si="12"/>
        <v>100</v>
      </c>
      <c r="T32" s="1559" t="s">
        <v>8</v>
      </c>
      <c r="U32" s="1560">
        <f t="shared" si="13"/>
        <v>100</v>
      </c>
      <c r="V32" s="1559" t="s">
        <v>8</v>
      </c>
      <c r="W32" s="1560">
        <f t="shared" si="14"/>
        <v>100</v>
      </c>
      <c r="X32" s="1553"/>
      <c r="Y32" s="4323"/>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4323"/>
      <c r="Q33" s="1558" t="str">
        <f t="shared" si="11"/>
        <v>成新度</v>
      </c>
      <c r="R33" s="1559" t="s">
        <v>8</v>
      </c>
      <c r="S33" s="1560" t="e">
        <f t="shared" si="12"/>
        <v>#N/A</v>
      </c>
      <c r="T33" s="1559" t="s">
        <v>8</v>
      </c>
      <c r="U33" s="1560" t="e">
        <f t="shared" si="13"/>
        <v>#N/A</v>
      </c>
      <c r="V33" s="1559" t="s">
        <v>8</v>
      </c>
      <c r="W33" s="1560" t="e">
        <f t="shared" si="14"/>
        <v>#N/A</v>
      </c>
      <c r="X33" s="1553"/>
      <c r="Y33" s="4323"/>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4323"/>
      <c r="Q34" s="1147" t="str">
        <f t="shared" si="11"/>
        <v>物业管理</v>
      </c>
      <c r="R34" s="1554" t="s">
        <v>8</v>
      </c>
      <c r="S34" s="1555">
        <f t="shared" si="12"/>
        <v>100</v>
      </c>
      <c r="T34" s="1554" t="s">
        <v>8</v>
      </c>
      <c r="U34" s="1555">
        <f t="shared" si="13"/>
        <v>100</v>
      </c>
      <c r="V34" s="1554" t="s">
        <v>8</v>
      </c>
      <c r="W34" s="1555">
        <f t="shared" si="14"/>
        <v>100</v>
      </c>
      <c r="X34" s="1556"/>
      <c r="Y34" s="4323"/>
      <c r="Z34" s="1146" t="str">
        <f t="shared" si="15"/>
        <v>物业管理</v>
      </c>
      <c r="AA34" s="1557">
        <f t="shared" si="3"/>
        <v>1</v>
      </c>
      <c r="AB34" s="1557">
        <f t="shared" si="4"/>
        <v>1</v>
      </c>
      <c r="AC34" s="1557">
        <f t="shared" si="5"/>
        <v>1</v>
      </c>
    </row>
    <row r="35" spans="1:29" ht="15">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4323" t="s">
        <v>550</v>
      </c>
      <c r="Q35" s="1558" t="str">
        <f t="shared" si="11"/>
        <v>市政基础设施</v>
      </c>
      <c r="R35" s="1559" t="s">
        <v>8</v>
      </c>
      <c r="S35" s="1560">
        <f t="shared" si="12"/>
        <v>100</v>
      </c>
      <c r="T35" s="1559" t="s">
        <v>8</v>
      </c>
      <c r="U35" s="1560">
        <f t="shared" si="13"/>
        <v>100</v>
      </c>
      <c r="V35" s="1559" t="s">
        <v>8</v>
      </c>
      <c r="W35" s="1560">
        <f t="shared" si="14"/>
        <v>100</v>
      </c>
      <c r="X35" s="1553"/>
      <c r="Y35" s="4323"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4323"/>
      <c r="Q36" s="1558" t="str">
        <f t="shared" si="11"/>
        <v>内部装修</v>
      </c>
      <c r="R36" s="1559" t="s">
        <v>8</v>
      </c>
      <c r="S36" s="1560">
        <f t="shared" si="12"/>
        <v>100</v>
      </c>
      <c r="T36" s="1559" t="s">
        <v>8</v>
      </c>
      <c r="U36" s="1560">
        <f t="shared" si="13"/>
        <v>100</v>
      </c>
      <c r="V36" s="1559" t="s">
        <v>8</v>
      </c>
      <c r="W36" s="1560">
        <f t="shared" si="14"/>
        <v>100</v>
      </c>
      <c r="X36" s="1553"/>
      <c r="Y36" s="4323"/>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4323"/>
      <c r="Q37" s="1558" t="str">
        <f t="shared" si="11"/>
        <v>内部装修状况</v>
      </c>
      <c r="R37" s="1559" t="s">
        <v>8</v>
      </c>
      <c r="S37" s="1560">
        <f t="shared" si="12"/>
        <v>100</v>
      </c>
      <c r="T37" s="1559" t="s">
        <v>8</v>
      </c>
      <c r="U37" s="1560">
        <f t="shared" si="13"/>
        <v>100</v>
      </c>
      <c r="V37" s="1559" t="s">
        <v>8</v>
      </c>
      <c r="W37" s="1560">
        <f t="shared" si="14"/>
        <v>100</v>
      </c>
      <c r="X37" s="1553"/>
      <c r="Y37" s="4323"/>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4323"/>
      <c r="Q38" s="1590">
        <f t="shared" si="11"/>
        <v>111</v>
      </c>
      <c r="R38" s="1563" t="s">
        <v>8</v>
      </c>
      <c r="S38" s="1564">
        <f t="shared" si="12"/>
        <v>100</v>
      </c>
      <c r="T38" s="1563" t="s">
        <v>8</v>
      </c>
      <c r="U38" s="1564">
        <f t="shared" si="13"/>
        <v>100</v>
      </c>
      <c r="V38" s="1563" t="s">
        <v>8</v>
      </c>
      <c r="W38" s="1564">
        <f t="shared" si="14"/>
        <v>100</v>
      </c>
      <c r="X38" s="1565"/>
      <c r="Y38" s="4323"/>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4323"/>
      <c r="Q39" s="1558">
        <f t="shared" si="11"/>
        <v>111</v>
      </c>
      <c r="R39" s="1559" t="s">
        <v>8</v>
      </c>
      <c r="S39" s="1560">
        <f t="shared" si="12"/>
        <v>100</v>
      </c>
      <c r="T39" s="1559" t="s">
        <v>8</v>
      </c>
      <c r="U39" s="1560">
        <f t="shared" si="13"/>
        <v>100</v>
      </c>
      <c r="V39" s="1559" t="s">
        <v>8</v>
      </c>
      <c r="W39" s="1560">
        <f t="shared" si="14"/>
        <v>100</v>
      </c>
      <c r="X39" s="1553"/>
      <c r="Y39" s="4323"/>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4404"/>
      <c r="Q40" s="1558">
        <f t="shared" si="11"/>
        <v>111</v>
      </c>
      <c r="R40" s="1559" t="s">
        <v>8</v>
      </c>
      <c r="S40" s="1560">
        <f t="shared" si="12"/>
        <v>100</v>
      </c>
      <c r="T40" s="1559" t="s">
        <v>8</v>
      </c>
      <c r="U40" s="1560">
        <f t="shared" si="13"/>
        <v>100</v>
      </c>
      <c r="V40" s="1559" t="s">
        <v>8</v>
      </c>
      <c r="W40" s="1560">
        <f t="shared" si="14"/>
        <v>100</v>
      </c>
      <c r="X40" s="1553"/>
      <c r="Y40" s="4404"/>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4286" t="str">
        <f>A41</f>
        <v>成交单价（元/平方米）</v>
      </c>
      <c r="Q41" s="4286"/>
      <c r="R41" s="4403">
        <f>E41</f>
        <v>0</v>
      </c>
      <c r="S41" s="4403"/>
      <c r="T41" s="4403">
        <f>G41</f>
        <v>0</v>
      </c>
      <c r="U41" s="4403"/>
      <c r="V41" s="4403">
        <f>I41</f>
        <v>0</v>
      </c>
      <c r="W41" s="4403"/>
      <c r="X41" s="1545"/>
      <c r="Y41" s="1567"/>
      <c r="Z41" s="1545"/>
      <c r="AA41" s="1545"/>
      <c r="AB41" s="1545"/>
      <c r="AC41" s="1545"/>
    </row>
    <row r="42" spans="1:29" ht="15.75" thickBot="1">
      <c r="A42" s="615" t="s">
        <v>2758</v>
      </c>
      <c r="B42" s="888"/>
      <c r="C42" s="2597" t="e">
        <f>R43</f>
        <v>#DIV/0!</v>
      </c>
      <c r="D42" s="2598"/>
      <c r="E42" s="2599" t="e">
        <f>R42</f>
        <v>#DIV/0!</v>
      </c>
      <c r="F42" s="2599"/>
      <c r="G42" s="2597" t="e">
        <f>T42</f>
        <v>#DIV/0!</v>
      </c>
      <c r="H42" s="2598"/>
      <c r="I42" s="2599" t="e">
        <f>V42</f>
        <v>#DIV/0!</v>
      </c>
      <c r="J42" s="2598"/>
      <c r="K42" s="1597"/>
      <c r="L42" s="2129"/>
      <c r="M42" s="2130"/>
      <c r="N42" s="2119"/>
      <c r="O42" s="2130"/>
      <c r="P42" s="4286" t="str">
        <f>A42</f>
        <v>比较价格（元/平方米）</v>
      </c>
      <c r="Q42" s="4286"/>
      <c r="R42" s="4403" t="e">
        <f>IF(F1="售价",ROUND(PRODUCT(R41,AA7:AA40),0),ROUND(PRODUCT(R41,AA7:AA40),1))</f>
        <v>#DIV/0!</v>
      </c>
      <c r="S42" s="4403"/>
      <c r="T42" s="4403" t="e">
        <f>IF(F1="售价",ROUND(PRODUCT(T41,AB7:AB40),0),ROUND(PRODUCT(T41,AB7:AB40),1))</f>
        <v>#DIV/0!</v>
      </c>
      <c r="U42" s="4403"/>
      <c r="V42" s="4403" t="e">
        <f>IF(F1="售价",ROUND(PRODUCT(V41,AC7:AC40),0),ROUND(PRODUCT(V41,AC7:AC40),1))</f>
        <v>#DIV/0!</v>
      </c>
      <c r="W42" s="4403"/>
      <c r="X42" s="1545"/>
      <c r="Y42" s="1545"/>
      <c r="Z42" s="1545"/>
      <c r="AA42" s="1545"/>
      <c r="AB42" s="1545"/>
      <c r="AC42" s="1545"/>
    </row>
    <row r="43" spans="1:29" ht="15.75" thickBot="1">
      <c r="A43" s="621" t="s">
        <v>2931</v>
      </c>
      <c r="B43" s="622"/>
      <c r="C43" s="2600" t="e">
        <f>R43</f>
        <v>#DIV/0!</v>
      </c>
      <c r="D43" s="2600"/>
      <c r="E43" s="2600"/>
      <c r="F43" s="2600"/>
      <c r="G43" s="2600"/>
      <c r="H43" s="2600"/>
      <c r="I43" s="2600"/>
      <c r="J43" s="2600"/>
      <c r="K43" s="1598"/>
      <c r="L43" s="2129"/>
      <c r="M43" s="2130"/>
      <c r="N43" s="2130"/>
      <c r="O43" s="2130"/>
      <c r="P43" s="4283" t="str">
        <f>A43</f>
        <v>估价对象XX用房的比较价格（楼面单价，元/平方米）</v>
      </c>
      <c r="Q43" s="4284"/>
      <c r="R43" s="4402" t="e">
        <f>IF(F1="售价",ROUND(AVERAGE(R42:V42),0),ROUND(AVERAGE(R42:V42),1))</f>
        <v>#DIV/0!</v>
      </c>
      <c r="S43" s="4402"/>
      <c r="T43" s="4402"/>
      <c r="U43" s="4402"/>
      <c r="V43" s="4402"/>
      <c r="W43" s="440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2019-7</v>
      </c>
      <c r="D52" s="2759">
        <f>EDATE(C52,-1)</f>
        <v>43617</v>
      </c>
      <c r="E52" s="2759">
        <f t="shared" ref="E52:O52" si="16">EDATE(D52,-1)</f>
        <v>43586</v>
      </c>
      <c r="F52" s="2759">
        <f t="shared" si="16"/>
        <v>43556</v>
      </c>
      <c r="G52" s="2759">
        <f t="shared" si="16"/>
        <v>43525</v>
      </c>
      <c r="H52" s="2759">
        <f t="shared" si="16"/>
        <v>43497</v>
      </c>
      <c r="I52" s="2759">
        <f t="shared" si="16"/>
        <v>43466</v>
      </c>
      <c r="J52" s="2759">
        <f t="shared" si="16"/>
        <v>43435</v>
      </c>
      <c r="K52" s="2759">
        <f t="shared" si="16"/>
        <v>43405</v>
      </c>
      <c r="L52" s="2759">
        <f t="shared" si="16"/>
        <v>43374</v>
      </c>
      <c r="M52" s="2759">
        <f t="shared" si="16"/>
        <v>43344</v>
      </c>
      <c r="N52" s="2759">
        <f t="shared" si="16"/>
        <v>43313</v>
      </c>
      <c r="O52" s="2759">
        <f t="shared" si="16"/>
        <v>43282</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2556</v>
      </c>
      <c r="C76" s="2562" t="s">
        <v>2557</v>
      </c>
      <c r="D76" s="2562" t="s">
        <v>2558</v>
      </c>
      <c r="E76" s="2562" t="s">
        <v>2559</v>
      </c>
      <c r="F76" s="2562" t="s">
        <v>2560</v>
      </c>
      <c r="G76" s="2562" t="s">
        <v>2561</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4292" t="s">
        <v>798</v>
      </c>
      <c r="D4" s="4293"/>
      <c r="E4" s="4292" t="s">
        <v>799</v>
      </c>
      <c r="F4" s="4293"/>
      <c r="G4" s="4292" t="s">
        <v>800</v>
      </c>
      <c r="H4" s="4293"/>
      <c r="I4" s="4292" t="s">
        <v>801</v>
      </c>
      <c r="J4" s="4293"/>
      <c r="K4" s="514" t="s">
        <v>802</v>
      </c>
      <c r="L4" s="2118"/>
      <c r="M4" s="2119"/>
      <c r="N4" s="2119"/>
      <c r="O4" s="2119"/>
      <c r="P4" s="4294" t="s">
        <v>803</v>
      </c>
      <c r="Q4" s="4295"/>
      <c r="R4" s="4300" t="s">
        <v>799</v>
      </c>
      <c r="S4" s="4301"/>
      <c r="T4" s="4300" t="s">
        <v>800</v>
      </c>
      <c r="U4" s="4301"/>
      <c r="V4" s="4287" t="s">
        <v>801</v>
      </c>
      <c r="W4" s="4287"/>
      <c r="X4" s="1553"/>
      <c r="Y4" s="4300" t="s">
        <v>803</v>
      </c>
      <c r="Z4" s="4301"/>
      <c r="AA4" s="4289" t="s">
        <v>799</v>
      </c>
      <c r="AB4" s="4290" t="s">
        <v>800</v>
      </c>
      <c r="AC4" s="4289" t="s">
        <v>801</v>
      </c>
    </row>
    <row r="5" spans="1:29" ht="15">
      <c r="A5" s="515"/>
      <c r="B5" s="516"/>
      <c r="C5" s="4308" t="s">
        <v>2925</v>
      </c>
      <c r="D5" s="4309"/>
      <c r="E5" s="4308" t="s">
        <v>2926</v>
      </c>
      <c r="F5" s="4309"/>
      <c r="G5" s="4308" t="s">
        <v>2927</v>
      </c>
      <c r="H5" s="4309"/>
      <c r="I5" s="4308" t="s">
        <v>2928</v>
      </c>
      <c r="J5" s="4309"/>
      <c r="K5" s="514"/>
      <c r="L5" s="2118"/>
      <c r="M5" s="2119"/>
      <c r="N5" s="2119"/>
      <c r="O5" s="2119"/>
      <c r="P5" s="4296"/>
      <c r="Q5" s="4297"/>
      <c r="R5" s="4302"/>
      <c r="S5" s="4303"/>
      <c r="T5" s="4302"/>
      <c r="U5" s="4303"/>
      <c r="V5" s="4287"/>
      <c r="W5" s="4287"/>
      <c r="X5" s="1553"/>
      <c r="Y5" s="4302"/>
      <c r="Z5" s="4303"/>
      <c r="AA5" s="4290"/>
      <c r="AB5" s="4290"/>
      <c r="AC5" s="4290"/>
    </row>
    <row r="6" spans="1:29" ht="15.75" thickBot="1">
      <c r="A6" s="517"/>
      <c r="B6" s="518"/>
      <c r="C6" s="4306" t="s">
        <v>2929</v>
      </c>
      <c r="D6" s="4307"/>
      <c r="E6" s="4310" t="s">
        <v>2929</v>
      </c>
      <c r="F6" s="4311"/>
      <c r="G6" s="4306" t="s">
        <v>2929</v>
      </c>
      <c r="H6" s="4307"/>
      <c r="I6" s="4306" t="s">
        <v>2929</v>
      </c>
      <c r="J6" s="4307"/>
      <c r="K6" s="514" t="s">
        <v>528</v>
      </c>
      <c r="L6" s="2118"/>
      <c r="M6" s="2119"/>
      <c r="N6" s="2119"/>
      <c r="O6" s="2119"/>
      <c r="P6" s="4298"/>
      <c r="Q6" s="4299"/>
      <c r="R6" s="4302"/>
      <c r="S6" s="4303"/>
      <c r="T6" s="4304"/>
      <c r="U6" s="4305"/>
      <c r="V6" s="4287"/>
      <c r="W6" s="4287"/>
      <c r="X6" s="1553"/>
      <c r="Y6" s="4304"/>
      <c r="Z6" s="4305"/>
      <c r="AA6" s="4291"/>
      <c r="AB6" s="4291"/>
      <c r="AC6" s="4291"/>
    </row>
    <row r="7" spans="1:29" s="1216" customFormat="1" ht="15.75" thickBot="1">
      <c r="A7" s="2867"/>
      <c r="B7" s="2874" t="s">
        <v>529</v>
      </c>
      <c r="C7" s="519">
        <f>'数据-取费表'!B2</f>
        <v>43647</v>
      </c>
      <c r="D7" s="520">
        <v>100</v>
      </c>
      <c r="E7" s="521"/>
      <c r="F7" s="522">
        <f>SUMIF(48:48,YEAR(E7)&amp;"-"&amp;MONTH(E7),49:49)</f>
        <v>0</v>
      </c>
      <c r="G7" s="523"/>
      <c r="H7" s="520">
        <f>SUMIF(48:48,YEAR(G7)&amp;"-"&amp;MONTH(G7),49:49)</f>
        <v>0</v>
      </c>
      <c r="I7" s="523"/>
      <c r="J7" s="520">
        <f>SUMIF(48:48,YEAR(I7)&amp;"-"&amp;MONTH(I7),49:49)</f>
        <v>0</v>
      </c>
      <c r="K7" s="524"/>
      <c r="L7" s="2120"/>
      <c r="M7" s="2121"/>
      <c r="N7" s="2121"/>
      <c r="O7" s="2121"/>
      <c r="P7" s="4317" t="s">
        <v>530</v>
      </c>
      <c r="Q7" s="4319"/>
      <c r="R7" s="1554" t="s">
        <v>8</v>
      </c>
      <c r="S7" s="1555">
        <f t="shared" ref="S7:S14" si="0">F7</f>
        <v>0</v>
      </c>
      <c r="T7" s="1554" t="s">
        <v>8</v>
      </c>
      <c r="U7" s="1555">
        <f t="shared" ref="U7:U14" si="1">H7</f>
        <v>0</v>
      </c>
      <c r="V7" s="1554" t="s">
        <v>8</v>
      </c>
      <c r="W7" s="1555">
        <f t="shared" ref="W7:W14" si="2">J7</f>
        <v>0</v>
      </c>
      <c r="X7" s="1556"/>
      <c r="Y7" s="4317" t="s">
        <v>530</v>
      </c>
      <c r="Z7" s="4318"/>
      <c r="AA7" s="1557" t="e">
        <f>D7/F7</f>
        <v>#DIV/0!</v>
      </c>
      <c r="AB7" s="1557" t="e">
        <f>D7/H7</f>
        <v>#DIV/0!</v>
      </c>
      <c r="AC7" s="1557"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4317" t="s">
        <v>533</v>
      </c>
      <c r="Q8" s="4318"/>
      <c r="R8" s="1554" t="s">
        <v>8</v>
      </c>
      <c r="S8" s="1555">
        <f t="shared" si="0"/>
        <v>0</v>
      </c>
      <c r="T8" s="1554" t="s">
        <v>8</v>
      </c>
      <c r="U8" s="1555">
        <f t="shared" si="1"/>
        <v>0</v>
      </c>
      <c r="V8" s="1554" t="s">
        <v>8</v>
      </c>
      <c r="W8" s="1555">
        <f t="shared" si="2"/>
        <v>0</v>
      </c>
      <c r="X8" s="1556"/>
      <c r="Y8" s="4317" t="s">
        <v>533</v>
      </c>
      <c r="Z8" s="4318"/>
      <c r="AA8" s="1557" t="e">
        <f t="shared" ref="AA8:AA36" si="3">D8/F8</f>
        <v>#DIV/0!</v>
      </c>
      <c r="AB8" s="1557" t="e">
        <f t="shared" ref="AB8:AB36" si="4">D8/H8</f>
        <v>#DIV/0!</v>
      </c>
      <c r="AC8" s="1557" t="e">
        <f t="shared" ref="AC8:AC36" si="5">D8/J8</f>
        <v>#DIV/0!</v>
      </c>
    </row>
    <row r="9" spans="1:29" s="1216" customFormat="1" ht="15">
      <c r="A9" s="2869"/>
      <c r="B9" s="2876" t="s">
        <v>2754</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4286" t="s">
        <v>535</v>
      </c>
      <c r="Q9" s="1147" t="str">
        <f t="shared" ref="Q9:Q14" si="6">B9</f>
        <v>用途</v>
      </c>
      <c r="R9" s="1554" t="s">
        <v>8</v>
      </c>
      <c r="S9" s="1555">
        <f t="shared" si="0"/>
        <v>100</v>
      </c>
      <c r="T9" s="1554" t="s">
        <v>8</v>
      </c>
      <c r="U9" s="1555">
        <f t="shared" si="1"/>
        <v>100</v>
      </c>
      <c r="V9" s="1554" t="s">
        <v>8</v>
      </c>
      <c r="W9" s="1555">
        <f t="shared" si="2"/>
        <v>100</v>
      </c>
      <c r="X9" s="1556"/>
      <c r="Y9" s="4232" t="s">
        <v>536</v>
      </c>
      <c r="Z9" s="1146" t="str">
        <f t="shared" ref="Z9:Z14" si="7">Q9</f>
        <v>用途</v>
      </c>
      <c r="AA9" s="1557">
        <f t="shared" si="3"/>
        <v>1</v>
      </c>
      <c r="AB9" s="1557">
        <f t="shared" si="4"/>
        <v>1</v>
      </c>
      <c r="AC9" s="1557">
        <f t="shared" si="5"/>
        <v>1</v>
      </c>
    </row>
    <row r="10" spans="1:29" s="1334" customFormat="1" ht="27">
      <c r="A10" s="2870"/>
      <c r="B10" s="2875" t="s">
        <v>2755</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4286"/>
      <c r="Q10" s="1147" t="str">
        <f t="shared" si="6"/>
        <v>土地使用年限（年）</v>
      </c>
      <c r="R10" s="1554" t="s">
        <v>8</v>
      </c>
      <c r="S10" s="1555">
        <f t="shared" si="0"/>
        <v>100</v>
      </c>
      <c r="T10" s="1554" t="s">
        <v>8</v>
      </c>
      <c r="U10" s="1555">
        <f t="shared" si="1"/>
        <v>100</v>
      </c>
      <c r="V10" s="1554" t="s">
        <v>8</v>
      </c>
      <c r="W10" s="1555">
        <f t="shared" si="2"/>
        <v>100</v>
      </c>
      <c r="X10" s="1556"/>
      <c r="Y10" s="4232"/>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4286"/>
      <c r="Q11" s="1147">
        <f t="shared" si="6"/>
        <v>111</v>
      </c>
      <c r="R11" s="1554" t="s">
        <v>8</v>
      </c>
      <c r="S11" s="1555">
        <f t="shared" si="0"/>
        <v>100</v>
      </c>
      <c r="T11" s="1554" t="s">
        <v>8</v>
      </c>
      <c r="U11" s="1555">
        <f t="shared" si="1"/>
        <v>100</v>
      </c>
      <c r="V11" s="1554" t="s">
        <v>8</v>
      </c>
      <c r="W11" s="1555">
        <f t="shared" si="2"/>
        <v>100</v>
      </c>
      <c r="X11" s="1556"/>
      <c r="Y11" s="4232"/>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4286"/>
      <c r="Q12" s="1147">
        <f t="shared" si="6"/>
        <v>111</v>
      </c>
      <c r="R12" s="1554" t="s">
        <v>8</v>
      </c>
      <c r="S12" s="1555">
        <f t="shared" si="0"/>
        <v>100</v>
      </c>
      <c r="T12" s="1554" t="s">
        <v>8</v>
      </c>
      <c r="U12" s="1555">
        <f t="shared" si="1"/>
        <v>100</v>
      </c>
      <c r="V12" s="1554" t="s">
        <v>8</v>
      </c>
      <c r="W12" s="1555">
        <f t="shared" si="2"/>
        <v>100</v>
      </c>
      <c r="X12" s="1556"/>
      <c r="Y12" s="4232"/>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4286"/>
      <c r="Q13" s="1147">
        <f t="shared" si="6"/>
        <v>111</v>
      </c>
      <c r="R13" s="1554" t="s">
        <v>8</v>
      </c>
      <c r="S13" s="1555">
        <f t="shared" si="0"/>
        <v>100</v>
      </c>
      <c r="T13" s="1554" t="s">
        <v>8</v>
      </c>
      <c r="U13" s="1555">
        <f t="shared" si="1"/>
        <v>100</v>
      </c>
      <c r="V13" s="1554" t="s">
        <v>8</v>
      </c>
      <c r="W13" s="1555">
        <f t="shared" si="2"/>
        <v>100</v>
      </c>
      <c r="X13" s="1556"/>
      <c r="Y13" s="4232"/>
      <c r="Z13" s="1146">
        <f t="shared" si="7"/>
        <v>111</v>
      </c>
      <c r="AA13" s="1557">
        <f t="shared" si="3"/>
        <v>1</v>
      </c>
      <c r="AB13" s="1557">
        <f t="shared" si="4"/>
        <v>1</v>
      </c>
      <c r="AC13" s="1557">
        <f t="shared" si="5"/>
        <v>1</v>
      </c>
    </row>
    <row r="14" spans="1:29" ht="128.25">
      <c r="A14" s="2865" t="s">
        <v>2752</v>
      </c>
      <c r="B14" s="547" t="s">
        <v>543</v>
      </c>
      <c r="C14" s="921" t="str">
        <f>IF(B1="工业",估价对象房地状况!G4,估价对象房地状况!C6)</f>
        <v>周边道路密集程度一般、公共交通通达情况一般，有107路，203路、等公交线路通过，停车便捷程度一般，综合评价交通便捷度一般。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4320" t="s">
        <v>540</v>
      </c>
      <c r="Q14" s="1558" t="str">
        <f t="shared" si="6"/>
        <v>交通便捷度</v>
      </c>
      <c r="R14" s="1559" t="s">
        <v>8</v>
      </c>
      <c r="S14" s="1560">
        <f t="shared" si="0"/>
        <v>100</v>
      </c>
      <c r="T14" s="1559" t="s">
        <v>8</v>
      </c>
      <c r="U14" s="1560">
        <f t="shared" si="1"/>
        <v>100</v>
      </c>
      <c r="V14" s="1559" t="s">
        <v>8</v>
      </c>
      <c r="W14" s="1560">
        <f t="shared" si="2"/>
        <v>100</v>
      </c>
      <c r="X14" s="1553"/>
      <c r="Y14" s="4320"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4321"/>
      <c r="Q15" s="1558"/>
      <c r="R15" s="1559"/>
      <c r="S15" s="1560"/>
      <c r="T15" s="1559"/>
      <c r="U15" s="1560"/>
      <c r="V15" s="1559"/>
      <c r="W15" s="1560"/>
      <c r="X15" s="1553"/>
      <c r="Y15" s="4321"/>
      <c r="Z15" s="1561"/>
      <c r="AA15" s="1562">
        <v>1</v>
      </c>
      <c r="AB15" s="1562">
        <v>1</v>
      </c>
      <c r="AC15" s="1562">
        <v>1</v>
      </c>
    </row>
    <row r="16" spans="1:29" ht="128.25">
      <c r="A16" s="515"/>
      <c r="B16" s="2567" t="s">
        <v>2544</v>
      </c>
      <c r="C16" s="872" t="str">
        <f>IF(B1="工业",估价对象房地状况!G5,估价对象房地状况!C7)</f>
        <v>所在区域2公里范围内有银行（中国邮政储蓄银行）、学校（巴川中学）、商业（无）、医院（无）等配套设施，公共配套设施一般；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4321"/>
      <c r="Q16" s="1558" t="str">
        <f>B16</f>
        <v>公共配套设施</v>
      </c>
      <c r="R16" s="1559" t="s">
        <v>8</v>
      </c>
      <c r="S16" s="1560">
        <f>F16</f>
        <v>100</v>
      </c>
      <c r="T16" s="1559" t="s">
        <v>8</v>
      </c>
      <c r="U16" s="1560">
        <f>H16</f>
        <v>100</v>
      </c>
      <c r="V16" s="1559" t="s">
        <v>8</v>
      </c>
      <c r="W16" s="1560">
        <f>J16</f>
        <v>100</v>
      </c>
      <c r="X16" s="1553"/>
      <c r="Y16" s="4321"/>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4321"/>
      <c r="Q17" s="1558"/>
      <c r="R17" s="1559"/>
      <c r="S17" s="1560"/>
      <c r="T17" s="1559"/>
      <c r="U17" s="1560"/>
      <c r="V17" s="1559"/>
      <c r="W17" s="1560"/>
      <c r="X17" s="1553"/>
      <c r="Y17" s="4321"/>
      <c r="Z17" s="1561"/>
      <c r="AA17" s="1562">
        <v>1</v>
      </c>
      <c r="AB17" s="1562">
        <v>1</v>
      </c>
      <c r="AC17" s="1562">
        <v>1</v>
      </c>
    </row>
    <row r="18" spans="1:29" ht="28.5">
      <c r="A18" s="515"/>
      <c r="B18" s="2555" t="s">
        <v>2556</v>
      </c>
      <c r="C18" s="872" t="str">
        <f>IF(B1="工业",估价对象房地状况!G6,估价对象房地状况!C8)</f>
        <v>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4321"/>
      <c r="Q18" s="2543" t="str">
        <f>B18</f>
        <v>基础设施水平</v>
      </c>
      <c r="R18" s="1559" t="s">
        <v>8</v>
      </c>
      <c r="S18" s="1560">
        <f>F18</f>
        <v>100</v>
      </c>
      <c r="T18" s="1559" t="s">
        <v>8</v>
      </c>
      <c r="U18" s="1560">
        <f>H18</f>
        <v>100</v>
      </c>
      <c r="V18" s="1559" t="s">
        <v>8</v>
      </c>
      <c r="W18" s="1560">
        <f>J18</f>
        <v>100</v>
      </c>
      <c r="X18" s="2545"/>
      <c r="Y18" s="4321"/>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4321"/>
      <c r="Q19" s="2543"/>
      <c r="R19" s="1559"/>
      <c r="S19" s="1560"/>
      <c r="T19" s="1559"/>
      <c r="U19" s="1560"/>
      <c r="V19" s="1559"/>
      <c r="W19" s="1560"/>
      <c r="X19" s="2545"/>
      <c r="Y19" s="4321"/>
      <c r="Z19" s="2544"/>
      <c r="AA19" s="1562">
        <v>1</v>
      </c>
      <c r="AB19" s="1562">
        <v>1</v>
      </c>
      <c r="AC19" s="1562">
        <v>1</v>
      </c>
    </row>
    <row r="20" spans="1:29" ht="85.5">
      <c r="A20" s="515"/>
      <c r="B20" s="560" t="s">
        <v>804</v>
      </c>
      <c r="C20" s="872" t="str">
        <f>IF(B1="工业",估价对象房地状况!G7,估价对象房地状况!C9)</f>
        <v>周边自然环境（项目内部天鹅湖）；人文环境（潼南区图书馆），综合评价环境状况较好；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4321"/>
      <c r="Q20" s="1558" t="str">
        <f>B20</f>
        <v>自然及人文环境</v>
      </c>
      <c r="R20" s="1559" t="s">
        <v>8</v>
      </c>
      <c r="S20" s="1560">
        <f>F20</f>
        <v>100</v>
      </c>
      <c r="T20" s="1559" t="s">
        <v>8</v>
      </c>
      <c r="U20" s="1560">
        <f>H20</f>
        <v>100</v>
      </c>
      <c r="V20" s="1559" t="s">
        <v>8</v>
      </c>
      <c r="W20" s="1560">
        <f>J20</f>
        <v>100</v>
      </c>
      <c r="X20" s="1553"/>
      <c r="Y20" s="4321"/>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4321"/>
      <c r="Q21" s="1558"/>
      <c r="R21" s="1559"/>
      <c r="S21" s="1560"/>
      <c r="T21" s="1559"/>
      <c r="U21" s="1560"/>
      <c r="V21" s="1559"/>
      <c r="W21" s="1560"/>
      <c r="X21" s="1553"/>
      <c r="Y21" s="4321"/>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4321"/>
      <c r="Q22" s="1558" t="str">
        <f>B22</f>
        <v>楼层</v>
      </c>
      <c r="R22" s="1559" t="s">
        <v>8</v>
      </c>
      <c r="S22" s="1560">
        <f>F22</f>
        <v>100</v>
      </c>
      <c r="T22" s="1559" t="s">
        <v>8</v>
      </c>
      <c r="U22" s="1560">
        <f>H22</f>
        <v>100</v>
      </c>
      <c r="V22" s="1559" t="s">
        <v>8</v>
      </c>
      <c r="W22" s="1560">
        <f>J22</f>
        <v>100</v>
      </c>
      <c r="X22" s="1553"/>
      <c r="Y22" s="4321"/>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4321"/>
      <c r="Q23" s="1558">
        <f>B23</f>
        <v>111</v>
      </c>
      <c r="R23" s="1559" t="s">
        <v>8</v>
      </c>
      <c r="S23" s="1560">
        <f>F23</f>
        <v>100</v>
      </c>
      <c r="T23" s="1559" t="s">
        <v>8</v>
      </c>
      <c r="U23" s="1560">
        <f>H23</f>
        <v>100</v>
      </c>
      <c r="V23" s="1559" t="s">
        <v>8</v>
      </c>
      <c r="W23" s="1560">
        <f>J23</f>
        <v>100</v>
      </c>
      <c r="X23" s="1553"/>
      <c r="Y23" s="4321"/>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4321"/>
      <c r="Q24" s="1558">
        <f t="shared" ref="Q24:Q36" si="11">B24</f>
        <v>111</v>
      </c>
      <c r="R24" s="1559" t="s">
        <v>8</v>
      </c>
      <c r="S24" s="1560">
        <f>F24</f>
        <v>100</v>
      </c>
      <c r="T24" s="1559" t="s">
        <v>8</v>
      </c>
      <c r="U24" s="1560">
        <f>H24</f>
        <v>100</v>
      </c>
      <c r="V24" s="1559" t="s">
        <v>8</v>
      </c>
      <c r="W24" s="1560">
        <f>J24</f>
        <v>100</v>
      </c>
      <c r="X24" s="1553"/>
      <c r="Y24" s="4321"/>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4321"/>
      <c r="Q25" s="1147">
        <f t="shared" si="11"/>
        <v>111</v>
      </c>
      <c r="R25" s="1554" t="s">
        <v>8</v>
      </c>
      <c r="S25" s="1555">
        <f>F25</f>
        <v>100</v>
      </c>
      <c r="T25" s="1554" t="s">
        <v>8</v>
      </c>
      <c r="U25" s="1555">
        <f>H25</f>
        <v>100</v>
      </c>
      <c r="V25" s="1554" t="s">
        <v>8</v>
      </c>
      <c r="W25" s="1555">
        <f>J25</f>
        <v>100</v>
      </c>
      <c r="X25" s="1556"/>
      <c r="Y25" s="4321"/>
      <c r="Z25" s="1146">
        <f>Q25</f>
        <v>111</v>
      </c>
      <c r="AA25" s="1562">
        <f>D25/F25</f>
        <v>1</v>
      </c>
      <c r="AB25" s="1562">
        <f>D25/H25</f>
        <v>1</v>
      </c>
      <c r="AC25" s="1562">
        <f>D25/J25</f>
        <v>1</v>
      </c>
    </row>
    <row r="26" spans="1:29" ht="15">
      <c r="A26" s="2862"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4322"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4323"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4323"/>
      <c r="Q27" s="1590" t="str">
        <f t="shared" si="11"/>
        <v>项目停车位配比</v>
      </c>
      <c r="R27" s="1563" t="s">
        <v>8</v>
      </c>
      <c r="S27" s="1564">
        <f t="shared" si="12"/>
        <v>100</v>
      </c>
      <c r="T27" s="1563" t="s">
        <v>8</v>
      </c>
      <c r="U27" s="1564">
        <f t="shared" si="13"/>
        <v>100</v>
      </c>
      <c r="V27" s="1563" t="s">
        <v>8</v>
      </c>
      <c r="W27" s="1564">
        <f t="shared" si="14"/>
        <v>100</v>
      </c>
      <c r="X27" s="1565"/>
      <c r="Y27" s="4323"/>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4323"/>
      <c r="Q28" s="1558" t="str">
        <f t="shared" si="11"/>
        <v>公共部分装修</v>
      </c>
      <c r="R28" s="1559" t="s">
        <v>8</v>
      </c>
      <c r="S28" s="1560">
        <f t="shared" si="12"/>
        <v>100</v>
      </c>
      <c r="T28" s="1559" t="s">
        <v>8</v>
      </c>
      <c r="U28" s="1560">
        <f t="shared" si="13"/>
        <v>100</v>
      </c>
      <c r="V28" s="1559" t="s">
        <v>8</v>
      </c>
      <c r="W28" s="1560">
        <f t="shared" si="14"/>
        <v>100</v>
      </c>
      <c r="X28" s="1553"/>
      <c r="Y28" s="4323"/>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4323"/>
      <c r="Q29" s="1558" t="str">
        <f t="shared" si="11"/>
        <v>成新率</v>
      </c>
      <c r="R29" s="1559" t="s">
        <v>8</v>
      </c>
      <c r="S29" s="1560" t="e">
        <f t="shared" si="12"/>
        <v>#N/A</v>
      </c>
      <c r="T29" s="1559" t="s">
        <v>8</v>
      </c>
      <c r="U29" s="1560" t="e">
        <f t="shared" si="13"/>
        <v>#N/A</v>
      </c>
      <c r="V29" s="1559" t="s">
        <v>8</v>
      </c>
      <c r="W29" s="1560" t="e">
        <f t="shared" si="14"/>
        <v>#N/A</v>
      </c>
      <c r="X29" s="1553"/>
      <c r="Y29" s="4323"/>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4323"/>
      <c r="Q30" s="1558" t="str">
        <f t="shared" si="11"/>
        <v>物业等级</v>
      </c>
      <c r="R30" s="1559" t="s">
        <v>8</v>
      </c>
      <c r="S30" s="1560">
        <f t="shared" si="12"/>
        <v>100</v>
      </c>
      <c r="T30" s="1559" t="s">
        <v>8</v>
      </c>
      <c r="U30" s="1560">
        <f t="shared" si="13"/>
        <v>100</v>
      </c>
      <c r="V30" s="1559" t="s">
        <v>8</v>
      </c>
      <c r="W30" s="1560">
        <f t="shared" si="14"/>
        <v>100</v>
      </c>
      <c r="X30" s="1553"/>
      <c r="Y30" s="4323"/>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4323"/>
      <c r="Q31" s="1147" t="str">
        <f t="shared" si="11"/>
        <v>停车位面积</v>
      </c>
      <c r="R31" s="1554" t="s">
        <v>8</v>
      </c>
      <c r="S31" s="1555" t="e">
        <f t="shared" si="12"/>
        <v>#N/A</v>
      </c>
      <c r="T31" s="1554" t="s">
        <v>8</v>
      </c>
      <c r="U31" s="1555" t="e">
        <f t="shared" si="13"/>
        <v>#N/A</v>
      </c>
      <c r="V31" s="1554" t="s">
        <v>8</v>
      </c>
      <c r="W31" s="1555" t="e">
        <f t="shared" si="14"/>
        <v>#N/A</v>
      </c>
      <c r="X31" s="1556"/>
      <c r="Y31" s="4323"/>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4323" t="s">
        <v>550</v>
      </c>
      <c r="Q32" s="1558" t="str">
        <f t="shared" si="11"/>
        <v>车位类型</v>
      </c>
      <c r="R32" s="1559" t="s">
        <v>8</v>
      </c>
      <c r="S32" s="1560">
        <f t="shared" si="12"/>
        <v>100</v>
      </c>
      <c r="T32" s="1559" t="s">
        <v>8</v>
      </c>
      <c r="U32" s="1560">
        <f t="shared" si="13"/>
        <v>100</v>
      </c>
      <c r="V32" s="1559" t="s">
        <v>8</v>
      </c>
      <c r="W32" s="1560">
        <f t="shared" si="14"/>
        <v>100</v>
      </c>
      <c r="X32" s="1553"/>
      <c r="Y32" s="4323"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4323"/>
      <c r="Q33" s="1558" t="str">
        <f t="shared" si="11"/>
        <v>是否直接入户</v>
      </c>
      <c r="R33" s="1559" t="s">
        <v>8</v>
      </c>
      <c r="S33" s="1560">
        <f t="shared" si="12"/>
        <v>100</v>
      </c>
      <c r="T33" s="1559" t="s">
        <v>8</v>
      </c>
      <c r="U33" s="1560">
        <f t="shared" si="13"/>
        <v>100</v>
      </c>
      <c r="V33" s="1559" t="s">
        <v>8</v>
      </c>
      <c r="W33" s="1560">
        <f t="shared" si="14"/>
        <v>100</v>
      </c>
      <c r="X33" s="1553"/>
      <c r="Y33" s="4323"/>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4323"/>
      <c r="Q34" s="1558">
        <f t="shared" si="11"/>
        <v>111</v>
      </c>
      <c r="R34" s="1559" t="s">
        <v>8</v>
      </c>
      <c r="S34" s="1560">
        <f t="shared" si="12"/>
        <v>100</v>
      </c>
      <c r="T34" s="1559" t="s">
        <v>8</v>
      </c>
      <c r="U34" s="1560">
        <f t="shared" si="13"/>
        <v>100</v>
      </c>
      <c r="V34" s="1559" t="s">
        <v>8</v>
      </c>
      <c r="W34" s="1560">
        <f t="shared" si="14"/>
        <v>100</v>
      </c>
      <c r="X34" s="1553"/>
      <c r="Y34" s="4323"/>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4323"/>
      <c r="Q35" s="1590">
        <f t="shared" si="11"/>
        <v>111</v>
      </c>
      <c r="R35" s="1563" t="s">
        <v>8</v>
      </c>
      <c r="S35" s="1564">
        <f t="shared" si="12"/>
        <v>100</v>
      </c>
      <c r="T35" s="1563" t="s">
        <v>8</v>
      </c>
      <c r="U35" s="1564">
        <f t="shared" si="13"/>
        <v>100</v>
      </c>
      <c r="V35" s="1563" t="s">
        <v>8</v>
      </c>
      <c r="W35" s="1564">
        <f t="shared" si="14"/>
        <v>100</v>
      </c>
      <c r="X35" s="1565"/>
      <c r="Y35" s="4323"/>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4323"/>
      <c r="Q36" s="1558">
        <f t="shared" si="11"/>
        <v>111</v>
      </c>
      <c r="R36" s="1559" t="s">
        <v>8</v>
      </c>
      <c r="S36" s="1560">
        <f t="shared" si="12"/>
        <v>100</v>
      </c>
      <c r="T36" s="1559" t="s">
        <v>8</v>
      </c>
      <c r="U36" s="1560">
        <f t="shared" si="13"/>
        <v>100</v>
      </c>
      <c r="V36" s="1559" t="s">
        <v>8</v>
      </c>
      <c r="W36" s="1560">
        <f t="shared" si="14"/>
        <v>100</v>
      </c>
      <c r="X36" s="1553"/>
      <c r="Y36" s="4323"/>
      <c r="Z36" s="1561">
        <f t="shared" si="15"/>
        <v>111</v>
      </c>
      <c r="AA36" s="1562">
        <f t="shared" si="3"/>
        <v>1</v>
      </c>
      <c r="AB36" s="1562">
        <f t="shared" si="4"/>
        <v>1</v>
      </c>
      <c r="AC36" s="1562">
        <f t="shared" si="5"/>
        <v>1</v>
      </c>
    </row>
    <row r="37" spans="1:29" ht="15">
      <c r="A37" s="1831" t="s">
        <v>2077</v>
      </c>
      <c r="B37" s="1832" t="s">
        <v>2078</v>
      </c>
      <c r="C37" s="2591" t="s">
        <v>1</v>
      </c>
      <c r="D37" s="2592"/>
      <c r="E37" s="2593"/>
      <c r="F37" s="2594"/>
      <c r="G37" s="2595"/>
      <c r="H37" s="2596"/>
      <c r="I37" s="2593"/>
      <c r="J37" s="2596"/>
      <c r="K37" s="1596"/>
      <c r="L37" s="2129"/>
      <c r="M37" s="2130"/>
      <c r="N37" s="2119"/>
      <c r="O37" s="2130"/>
      <c r="P37" s="4286" t="str">
        <f>A37</f>
        <v>成交单价</v>
      </c>
      <c r="Q37" s="4286"/>
      <c r="R37" s="4403">
        <f>E37</f>
        <v>0</v>
      </c>
      <c r="S37" s="4403"/>
      <c r="T37" s="4403">
        <f>G37</f>
        <v>0</v>
      </c>
      <c r="U37" s="4403"/>
      <c r="V37" s="4403">
        <f>I37</f>
        <v>0</v>
      </c>
      <c r="W37" s="4403"/>
      <c r="X37" s="1545"/>
      <c r="Y37" s="1567"/>
      <c r="Z37" s="1545"/>
      <c r="AA37" s="1545"/>
      <c r="AB37" s="1545"/>
      <c r="AC37" s="1545"/>
    </row>
    <row r="38" spans="1:29" ht="15.75" thickBot="1">
      <c r="A38" s="615" t="s">
        <v>2758</v>
      </c>
      <c r="B38" s="888"/>
      <c r="C38" s="2597" t="e">
        <f>R39</f>
        <v>#DIV/0!</v>
      </c>
      <c r="D38" s="2598"/>
      <c r="E38" s="2599" t="e">
        <f>R38</f>
        <v>#DIV/0!</v>
      </c>
      <c r="F38" s="2599"/>
      <c r="G38" s="2597" t="e">
        <f>T38</f>
        <v>#DIV/0!</v>
      </c>
      <c r="H38" s="2598"/>
      <c r="I38" s="2599" t="e">
        <f>V38</f>
        <v>#DIV/0!</v>
      </c>
      <c r="J38" s="2598"/>
      <c r="K38" s="1597"/>
      <c r="L38" s="2129"/>
      <c r="M38" s="2130"/>
      <c r="N38" s="2130"/>
      <c r="O38" s="2130"/>
      <c r="P38" s="4286" t="str">
        <f>A38</f>
        <v>比较价格（元/平方米）</v>
      </c>
      <c r="Q38" s="4286"/>
      <c r="R38" s="4403" t="e">
        <f>IF(F1="售价",ROUND(PRODUCT(R37,AA7:AA36),0),ROUND(PRODUCT(R37,AA7:AA36),1))</f>
        <v>#DIV/0!</v>
      </c>
      <c r="S38" s="4403"/>
      <c r="T38" s="4403" t="e">
        <f>IF(F1="售价",ROUND(PRODUCT(T37,AB7:AB36),0),ROUND(PRODUCT(T37,AB7:AB36),1))</f>
        <v>#DIV/0!</v>
      </c>
      <c r="U38" s="4403"/>
      <c r="V38" s="4403" t="e">
        <f>IF(F1="售价",ROUND(PRODUCT(V37,AC7:AC36),0),ROUND(PRODUCT(V37,AC7:AC36),1))</f>
        <v>#DIV/0!</v>
      </c>
      <c r="W38" s="4403"/>
      <c r="X38" s="1545"/>
      <c r="Y38" s="1545"/>
      <c r="Z38" s="1545"/>
      <c r="AA38" s="1545"/>
      <c r="AB38" s="1545"/>
      <c r="AC38" s="1545"/>
    </row>
    <row r="39" spans="1:29" ht="15.75" thickBot="1">
      <c r="A39" s="621" t="s">
        <v>2931</v>
      </c>
      <c r="B39" s="622"/>
      <c r="C39" s="2600" t="e">
        <f>R39</f>
        <v>#DIV/0!</v>
      </c>
      <c r="D39" s="2600"/>
      <c r="E39" s="2600"/>
      <c r="F39" s="2600"/>
      <c r="G39" s="2600"/>
      <c r="H39" s="2600"/>
      <c r="I39" s="2600"/>
      <c r="J39" s="2600"/>
      <c r="K39" s="1598"/>
      <c r="L39" s="2129"/>
      <c r="M39" s="2130"/>
      <c r="N39" s="2130"/>
      <c r="O39" s="2130"/>
      <c r="P39" s="4283" t="str">
        <f>A39</f>
        <v>估价对象XX用房的比较价格（楼面单价，元/平方米）</v>
      </c>
      <c r="Q39" s="4284"/>
      <c r="R39" s="4402" t="e">
        <f>IF(F1="售价",ROUND(AVERAGE(R38:V38),0),ROUND(AVERAGE(R38:V38),1))</f>
        <v>#DIV/0!</v>
      </c>
      <c r="S39" s="4402"/>
      <c r="T39" s="4402"/>
      <c r="U39" s="4402"/>
      <c r="V39" s="4402"/>
      <c r="W39" s="440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2019-7</v>
      </c>
      <c r="D48" s="2759">
        <f>EDATE(C48,-1)</f>
        <v>43617</v>
      </c>
      <c r="E48" s="2759">
        <f t="shared" ref="E48:O48" si="16">EDATE(D48,-1)</f>
        <v>43586</v>
      </c>
      <c r="F48" s="2759">
        <f t="shared" si="16"/>
        <v>43556</v>
      </c>
      <c r="G48" s="2759">
        <f t="shared" si="16"/>
        <v>43525</v>
      </c>
      <c r="H48" s="2759">
        <f t="shared" si="16"/>
        <v>43497</v>
      </c>
      <c r="I48" s="2759">
        <f t="shared" si="16"/>
        <v>43466</v>
      </c>
      <c r="J48" s="2759">
        <f t="shared" si="16"/>
        <v>43435</v>
      </c>
      <c r="K48" s="2759">
        <f t="shared" si="16"/>
        <v>43405</v>
      </c>
      <c r="L48" s="2759">
        <f t="shared" si="16"/>
        <v>43374</v>
      </c>
      <c r="M48" s="2759">
        <f t="shared" si="16"/>
        <v>43344</v>
      </c>
      <c r="N48" s="2759">
        <f t="shared" si="16"/>
        <v>43313</v>
      </c>
      <c r="O48" s="2759">
        <f t="shared" si="16"/>
        <v>43282</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55432.25平方米。根据《建设工程规划许可证》[]、《出让合同》[]，估价对象规划建筑面积为67713.23平方米。</v>
      </c>
    </row>
    <row r="7" spans="1:4" ht="93.75">
      <c r="A7" s="2828" t="s">
        <v>2746</v>
      </c>
    </row>
    <row r="8" spans="1:4" ht="18.75">
      <c r="A8" s="1779" t="s">
        <v>1906</v>
      </c>
    </row>
    <row r="9" spans="1:4" ht="56.25">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2019年7月1日（评估专业人员勘察现场之日）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根据《国有土地使用证》[]，估价对象（分摊）出让国有建设用地使用权面积为55432.25平方米。根据《建设工程规划许可证》[]、《出让合同》[]，估价对象规划建筑面积为67713.23平方米。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2747</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4292" t="s">
        <v>798</v>
      </c>
      <c r="D4" s="4293"/>
      <c r="E4" s="4326" t="s">
        <v>799</v>
      </c>
      <c r="F4" s="4327"/>
      <c r="G4" s="4292" t="s">
        <v>800</v>
      </c>
      <c r="H4" s="4293"/>
      <c r="I4" s="4292" t="s">
        <v>801</v>
      </c>
      <c r="J4" s="4293"/>
      <c r="K4" s="514" t="s">
        <v>802</v>
      </c>
      <c r="L4" s="2118"/>
      <c r="M4" s="2119"/>
      <c r="N4" s="2119"/>
      <c r="O4" s="2119"/>
      <c r="P4" s="4294" t="s">
        <v>803</v>
      </c>
      <c r="Q4" s="4295"/>
      <c r="R4" s="4300" t="s">
        <v>799</v>
      </c>
      <c r="S4" s="4301"/>
      <c r="T4" s="4300" t="s">
        <v>800</v>
      </c>
      <c r="U4" s="4301"/>
      <c r="V4" s="4287" t="s">
        <v>801</v>
      </c>
      <c r="W4" s="4287"/>
      <c r="X4" s="1553"/>
      <c r="Y4" s="4300" t="s">
        <v>803</v>
      </c>
      <c r="Z4" s="4301"/>
      <c r="AA4" s="4289" t="s">
        <v>799</v>
      </c>
      <c r="AB4" s="4290" t="s">
        <v>800</v>
      </c>
      <c r="AC4" s="4289" t="s">
        <v>801</v>
      </c>
    </row>
    <row r="5" spans="1:29" ht="15">
      <c r="A5" s="515"/>
      <c r="B5" s="516"/>
      <c r="C5" s="4308" t="s">
        <v>2925</v>
      </c>
      <c r="D5" s="4309"/>
      <c r="E5" s="4328" t="s">
        <v>2926</v>
      </c>
      <c r="F5" s="4329"/>
      <c r="G5" s="4308" t="s">
        <v>2927</v>
      </c>
      <c r="H5" s="4309"/>
      <c r="I5" s="4308" t="s">
        <v>2928</v>
      </c>
      <c r="J5" s="4309"/>
      <c r="K5" s="514"/>
      <c r="L5" s="2118"/>
      <c r="M5" s="2119"/>
      <c r="N5" s="2119"/>
      <c r="O5" s="2119"/>
      <c r="P5" s="4296"/>
      <c r="Q5" s="4297"/>
      <c r="R5" s="4302"/>
      <c r="S5" s="4303"/>
      <c r="T5" s="4302"/>
      <c r="U5" s="4303"/>
      <c r="V5" s="4287"/>
      <c r="W5" s="4287"/>
      <c r="X5" s="1553"/>
      <c r="Y5" s="4302"/>
      <c r="Z5" s="4303"/>
      <c r="AA5" s="4290"/>
      <c r="AB5" s="4290"/>
      <c r="AC5" s="4290"/>
    </row>
    <row r="6" spans="1:29" ht="15.75" thickBot="1">
      <c r="A6" s="517"/>
      <c r="B6" s="518"/>
      <c r="C6" s="4306" t="s">
        <v>2929</v>
      </c>
      <c r="D6" s="4307"/>
      <c r="E6" s="4324" t="s">
        <v>2929</v>
      </c>
      <c r="F6" s="4325"/>
      <c r="G6" s="4306" t="s">
        <v>2929</v>
      </c>
      <c r="H6" s="4307"/>
      <c r="I6" s="4306" t="s">
        <v>2929</v>
      </c>
      <c r="J6" s="4307"/>
      <c r="K6" s="514" t="s">
        <v>528</v>
      </c>
      <c r="L6" s="2118"/>
      <c r="M6" s="2119"/>
      <c r="N6" s="2119"/>
      <c r="O6" s="2119"/>
      <c r="P6" s="4298"/>
      <c r="Q6" s="4299"/>
      <c r="R6" s="4302"/>
      <c r="S6" s="4303"/>
      <c r="T6" s="4304"/>
      <c r="U6" s="4305"/>
      <c r="V6" s="4287"/>
      <c r="W6" s="4287"/>
      <c r="X6" s="1553"/>
      <c r="Y6" s="4304"/>
      <c r="Z6" s="4305"/>
      <c r="AA6" s="4291"/>
      <c r="AB6" s="4291"/>
      <c r="AC6" s="4291"/>
    </row>
    <row r="7" spans="1:29" s="1216" customFormat="1" ht="15.75" thickBot="1">
      <c r="A7" s="2867"/>
      <c r="B7" s="2874" t="s">
        <v>529</v>
      </c>
      <c r="C7" s="519">
        <f>'数据-取费表'!B2</f>
        <v>43647</v>
      </c>
      <c r="D7" s="520">
        <v>100</v>
      </c>
      <c r="E7" s="521"/>
      <c r="F7" s="522">
        <f>SUMIF(46:46,YEAR(E7)&amp;"-"&amp;MONTH(E7),47:47)</f>
        <v>0</v>
      </c>
      <c r="G7" s="523"/>
      <c r="H7" s="520">
        <f>SUMIF(46:46,YEAR(G7)&amp;"-"&amp;MONTH(G7),47:47)</f>
        <v>0</v>
      </c>
      <c r="I7" s="523"/>
      <c r="J7" s="520">
        <f>SUMIF(46:46,YEAR(I7)&amp;"-"&amp;MONTH(I7),47:47)</f>
        <v>0</v>
      </c>
      <c r="K7" s="524"/>
      <c r="L7" s="2120"/>
      <c r="M7" s="2121"/>
      <c r="N7" s="2121"/>
      <c r="O7" s="2121"/>
      <c r="P7" s="4317" t="s">
        <v>530</v>
      </c>
      <c r="Q7" s="4319"/>
      <c r="R7" s="1554" t="s">
        <v>8</v>
      </c>
      <c r="S7" s="1555">
        <f t="shared" ref="S7:S14" si="0">F7</f>
        <v>0</v>
      </c>
      <c r="T7" s="1554" t="s">
        <v>8</v>
      </c>
      <c r="U7" s="1555">
        <f t="shared" ref="U7:U14" si="1">H7</f>
        <v>0</v>
      </c>
      <c r="V7" s="1554" t="s">
        <v>8</v>
      </c>
      <c r="W7" s="1555">
        <f t="shared" ref="W7:W14" si="2">J7</f>
        <v>0</v>
      </c>
      <c r="X7" s="1556"/>
      <c r="Y7" s="4317" t="s">
        <v>530</v>
      </c>
      <c r="Z7" s="4318"/>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4317" t="s">
        <v>533</v>
      </c>
      <c r="Q8" s="4318"/>
      <c r="R8" s="1554" t="s">
        <v>8</v>
      </c>
      <c r="S8" s="1555">
        <f t="shared" si="0"/>
        <v>0</v>
      </c>
      <c r="T8" s="1554" t="s">
        <v>8</v>
      </c>
      <c r="U8" s="1555">
        <f t="shared" si="1"/>
        <v>0</v>
      </c>
      <c r="V8" s="1554" t="s">
        <v>8</v>
      </c>
      <c r="W8" s="1555">
        <f t="shared" si="2"/>
        <v>0</v>
      </c>
      <c r="X8" s="1556"/>
      <c r="Y8" s="4317" t="s">
        <v>533</v>
      </c>
      <c r="Z8" s="4318"/>
      <c r="AA8" s="1557" t="e">
        <f t="shared" ref="AA8:AA34" si="3">D8/F8</f>
        <v>#DIV/0!</v>
      </c>
      <c r="AB8" s="1557" t="e">
        <f t="shared" ref="AB8:AB34" si="4">D8/H8</f>
        <v>#DIV/0!</v>
      </c>
      <c r="AC8" s="1557" t="e">
        <f t="shared" ref="AC8:AC34" si="5">D8/J8</f>
        <v>#DIV/0!</v>
      </c>
    </row>
    <row r="9" spans="1:29" s="1216" customFormat="1" ht="15">
      <c r="A9" s="2869"/>
      <c r="B9" s="2876" t="s">
        <v>2754</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4286" t="s">
        <v>535</v>
      </c>
      <c r="Q9" s="1147" t="str">
        <f t="shared" ref="Q9:Q14" si="6">B9</f>
        <v>用途</v>
      </c>
      <c r="R9" s="1554" t="s">
        <v>8</v>
      </c>
      <c r="S9" s="1555">
        <f t="shared" si="0"/>
        <v>100</v>
      </c>
      <c r="T9" s="1554" t="s">
        <v>8</v>
      </c>
      <c r="U9" s="1555">
        <f t="shared" si="1"/>
        <v>100</v>
      </c>
      <c r="V9" s="1554" t="s">
        <v>8</v>
      </c>
      <c r="W9" s="1555">
        <f t="shared" si="2"/>
        <v>100</v>
      </c>
      <c r="X9" s="1556"/>
      <c r="Y9" s="4232" t="s">
        <v>536</v>
      </c>
      <c r="Z9" s="1146" t="str">
        <f t="shared" ref="Z9:Z14" si="7">Q9</f>
        <v>用途</v>
      </c>
      <c r="AA9" s="1557">
        <f t="shared" si="3"/>
        <v>1</v>
      </c>
      <c r="AB9" s="1557">
        <f t="shared" si="4"/>
        <v>1</v>
      </c>
      <c r="AC9" s="1557">
        <f t="shared" si="5"/>
        <v>1</v>
      </c>
    </row>
    <row r="10" spans="1:29" s="1334" customFormat="1" ht="27">
      <c r="A10" s="2870"/>
      <c r="B10" s="2875" t="s">
        <v>2755</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4286"/>
      <c r="Q10" s="1147" t="str">
        <f t="shared" si="6"/>
        <v>土地使用年限（年）</v>
      </c>
      <c r="R10" s="1554" t="s">
        <v>8</v>
      </c>
      <c r="S10" s="1555">
        <f t="shared" si="0"/>
        <v>100</v>
      </c>
      <c r="T10" s="1554" t="s">
        <v>8</v>
      </c>
      <c r="U10" s="1555">
        <f t="shared" si="1"/>
        <v>100</v>
      </c>
      <c r="V10" s="1554" t="s">
        <v>8</v>
      </c>
      <c r="W10" s="1555">
        <f t="shared" si="2"/>
        <v>100</v>
      </c>
      <c r="X10" s="1556"/>
      <c r="Y10" s="4232"/>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4286"/>
      <c r="Q11" s="1147">
        <f t="shared" si="6"/>
        <v>111</v>
      </c>
      <c r="R11" s="1554" t="s">
        <v>8</v>
      </c>
      <c r="S11" s="1555">
        <f t="shared" si="0"/>
        <v>100</v>
      </c>
      <c r="T11" s="1554" t="s">
        <v>8</v>
      </c>
      <c r="U11" s="1555">
        <f t="shared" si="1"/>
        <v>100</v>
      </c>
      <c r="V11" s="1554" t="s">
        <v>8</v>
      </c>
      <c r="W11" s="1555">
        <f t="shared" si="2"/>
        <v>100</v>
      </c>
      <c r="X11" s="1556"/>
      <c r="Y11" s="4232"/>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4286"/>
      <c r="Q12" s="1147">
        <f t="shared" si="6"/>
        <v>111</v>
      </c>
      <c r="R12" s="1554" t="s">
        <v>8</v>
      </c>
      <c r="S12" s="1555">
        <f t="shared" si="0"/>
        <v>100</v>
      </c>
      <c r="T12" s="1554" t="s">
        <v>8</v>
      </c>
      <c r="U12" s="1555">
        <f t="shared" si="1"/>
        <v>100</v>
      </c>
      <c r="V12" s="1554" t="s">
        <v>8</v>
      </c>
      <c r="W12" s="1555">
        <f t="shared" si="2"/>
        <v>100</v>
      </c>
      <c r="X12" s="1556"/>
      <c r="Y12" s="4232"/>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4286"/>
      <c r="Q13" s="1147">
        <f t="shared" si="6"/>
        <v>111</v>
      </c>
      <c r="R13" s="1554" t="s">
        <v>8</v>
      </c>
      <c r="S13" s="1555">
        <f t="shared" si="0"/>
        <v>100</v>
      </c>
      <c r="T13" s="1554" t="s">
        <v>8</v>
      </c>
      <c r="U13" s="1555">
        <f t="shared" si="1"/>
        <v>100</v>
      </c>
      <c r="V13" s="1554" t="s">
        <v>8</v>
      </c>
      <c r="W13" s="1555">
        <f t="shared" si="2"/>
        <v>100</v>
      </c>
      <c r="X13" s="1556"/>
      <c r="Y13" s="4232"/>
      <c r="Z13" s="1146">
        <f t="shared" si="7"/>
        <v>111</v>
      </c>
      <c r="AA13" s="1557">
        <f t="shared" si="3"/>
        <v>1</v>
      </c>
      <c r="AB13" s="1557">
        <f t="shared" si="4"/>
        <v>1</v>
      </c>
      <c r="AC13" s="1557">
        <f t="shared" si="5"/>
        <v>1</v>
      </c>
    </row>
    <row r="14" spans="1:29" ht="128.25">
      <c r="A14" s="2865" t="s">
        <v>2752</v>
      </c>
      <c r="B14" s="166" t="s">
        <v>543</v>
      </c>
      <c r="C14" s="921" t="str">
        <f>IF(B1="工业",估价对象房地状况!G4,估价对象房地状况!C6)</f>
        <v>周边道路密集程度一般、公共交通通达情况一般，有107路，203路、等公交线路通过，停车便捷程度一般，综合评价交通便捷度一般。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4320" t="s">
        <v>540</v>
      </c>
      <c r="Q14" s="1558" t="str">
        <f t="shared" si="6"/>
        <v>交通便捷度</v>
      </c>
      <c r="R14" s="1559" t="s">
        <v>8</v>
      </c>
      <c r="S14" s="1560">
        <f t="shared" si="0"/>
        <v>100</v>
      </c>
      <c r="T14" s="1559" t="s">
        <v>8</v>
      </c>
      <c r="U14" s="1560">
        <f t="shared" si="1"/>
        <v>100</v>
      </c>
      <c r="V14" s="1559" t="s">
        <v>8</v>
      </c>
      <c r="W14" s="1560">
        <f t="shared" si="2"/>
        <v>100</v>
      </c>
      <c r="X14" s="1553"/>
      <c r="Y14" s="4320"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4321"/>
      <c r="Q15" s="1558"/>
      <c r="R15" s="1559"/>
      <c r="S15" s="1560"/>
      <c r="T15" s="1559"/>
      <c r="U15" s="1560"/>
      <c r="V15" s="1559"/>
      <c r="W15" s="1560"/>
      <c r="X15" s="1553"/>
      <c r="Y15" s="4321"/>
      <c r="Z15" s="1561"/>
      <c r="AA15" s="1562">
        <v>1</v>
      </c>
      <c r="AB15" s="1562">
        <v>1</v>
      </c>
      <c r="AC15" s="1562">
        <v>1</v>
      </c>
    </row>
    <row r="16" spans="1:29" ht="128.25">
      <c r="A16" s="532"/>
      <c r="B16" s="2567" t="s">
        <v>2544</v>
      </c>
      <c r="C16" s="872" t="str">
        <f>IF(B1="工业",估价对象房地状况!G5,估价对象房地状况!C7)</f>
        <v>所在区域2公里范围内有银行（中国邮政储蓄银行）、学校（巴川中学）、商业（无）、医院（无）等配套设施，公共配套设施一般；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4321"/>
      <c r="Q16" s="1558" t="str">
        <f>B16</f>
        <v>公共配套设施</v>
      </c>
      <c r="R16" s="1559" t="s">
        <v>8</v>
      </c>
      <c r="S16" s="1560">
        <f>F16</f>
        <v>100</v>
      </c>
      <c r="T16" s="1559" t="s">
        <v>8</v>
      </c>
      <c r="U16" s="1560">
        <f>H16</f>
        <v>100</v>
      </c>
      <c r="V16" s="1559" t="s">
        <v>8</v>
      </c>
      <c r="W16" s="1560">
        <f>J16</f>
        <v>100</v>
      </c>
      <c r="X16" s="1553"/>
      <c r="Y16" s="4321"/>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4321"/>
      <c r="Q17" s="1558"/>
      <c r="R17" s="1559"/>
      <c r="S17" s="1560"/>
      <c r="T17" s="1559"/>
      <c r="U17" s="1560"/>
      <c r="V17" s="1559"/>
      <c r="W17" s="1560"/>
      <c r="X17" s="1553"/>
      <c r="Y17" s="4321"/>
      <c r="Z17" s="1561"/>
      <c r="AA17" s="1562">
        <v>1</v>
      </c>
      <c r="AB17" s="1562">
        <v>1</v>
      </c>
      <c r="AC17" s="1562">
        <v>1</v>
      </c>
    </row>
    <row r="18" spans="1:29" ht="28.5">
      <c r="A18" s="532"/>
      <c r="B18" s="2555" t="s">
        <v>2556</v>
      </c>
      <c r="C18" s="872" t="str">
        <f>IF(B1="工业",估价对象房地状况!G6,估价对象房地状况!C8)</f>
        <v>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4321"/>
      <c r="Q18" s="2543" t="str">
        <f>B18</f>
        <v>基础设施水平</v>
      </c>
      <c r="R18" s="1559" t="s">
        <v>8</v>
      </c>
      <c r="S18" s="1560">
        <f>F18</f>
        <v>100</v>
      </c>
      <c r="T18" s="1559" t="s">
        <v>8</v>
      </c>
      <c r="U18" s="1560">
        <f>H18</f>
        <v>100</v>
      </c>
      <c r="V18" s="1559" t="s">
        <v>8</v>
      </c>
      <c r="W18" s="1560">
        <f>J18</f>
        <v>100</v>
      </c>
      <c r="X18" s="2545"/>
      <c r="Y18" s="4321"/>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4321"/>
      <c r="Q19" s="2543"/>
      <c r="R19" s="1559"/>
      <c r="S19" s="1560"/>
      <c r="T19" s="1559"/>
      <c r="U19" s="1560"/>
      <c r="V19" s="1559"/>
      <c r="W19" s="1560"/>
      <c r="X19" s="2545"/>
      <c r="Y19" s="4321"/>
      <c r="Z19" s="2544"/>
      <c r="AA19" s="1562">
        <v>1</v>
      </c>
      <c r="AB19" s="1562">
        <v>1</v>
      </c>
      <c r="AC19" s="1562">
        <v>1</v>
      </c>
    </row>
    <row r="20" spans="1:29" ht="85.5">
      <c r="A20" s="532"/>
      <c r="B20" s="871" t="s">
        <v>804</v>
      </c>
      <c r="C20" s="872" t="str">
        <f>IF(B1="工业",估价对象房地状况!G7,估价对象房地状况!C9)</f>
        <v>周边自然环境（项目内部天鹅湖）；人文环境（潼南区图书馆），综合评价环境状况较好；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4321"/>
      <c r="Q20" s="1558" t="str">
        <f>B20</f>
        <v>自然及人文环境</v>
      </c>
      <c r="R20" s="1559" t="s">
        <v>8</v>
      </c>
      <c r="S20" s="1560">
        <f>F20</f>
        <v>100</v>
      </c>
      <c r="T20" s="1559" t="s">
        <v>8</v>
      </c>
      <c r="U20" s="1560">
        <f>H20</f>
        <v>100</v>
      </c>
      <c r="V20" s="1559" t="s">
        <v>8</v>
      </c>
      <c r="W20" s="1560">
        <f>J20</f>
        <v>100</v>
      </c>
      <c r="X20" s="1553"/>
      <c r="Y20" s="4321"/>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4321"/>
      <c r="Q21" s="1558"/>
      <c r="R21" s="1559"/>
      <c r="S21" s="1560"/>
      <c r="T21" s="1559"/>
      <c r="U21" s="1560"/>
      <c r="V21" s="1559"/>
      <c r="W21" s="1560"/>
      <c r="X21" s="1553"/>
      <c r="Y21" s="4321"/>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4321"/>
      <c r="Q22" s="1558" t="str">
        <f>B22</f>
        <v>楼层</v>
      </c>
      <c r="R22" s="1559" t="s">
        <v>8</v>
      </c>
      <c r="S22" s="1560">
        <f>F22</f>
        <v>100</v>
      </c>
      <c r="T22" s="1559" t="s">
        <v>8</v>
      </c>
      <c r="U22" s="1560">
        <f>H22</f>
        <v>100</v>
      </c>
      <c r="V22" s="1559" t="s">
        <v>8</v>
      </c>
      <c r="W22" s="1560">
        <f>J22</f>
        <v>100</v>
      </c>
      <c r="X22" s="1553"/>
      <c r="Y22" s="4321"/>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4321"/>
      <c r="Q23" s="1558">
        <f>B23</f>
        <v>111</v>
      </c>
      <c r="R23" s="1559" t="s">
        <v>8</v>
      </c>
      <c r="S23" s="1560">
        <f>F23</f>
        <v>100</v>
      </c>
      <c r="T23" s="1559" t="s">
        <v>8</v>
      </c>
      <c r="U23" s="1560">
        <f>H23</f>
        <v>100</v>
      </c>
      <c r="V23" s="1559" t="s">
        <v>8</v>
      </c>
      <c r="W23" s="1560">
        <f>J23</f>
        <v>100</v>
      </c>
      <c r="X23" s="1553"/>
      <c r="Y23" s="4321"/>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4321"/>
      <c r="Q24" s="1558">
        <f t="shared" ref="Q24:Q34" si="11">B24</f>
        <v>111</v>
      </c>
      <c r="R24" s="1559" t="s">
        <v>8</v>
      </c>
      <c r="S24" s="1560">
        <f>F24</f>
        <v>100</v>
      </c>
      <c r="T24" s="1559" t="s">
        <v>8</v>
      </c>
      <c r="U24" s="1560">
        <f>H24</f>
        <v>100</v>
      </c>
      <c r="V24" s="1559" t="s">
        <v>8</v>
      </c>
      <c r="W24" s="1560">
        <f>J24</f>
        <v>100</v>
      </c>
      <c r="X24" s="1553"/>
      <c r="Y24" s="4321"/>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4321"/>
      <c r="Q25" s="1147">
        <f t="shared" si="11"/>
        <v>111</v>
      </c>
      <c r="R25" s="1554" t="s">
        <v>8</v>
      </c>
      <c r="S25" s="1555">
        <f>F25</f>
        <v>100</v>
      </c>
      <c r="T25" s="1554" t="s">
        <v>8</v>
      </c>
      <c r="U25" s="1555">
        <f>H25</f>
        <v>100</v>
      </c>
      <c r="V25" s="1554" t="s">
        <v>8</v>
      </c>
      <c r="W25" s="1555">
        <f>J25</f>
        <v>100</v>
      </c>
      <c r="X25" s="1556"/>
      <c r="Y25" s="4321"/>
      <c r="Z25" s="1146">
        <f>Q25</f>
        <v>111</v>
      </c>
      <c r="AA25" s="1562">
        <f>D25/F25</f>
        <v>1</v>
      </c>
      <c r="AB25" s="1562">
        <f>D25/H25</f>
        <v>1</v>
      </c>
      <c r="AC25" s="1562">
        <f>D25/J25</f>
        <v>1</v>
      </c>
    </row>
    <row r="26" spans="1:29" ht="15">
      <c r="A26" s="2862"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4322"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4323"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4323"/>
      <c r="Q27" s="1590" t="str">
        <f t="shared" si="11"/>
        <v>成新率</v>
      </c>
      <c r="R27" s="1563" t="s">
        <v>8</v>
      </c>
      <c r="S27" s="1564" t="e">
        <f t="shared" si="12"/>
        <v>#N/A</v>
      </c>
      <c r="T27" s="1563" t="s">
        <v>8</v>
      </c>
      <c r="U27" s="1564" t="e">
        <f t="shared" si="13"/>
        <v>#N/A</v>
      </c>
      <c r="V27" s="1563" t="s">
        <v>8</v>
      </c>
      <c r="W27" s="1564" t="e">
        <f t="shared" si="14"/>
        <v>#N/A</v>
      </c>
      <c r="X27" s="1565"/>
      <c r="Y27" s="4323"/>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4323"/>
      <c r="Q28" s="1558" t="str">
        <f t="shared" si="11"/>
        <v>物业等级</v>
      </c>
      <c r="R28" s="1559" t="s">
        <v>8</v>
      </c>
      <c r="S28" s="1560">
        <f t="shared" si="12"/>
        <v>100</v>
      </c>
      <c r="T28" s="1559" t="s">
        <v>8</v>
      </c>
      <c r="U28" s="1560">
        <f t="shared" si="13"/>
        <v>100</v>
      </c>
      <c r="V28" s="1559" t="s">
        <v>8</v>
      </c>
      <c r="W28" s="1560">
        <f t="shared" si="14"/>
        <v>100</v>
      </c>
      <c r="X28" s="1553"/>
      <c r="Y28" s="4323"/>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4323"/>
      <c r="Q29" s="1558" t="str">
        <f t="shared" si="11"/>
        <v>有无电梯</v>
      </c>
      <c r="R29" s="1559" t="s">
        <v>8</v>
      </c>
      <c r="S29" s="1560">
        <f t="shared" si="12"/>
        <v>100</v>
      </c>
      <c r="T29" s="1559" t="s">
        <v>8</v>
      </c>
      <c r="U29" s="1560">
        <f t="shared" si="13"/>
        <v>100</v>
      </c>
      <c r="V29" s="1559" t="s">
        <v>8</v>
      </c>
      <c r="W29" s="1560">
        <f t="shared" si="14"/>
        <v>100</v>
      </c>
      <c r="X29" s="1553"/>
      <c r="Y29" s="4323"/>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4323"/>
      <c r="Q30" s="1558" t="str">
        <f t="shared" si="11"/>
        <v>建筑面积</v>
      </c>
      <c r="R30" s="1559" t="s">
        <v>8</v>
      </c>
      <c r="S30" s="1560" t="e">
        <f t="shared" si="12"/>
        <v>#N/A</v>
      </c>
      <c r="T30" s="1559" t="s">
        <v>8</v>
      </c>
      <c r="U30" s="1560" t="e">
        <f t="shared" si="13"/>
        <v>#N/A</v>
      </c>
      <c r="V30" s="1559" t="s">
        <v>8</v>
      </c>
      <c r="W30" s="1560" t="e">
        <f t="shared" si="14"/>
        <v>#N/A</v>
      </c>
      <c r="X30" s="1553"/>
      <c r="Y30" s="4323"/>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4323"/>
      <c r="Q31" s="1147" t="str">
        <f t="shared" si="11"/>
        <v>是否封闭</v>
      </c>
      <c r="R31" s="1554" t="s">
        <v>8</v>
      </c>
      <c r="S31" s="1555">
        <f t="shared" si="12"/>
        <v>100</v>
      </c>
      <c r="T31" s="1554" t="s">
        <v>8</v>
      </c>
      <c r="U31" s="1555">
        <f t="shared" si="13"/>
        <v>100</v>
      </c>
      <c r="V31" s="1554" t="s">
        <v>8</v>
      </c>
      <c r="W31" s="1555">
        <f t="shared" si="14"/>
        <v>100</v>
      </c>
      <c r="X31" s="1556"/>
      <c r="Y31" s="4323"/>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4323" t="s">
        <v>550</v>
      </c>
      <c r="Q32" s="1558">
        <f t="shared" si="11"/>
        <v>111</v>
      </c>
      <c r="R32" s="1559" t="s">
        <v>8</v>
      </c>
      <c r="S32" s="1560">
        <f t="shared" si="12"/>
        <v>100</v>
      </c>
      <c r="T32" s="1559" t="s">
        <v>8</v>
      </c>
      <c r="U32" s="1560">
        <f t="shared" si="13"/>
        <v>100</v>
      </c>
      <c r="V32" s="1559" t="s">
        <v>8</v>
      </c>
      <c r="W32" s="1560">
        <f t="shared" si="14"/>
        <v>100</v>
      </c>
      <c r="X32" s="1553"/>
      <c r="Y32" s="4323"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4323"/>
      <c r="Q33" s="1558">
        <f t="shared" si="11"/>
        <v>111</v>
      </c>
      <c r="R33" s="1559" t="s">
        <v>8</v>
      </c>
      <c r="S33" s="1560">
        <f t="shared" si="12"/>
        <v>100</v>
      </c>
      <c r="T33" s="1559" t="s">
        <v>8</v>
      </c>
      <c r="U33" s="1560">
        <f t="shared" si="13"/>
        <v>100</v>
      </c>
      <c r="V33" s="1559" t="s">
        <v>8</v>
      </c>
      <c r="W33" s="1560">
        <f t="shared" si="14"/>
        <v>100</v>
      </c>
      <c r="X33" s="1553"/>
      <c r="Y33" s="4323"/>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4323"/>
      <c r="Q34" s="1558">
        <f t="shared" si="11"/>
        <v>111</v>
      </c>
      <c r="R34" s="1559" t="s">
        <v>8</v>
      </c>
      <c r="S34" s="1560">
        <f t="shared" si="12"/>
        <v>100</v>
      </c>
      <c r="T34" s="1559" t="s">
        <v>8</v>
      </c>
      <c r="U34" s="1560">
        <f t="shared" si="13"/>
        <v>100</v>
      </c>
      <c r="V34" s="1559" t="s">
        <v>8</v>
      </c>
      <c r="W34" s="1560">
        <f t="shared" si="14"/>
        <v>100</v>
      </c>
      <c r="X34" s="1553"/>
      <c r="Y34" s="4323"/>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4286" t="str">
        <f>A35</f>
        <v>成交单价（元/平方米）</v>
      </c>
      <c r="Q35" s="4286"/>
      <c r="R35" s="4403">
        <f>E35</f>
        <v>0</v>
      </c>
      <c r="S35" s="4403"/>
      <c r="T35" s="4403">
        <f>G35</f>
        <v>0</v>
      </c>
      <c r="U35" s="4403"/>
      <c r="V35" s="4403">
        <f>I35</f>
        <v>0</v>
      </c>
      <c r="W35" s="4403"/>
      <c r="X35" s="1545"/>
      <c r="Y35" s="1567"/>
      <c r="Z35" s="1545"/>
      <c r="AA35" s="1545"/>
      <c r="AB35" s="1545"/>
      <c r="AC35" s="1545"/>
    </row>
    <row r="36" spans="1:29" ht="15.75" thickBot="1">
      <c r="A36" s="615" t="s">
        <v>2758</v>
      </c>
      <c r="B36" s="888"/>
      <c r="C36" s="2597" t="e">
        <f>R37</f>
        <v>#DIV/0!</v>
      </c>
      <c r="D36" s="2598"/>
      <c r="E36" s="2599" t="e">
        <f>R36</f>
        <v>#DIV/0!</v>
      </c>
      <c r="F36" s="2599"/>
      <c r="G36" s="2597" t="e">
        <f>T36</f>
        <v>#DIV/0!</v>
      </c>
      <c r="H36" s="2598"/>
      <c r="I36" s="2599" t="e">
        <f>V36</f>
        <v>#DIV/0!</v>
      </c>
      <c r="J36" s="2598"/>
      <c r="K36" s="1597"/>
      <c r="L36" s="2129"/>
      <c r="M36" s="2130"/>
      <c r="N36" s="2119"/>
      <c r="O36" s="2130"/>
      <c r="P36" s="4286" t="str">
        <f>A36</f>
        <v>比较价格（元/平方米）</v>
      </c>
      <c r="Q36" s="4286"/>
      <c r="R36" s="4403" t="e">
        <f>IF(F1="售价",ROUND(PRODUCT(R35,AA7:AA34),0),ROUND(PRODUCT(R35,AA7:AA34),1))</f>
        <v>#DIV/0!</v>
      </c>
      <c r="S36" s="4403"/>
      <c r="T36" s="4403" t="e">
        <f>IF(F1="售价",ROUND(PRODUCT(T35,AB7:AB34),0),ROUND(PRODUCT(T35,AB7:AB34),1))</f>
        <v>#DIV/0!</v>
      </c>
      <c r="U36" s="4403"/>
      <c r="V36" s="4403" t="e">
        <f>IF(F1="售价",ROUND(PRODUCT(V35,AC7:AC34),0),ROUND(PRODUCT(V35,AC7:AC34),1))</f>
        <v>#DIV/0!</v>
      </c>
      <c r="W36" s="4403"/>
      <c r="X36" s="1545"/>
      <c r="Y36" s="1545"/>
      <c r="Z36" s="1545"/>
      <c r="AA36" s="1545"/>
      <c r="AB36" s="1545"/>
      <c r="AC36" s="1545"/>
    </row>
    <row r="37" spans="1:29" ht="15.75" thickBot="1">
      <c r="A37" s="621" t="s">
        <v>2931</v>
      </c>
      <c r="B37" s="622"/>
      <c r="C37" s="2600" t="e">
        <f>R37</f>
        <v>#DIV/0!</v>
      </c>
      <c r="D37" s="2600"/>
      <c r="E37" s="2600"/>
      <c r="F37" s="2600"/>
      <c r="G37" s="2600"/>
      <c r="H37" s="2600"/>
      <c r="I37" s="2600"/>
      <c r="J37" s="2600"/>
      <c r="K37" s="1598"/>
      <c r="L37" s="2129"/>
      <c r="M37" s="2130"/>
      <c r="N37" s="2130"/>
      <c r="O37" s="2130"/>
      <c r="P37" s="4283" t="str">
        <f>A37</f>
        <v>估价对象XX用房的比较价格（楼面单价，元/平方米）</v>
      </c>
      <c r="Q37" s="4284"/>
      <c r="R37" s="4402" t="e">
        <f>IF(F1="售价",ROUND(AVERAGE(R36:V36),0),ROUND(AVERAGE(R36:V36),1))</f>
        <v>#DIV/0!</v>
      </c>
      <c r="S37" s="4402"/>
      <c r="T37" s="4402"/>
      <c r="U37" s="4402"/>
      <c r="V37" s="4402"/>
      <c r="W37" s="440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2019-7</v>
      </c>
      <c r="D46" s="2759">
        <f>EDATE(C46,-1)</f>
        <v>43617</v>
      </c>
      <c r="E46" s="2759">
        <f t="shared" ref="E46:O46" si="16">EDATE(D46,-1)</f>
        <v>43586</v>
      </c>
      <c r="F46" s="2759">
        <f t="shared" si="16"/>
        <v>43556</v>
      </c>
      <c r="G46" s="2759">
        <f t="shared" si="16"/>
        <v>43525</v>
      </c>
      <c r="H46" s="2759">
        <f t="shared" si="16"/>
        <v>43497</v>
      </c>
      <c r="I46" s="2759">
        <f t="shared" si="16"/>
        <v>43466</v>
      </c>
      <c r="J46" s="2759">
        <f t="shared" si="16"/>
        <v>43435</v>
      </c>
      <c r="K46" s="2759">
        <f t="shared" si="16"/>
        <v>43405</v>
      </c>
      <c r="L46" s="2759">
        <f t="shared" si="16"/>
        <v>43374</v>
      </c>
      <c r="M46" s="2759">
        <f t="shared" si="16"/>
        <v>43344</v>
      </c>
      <c r="N46" s="2759">
        <f t="shared" si="16"/>
        <v>43313</v>
      </c>
      <c r="O46" s="2759">
        <f t="shared" si="16"/>
        <v>43282</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4414" t="s">
        <v>2304</v>
      </c>
      <c r="D1" s="4415"/>
      <c r="E1" s="4415"/>
      <c r="F1" s="4415"/>
      <c r="G1" s="4415"/>
      <c r="H1" s="4415"/>
      <c r="I1" s="4415"/>
      <c r="J1" s="4415"/>
      <c r="K1" s="4415"/>
      <c r="L1" s="4415"/>
      <c r="M1" s="4415"/>
      <c r="N1" s="4415"/>
      <c r="O1" s="4415"/>
      <c r="P1" s="4415"/>
      <c r="Q1" s="4415"/>
      <c r="R1" s="4415"/>
      <c r="S1" s="4416"/>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2924</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2923</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2922</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2935</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2921</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2920</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4411" t="s">
        <v>20</v>
      </c>
      <c r="D22" s="4412"/>
      <c r="E22" s="4412"/>
      <c r="F22" s="4412"/>
      <c r="G22" s="4412"/>
      <c r="H22" s="4412"/>
      <c r="I22" s="4412"/>
      <c r="J22" s="4412"/>
      <c r="K22" s="4412"/>
      <c r="L22" s="4412"/>
      <c r="M22" s="4412"/>
      <c r="N22" s="4412"/>
      <c r="O22" s="4412"/>
      <c r="P22" s="4412"/>
      <c r="Q22" s="4413"/>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2" sqref="F62"/>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2997</v>
      </c>
      <c r="D1" s="3076" t="s">
        <v>3010</v>
      </c>
      <c r="E1" s="2351" t="s">
        <v>870</v>
      </c>
      <c r="F1" s="2352">
        <f ca="1">J53</f>
        <v>32.520000000000003</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3146</v>
      </c>
      <c r="C2" s="2042"/>
      <c r="D2" s="2040"/>
      <c r="E2" s="2041"/>
      <c r="F2" s="2041"/>
      <c r="G2" s="1576"/>
      <c r="H2" s="2042"/>
      <c r="I2" s="2042"/>
      <c r="J2" s="2042"/>
      <c r="K2" s="2043"/>
      <c r="L2" s="2042"/>
      <c r="M2" s="2042"/>
    </row>
    <row r="3" spans="1:33" ht="18" customHeight="1" thickBot="1">
      <c r="A3" s="833" t="s">
        <v>519</v>
      </c>
      <c r="B3" s="834">
        <f ca="1">IF(ISERROR(B2*10000/F43),0,ROUND(B2*10000/F43,0))</f>
        <v>1734</v>
      </c>
      <c r="C3" s="2042"/>
      <c r="D3" s="2040"/>
      <c r="E3" s="2041"/>
      <c r="F3" s="2041"/>
      <c r="G3" s="1576"/>
      <c r="H3" s="776" t="s">
        <v>695</v>
      </c>
      <c r="I3" s="1359"/>
      <c r="J3" s="1359"/>
      <c r="K3" s="1577"/>
      <c r="L3" s="1359"/>
      <c r="M3" s="1359"/>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2456</v>
      </c>
      <c r="C5" s="55">
        <f ca="1">C6+C10+C12</f>
        <v>321</v>
      </c>
      <c r="D5" s="2460" t="s">
        <v>2459</v>
      </c>
      <c r="E5" s="2454"/>
      <c r="F5" s="2455"/>
      <c r="G5" s="1578"/>
      <c r="H5" s="781">
        <v>1</v>
      </c>
      <c r="I5" s="782" t="s">
        <v>2456</v>
      </c>
      <c r="J5" s="55">
        <f ca="1">J6+J10+J12</f>
        <v>0</v>
      </c>
      <c r="K5" s="2460" t="s">
        <v>2459</v>
      </c>
      <c r="L5" s="2454"/>
      <c r="M5" s="2455"/>
    </row>
    <row r="6" spans="1:33" ht="18" customHeight="1">
      <c r="A6" s="1815" t="s">
        <v>1824</v>
      </c>
      <c r="B6" s="4373" t="s">
        <v>2461</v>
      </c>
      <c r="C6" s="783">
        <f ca="1">ROUND(F6*F8*F7*(1-F9)/10000,0)</f>
        <v>321</v>
      </c>
      <c r="D6" s="2461" t="s">
        <v>2460</v>
      </c>
      <c r="E6" s="784" t="s">
        <v>637</v>
      </c>
      <c r="F6" s="785">
        <f ca="1">INDIRECT("'数据-取费表'!u"&amp;$G$1)</f>
        <v>0.5</v>
      </c>
      <c r="G6" s="1578"/>
      <c r="H6" s="2468" t="s">
        <v>1824</v>
      </c>
      <c r="I6" s="4373" t="s">
        <v>2461</v>
      </c>
      <c r="J6" s="783">
        <f ca="1">ROUND(M6*M8*M7*(1-M9)/10000,0)</f>
        <v>0</v>
      </c>
      <c r="K6" s="341" t="s">
        <v>636</v>
      </c>
      <c r="L6" s="784" t="s">
        <v>637</v>
      </c>
      <c r="M6" s="785">
        <f ca="1">INDIRECT("'数据-取费表'!z"&amp;$G$1)</f>
        <v>0</v>
      </c>
    </row>
    <row r="7" spans="1:33" ht="18" customHeight="1">
      <c r="A7" s="2464"/>
      <c r="B7" s="4374"/>
      <c r="C7" s="788"/>
      <c r="D7" s="789"/>
      <c r="E7" s="784" t="s">
        <v>638</v>
      </c>
      <c r="F7" s="785">
        <f ca="1">IF(INDIRECT("'数据-取费表'!ah"&amp;$G$1)="",INDIRECT("'数据-取费表'!k"&amp;$G$1),INDIRECT("'数据-取费表'!ah"&amp;$G$1))</f>
        <v>18144.46</v>
      </c>
      <c r="G7" s="1578"/>
      <c r="H7" s="2453"/>
      <c r="I7" s="4374"/>
      <c r="J7" s="788"/>
      <c r="K7" s="789"/>
      <c r="L7" s="784" t="s">
        <v>638</v>
      </c>
      <c r="M7" s="785">
        <f ca="1">F7</f>
        <v>18144.46</v>
      </c>
    </row>
    <row r="8" spans="1:33" ht="18" customHeight="1">
      <c r="A8" s="2457"/>
      <c r="B8" s="4375"/>
      <c r="C8" s="788"/>
      <c r="D8" s="789"/>
      <c r="E8" s="784" t="s">
        <v>639</v>
      </c>
      <c r="F8" s="785">
        <f ca="1">INDIRECT("'数据-取费表'!ai"&amp;$G$1)</f>
        <v>365</v>
      </c>
      <c r="G8" s="1578"/>
      <c r="H8" s="2453"/>
      <c r="I8" s="4375"/>
      <c r="J8" s="788"/>
      <c r="K8" s="789"/>
      <c r="L8" s="784" t="s">
        <v>639</v>
      </c>
      <c r="M8" s="785">
        <f ca="1">INDIRECT("'数据-取费表'!ai"&amp;$G$1)</f>
        <v>365</v>
      </c>
    </row>
    <row r="9" spans="1:33" ht="18" customHeight="1">
      <c r="A9" s="786"/>
      <c r="B9" s="4376"/>
      <c r="C9" s="788"/>
      <c r="D9" s="789"/>
      <c r="E9" s="784" t="s">
        <v>640</v>
      </c>
      <c r="F9" s="794">
        <f ca="1">INDIRECT("'数据-取费表'!w"&amp;$G$1)</f>
        <v>0.03</v>
      </c>
      <c r="G9" s="1578"/>
      <c r="H9" s="2469"/>
      <c r="I9" s="4375"/>
      <c r="J9" s="788"/>
      <c r="K9" s="789"/>
      <c r="L9" s="795" t="s">
        <v>640</v>
      </c>
      <c r="M9" s="796">
        <f ca="1">INDIRECT("'数据-取费表'!ab"&amp;$G$1)</f>
        <v>0</v>
      </c>
    </row>
    <row r="10" spans="1:33" ht="18" customHeight="1">
      <c r="A10" s="1815" t="s">
        <v>1825</v>
      </c>
      <c r="B10" s="2458" t="s">
        <v>2457</v>
      </c>
      <c r="C10" s="799">
        <f ca="1">ROUND(IF(F10="押一",C6/12*F11,IF(F10="押二",C6/12*2*F11,IF(F10="押三",C6/12*3*F11,C11*F11))),0)</f>
        <v>0</v>
      </c>
      <c r="D10" s="2465" t="s">
        <v>2969</v>
      </c>
      <c r="E10" s="2462" t="s">
        <v>2462</v>
      </c>
      <c r="F10" s="2585" t="s">
        <v>3009</v>
      </c>
      <c r="G10" s="1578"/>
      <c r="H10" s="2525" t="s">
        <v>1825</v>
      </c>
      <c r="I10" s="2530" t="s">
        <v>2457</v>
      </c>
      <c r="J10" s="783">
        <f ca="1">ROUND(IF(M10="押一",J6/12*M11,IF(M10="押二",J6/12*2*M11,IF(M10="押三",J6/12*3*M11,J11*M11))),0)</f>
        <v>0</v>
      </c>
      <c r="K10" s="2465" t="s">
        <v>2969</v>
      </c>
      <c r="L10" s="2462" t="s">
        <v>2462</v>
      </c>
      <c r="M10" s="2585"/>
    </row>
    <row r="11" spans="1:33" ht="18" customHeight="1">
      <c r="A11" s="790"/>
      <c r="B11" s="2459" t="s">
        <v>2571</v>
      </c>
      <c r="C11" s="2463"/>
      <c r="D11" s="789"/>
      <c r="E11" s="2462" t="s">
        <v>2454</v>
      </c>
      <c r="F11" s="796">
        <f ca="1">'数据-取费表'!B39</f>
        <v>1.4999999999999999E-2</v>
      </c>
      <c r="G11" s="1578"/>
      <c r="H11" s="2526"/>
      <c r="I11" s="2459" t="s">
        <v>2571</v>
      </c>
      <c r="J11" s="2463"/>
      <c r="K11" s="2527"/>
      <c r="L11" s="2462" t="s">
        <v>2454</v>
      </c>
      <c r="M11" s="2456">
        <f ca="1">'数据-取费表'!B39</f>
        <v>1.4999999999999999E-2</v>
      </c>
    </row>
    <row r="12" spans="1:33" ht="18" customHeight="1" thickBot="1">
      <c r="A12" s="2501" t="s">
        <v>2465</v>
      </c>
      <c r="B12" s="2502" t="s">
        <v>2458</v>
      </c>
      <c r="C12" s="2503"/>
      <c r="D12" s="2504"/>
      <c r="E12" s="2505"/>
      <c r="F12" s="2506"/>
      <c r="G12" s="1578"/>
      <c r="H12" s="2515" t="s">
        <v>2465</v>
      </c>
      <c r="I12" s="2528" t="s">
        <v>2458</v>
      </c>
      <c r="J12" s="2529"/>
      <c r="K12" s="2504"/>
      <c r="L12" s="2505"/>
      <c r="M12" s="2518"/>
    </row>
    <row r="13" spans="1:33" ht="18" customHeight="1" thickTop="1">
      <c r="A13" s="1814">
        <v>2</v>
      </c>
      <c r="B13" s="1812" t="s">
        <v>644</v>
      </c>
      <c r="C13" s="792">
        <f ca="1">ROUND(C29*F13,0)</f>
        <v>4286</v>
      </c>
      <c r="D13" s="1819" t="s">
        <v>2297</v>
      </c>
      <c r="E13" s="1819" t="s">
        <v>643</v>
      </c>
      <c r="F13" s="2500">
        <f ca="1">INDIRECT("'数据-取费表'!y"&amp;$G$1)</f>
        <v>1</v>
      </c>
      <c r="G13" s="1578"/>
      <c r="H13" s="1814">
        <v>2</v>
      </c>
      <c r="I13" s="1812" t="s">
        <v>644</v>
      </c>
      <c r="J13" s="1804">
        <f ca="1">ROUND(J14*J15,0)</f>
        <v>0</v>
      </c>
      <c r="K13" s="1806" t="s">
        <v>642</v>
      </c>
      <c r="L13" s="2516"/>
      <c r="M13" s="2517"/>
    </row>
    <row r="14" spans="1:33" ht="18" customHeight="1">
      <c r="A14" s="1633" t="s">
        <v>1831</v>
      </c>
      <c r="B14" s="784" t="s">
        <v>645</v>
      </c>
      <c r="C14" s="804">
        <f ca="1">INDIRECT("'数据-取费表'!m"&amp;$G$1)+INDIRECT("'数据-取费表'!t"&amp;$G$1)</f>
        <v>3283</v>
      </c>
      <c r="D14" s="3181" t="s">
        <v>646</v>
      </c>
      <c r="E14" s="3180"/>
      <c r="F14" s="805"/>
      <c r="G14" s="1578"/>
      <c r="H14" s="1634" t="s">
        <v>1824</v>
      </c>
      <c r="I14" s="2216" t="s">
        <v>2823</v>
      </c>
      <c r="J14" s="53">
        <f ca="1">C29</f>
        <v>4286</v>
      </c>
      <c r="K14" s="26"/>
      <c r="L14" s="801"/>
      <c r="M14" s="802"/>
    </row>
    <row r="15" spans="1:33" s="2049" customFormat="1" ht="18" customHeight="1" thickBot="1">
      <c r="A15" s="1633" t="s">
        <v>1832</v>
      </c>
      <c r="B15" s="784" t="s">
        <v>647</v>
      </c>
      <c r="C15" s="53">
        <f ca="1">ROUND(C14*F15,0)</f>
        <v>98</v>
      </c>
      <c r="D15" s="806" t="s">
        <v>648</v>
      </c>
      <c r="E15" s="806" t="s">
        <v>649</v>
      </c>
      <c r="F15" s="807">
        <f>'数据-取费表'!B33</f>
        <v>0.03</v>
      </c>
      <c r="G15" s="1579"/>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1833</v>
      </c>
      <c r="B16" s="784" t="s">
        <v>650</v>
      </c>
      <c r="C16" s="53">
        <f ca="1">ROUND(INDIRECT("'数据-取费表'!m"&amp;$G$1)*F16,0)</f>
        <v>0</v>
      </c>
      <c r="D16" s="784" t="s">
        <v>648</v>
      </c>
      <c r="E16" s="784" t="s">
        <v>649</v>
      </c>
      <c r="F16" s="809">
        <f ca="1">IF(INDIRECT("'数据-取费表'!c"&amp;$G$1)="住宅",'数据-取费表'!B34,0)</f>
        <v>0</v>
      </c>
      <c r="G16" s="1578"/>
      <c r="H16" s="1814" t="s">
        <v>1748</v>
      </c>
      <c r="I16" s="1812" t="s">
        <v>651</v>
      </c>
      <c r="J16" s="792">
        <f ca="1">ROUND(J17+J22+J23+J24,0)</f>
        <v>428</v>
      </c>
      <c r="K16" s="1806" t="s">
        <v>652</v>
      </c>
      <c r="L16" s="3183"/>
      <c r="M16" s="2455"/>
    </row>
    <row r="17" spans="1:33" s="2049" customFormat="1" ht="18" customHeight="1">
      <c r="A17" s="1633" t="s">
        <v>1887</v>
      </c>
      <c r="B17" s="784" t="s">
        <v>653</v>
      </c>
      <c r="C17" s="53">
        <f ca="1">ROUND(F17*(F43+INDIRECT("'数据-取费表'!S"&amp;$G$1))/10000,0)</f>
        <v>219</v>
      </c>
      <c r="D17" s="784" t="s">
        <v>654</v>
      </c>
      <c r="E17" s="784" t="s">
        <v>655</v>
      </c>
      <c r="F17" s="56">
        <f>'数据-取费表'!B35</f>
        <v>120</v>
      </c>
      <c r="G17" s="1579"/>
      <c r="H17" s="1634" t="s">
        <v>1824</v>
      </c>
      <c r="I17" s="784" t="s">
        <v>656</v>
      </c>
      <c r="J17" s="53">
        <f ca="1">ROUND(IF(项目基本情况!B11="自然人",J5*M17,J18+J19+J20),0)</f>
        <v>364</v>
      </c>
      <c r="K17" s="3181" t="s">
        <v>657</v>
      </c>
      <c r="L17" s="3182"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49</v>
      </c>
      <c r="D18" s="784" t="s">
        <v>648</v>
      </c>
      <c r="E18" s="784" t="s">
        <v>649</v>
      </c>
      <c r="F18" s="809">
        <f>'数据-取费表'!B36</f>
        <v>1.4999999999999999E-2</v>
      </c>
      <c r="G18" s="1579"/>
      <c r="H18" s="1633" t="s">
        <v>1831</v>
      </c>
      <c r="I18" s="784" t="s">
        <v>660</v>
      </c>
      <c r="J18" s="53">
        <f ca="1">ROUND(J5*M18/1.05,1)</f>
        <v>0</v>
      </c>
      <c r="K18" s="3182" t="s">
        <v>661</v>
      </c>
      <c r="L18" s="784" t="s">
        <v>649</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1824</v>
      </c>
      <c r="B19" s="784" t="s">
        <v>662</v>
      </c>
      <c r="C19" s="53">
        <f ca="1">SUM(C14:C18)</f>
        <v>3649</v>
      </c>
      <c r="D19" s="261" t="s">
        <v>663</v>
      </c>
      <c r="E19" s="3184"/>
      <c r="F19" s="56"/>
      <c r="G19" s="1578"/>
      <c r="H19" s="1633" t="s">
        <v>1832</v>
      </c>
      <c r="I19" s="784" t="s">
        <v>664</v>
      </c>
      <c r="J19" s="53">
        <f ca="1">IF(K19="按租金收入计税",ROUND(J5*M19,1),ROUND(C29*F33*0.7,1))</f>
        <v>360</v>
      </c>
      <c r="K19" s="811" t="s">
        <v>665</v>
      </c>
      <c r="L19" s="784" t="s">
        <v>649</v>
      </c>
      <c r="M19" s="809">
        <f>IF(K19="按租金收入计税",'数据-取费表'!B51,'数据-取费表'!B50)</f>
        <v>1.2E-2</v>
      </c>
    </row>
    <row r="20" spans="1:33" s="2049" customFormat="1" ht="18" customHeight="1">
      <c r="A20" s="1634" t="s">
        <v>1889</v>
      </c>
      <c r="B20" s="784" t="s">
        <v>666</v>
      </c>
      <c r="C20" s="53">
        <f ca="1">ROUND(C19*F20,0)</f>
        <v>56</v>
      </c>
      <c r="D20" s="812" t="s">
        <v>667</v>
      </c>
      <c r="E20" s="784" t="s">
        <v>649</v>
      </c>
      <c r="F20" s="809">
        <f>'数据-取费表'!B37</f>
        <v>1.54E-2</v>
      </c>
      <c r="G20" s="1579"/>
      <c r="H20" s="1636" t="s">
        <v>1833</v>
      </c>
      <c r="I20" s="341" t="s">
        <v>668</v>
      </c>
      <c r="J20" s="54">
        <f ca="1">ROUND(M20*M21/10000,0)</f>
        <v>4</v>
      </c>
      <c r="K20" s="814" t="s">
        <v>669</v>
      </c>
      <c r="L20" s="784" t="s">
        <v>670</v>
      </c>
      <c r="M20" s="640">
        <f>'数据-取费表'!B52</f>
        <v>3</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671</v>
      </c>
      <c r="C21" s="53" t="s">
        <v>1764</v>
      </c>
      <c r="D21" s="812" t="s">
        <v>2298</v>
      </c>
      <c r="E21" s="784" t="s">
        <v>673</v>
      </c>
      <c r="F21" s="809">
        <f>'数据-取费表'!B38</f>
        <v>1.4999999999999999E-2</v>
      </c>
      <c r="G21" s="1579"/>
      <c r="H21" s="2470"/>
      <c r="I21" s="793"/>
      <c r="J21" s="69"/>
      <c r="K21" s="816"/>
      <c r="L21" s="784" t="s">
        <v>674</v>
      </c>
      <c r="M21" s="785">
        <f ca="1">INDIRECT("'数据-取费表'!r"&amp;$G$1)</f>
        <v>14929.09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675</v>
      </c>
      <c r="C22" s="53"/>
      <c r="D22" s="2536" t="str">
        <f>IF(F23&lt;=1,"单利计息。","复利计息。")&amp;"建造成本、管理费用、销售费用产生的利息。"</f>
        <v>复利计息。建造成本、管理费用、销售费用产生的利息。</v>
      </c>
      <c r="E22" s="3184"/>
      <c r="F22" s="56"/>
      <c r="G22" s="1578"/>
      <c r="H22" s="1634" t="s">
        <v>1889</v>
      </c>
      <c r="I22" s="784" t="s">
        <v>676</v>
      </c>
      <c r="J22" s="53">
        <f ca="1">ROUND(J14*M22,0)</f>
        <v>64</v>
      </c>
      <c r="K22" s="3182" t="s">
        <v>677</v>
      </c>
      <c r="L22" s="784" t="s">
        <v>649</v>
      </c>
      <c r="M22" s="817">
        <f ca="1">INDIRECT("'数据-取费表'!Ak"&amp;$G$1)</f>
        <v>1.4999999999999999E-2</v>
      </c>
    </row>
    <row r="23" spans="1:33" s="2049" customFormat="1" ht="18" customHeight="1">
      <c r="A23" s="1633" t="s">
        <v>1831</v>
      </c>
      <c r="B23" s="784" t="s">
        <v>2436</v>
      </c>
      <c r="C23" s="53">
        <f ca="1">ROUND(IF('数据-取费表'!B22&lt;=1,(C19+C20)*F24*F23/2,(C19+C20)*(POWER((1+F24),F23/2)-1)),0)</f>
        <v>176</v>
      </c>
      <c r="D23" s="2535" t="str">
        <f>IF(F23&lt;=1,"(建造成本+管理费用)×利率×(建设周期÷2)","(建造成本+管理费用)×((1+利率)^(建设周期÷2)-1)")</f>
        <v>(建造成本+管理费用)×((1+利率)^(建设周期÷2)-1)</v>
      </c>
      <c r="E23" s="784" t="s">
        <v>678</v>
      </c>
      <c r="F23" s="640">
        <f>'数据-取费表'!B20</f>
        <v>2</v>
      </c>
      <c r="G23" s="1579"/>
      <c r="H23" s="1634" t="s">
        <v>1890</v>
      </c>
      <c r="I23" s="784" t="s">
        <v>679</v>
      </c>
      <c r="J23" s="53">
        <f ca="1">ROUND(J13*M23,0)</f>
        <v>0</v>
      </c>
      <c r="K23" s="3182"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681</v>
      </c>
      <c r="C24" s="53">
        <f ca="1">ROUND(IF('数据-取费表'!B22&lt;=1,F21*F24*F23/2,F21*(POWER((1+F24),F23/2)-1)),4)</f>
        <v>6.9999999999999999E-4</v>
      </c>
      <c r="D24" s="2535" t="str">
        <f>IF(F23&lt;=1,"销售费用×利率×(建设周期÷2)","销售费用×((1+利率)^(建设周期÷2)-1)")</f>
        <v>销售费用×((1+利率)^(建设周期÷2)-1)</v>
      </c>
      <c r="E24" s="784" t="s">
        <v>682</v>
      </c>
      <c r="F24" s="819">
        <f ca="1">'数据-取费表'!B40</f>
        <v>4.7500000000000001E-2</v>
      </c>
      <c r="G24" s="1579"/>
      <c r="H24" s="2515" t="s">
        <v>1891</v>
      </c>
      <c r="I24" s="2510" t="s">
        <v>666</v>
      </c>
      <c r="J24" s="2508">
        <f ca="1">ROUND(J5*M24,0)</f>
        <v>0</v>
      </c>
      <c r="K24" s="2509" t="s">
        <v>683</v>
      </c>
      <c r="L24" s="2510" t="s">
        <v>649</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685</v>
      </c>
      <c r="E25" s="3184"/>
      <c r="F25" s="56"/>
      <c r="G25" s="1578"/>
      <c r="H25" s="1814" t="s">
        <v>1776</v>
      </c>
      <c r="I25" s="2962" t="s">
        <v>2820</v>
      </c>
      <c r="J25" s="792">
        <f ca="1">J5-J16</f>
        <v>-428</v>
      </c>
      <c r="K25" s="2512" t="s">
        <v>700</v>
      </c>
      <c r="L25" s="2513"/>
      <c r="M25" s="2514"/>
    </row>
    <row r="26" spans="1:33" ht="18" customHeight="1">
      <c r="A26" s="1633" t="s">
        <v>1831</v>
      </c>
      <c r="B26" s="784" t="s">
        <v>2437</v>
      </c>
      <c r="C26" s="53">
        <f ca="1">ROUND((C19+C20)*F26,0)</f>
        <v>111</v>
      </c>
      <c r="D26" s="812" t="s">
        <v>701</v>
      </c>
      <c r="E26" s="795" t="s">
        <v>702</v>
      </c>
      <c r="F26" s="794">
        <f ca="1">INDIRECT("'数据-取费表'!q"&amp;$G$1)</f>
        <v>0.03</v>
      </c>
      <c r="G26" s="1578"/>
      <c r="H26" s="2466" t="s">
        <v>1780</v>
      </c>
      <c r="I26" s="2217" t="s">
        <v>2825</v>
      </c>
      <c r="J26" s="783">
        <f ca="1">IF(J5&lt;&gt;0,ROUND(J25*(1-((1+M28)/(1+M26))^M27)/(M26-M28),0),0)</f>
        <v>0</v>
      </c>
      <c r="K26" s="814" t="s">
        <v>704</v>
      </c>
      <c r="L26" s="784" t="s">
        <v>2419</v>
      </c>
      <c r="M26" s="794">
        <f ca="1">INDIRECT("'数据-取费表'!I"&amp;$G$1)</f>
        <v>4.4999999999999998E-2</v>
      </c>
    </row>
    <row r="27" spans="1:33" ht="18" customHeight="1">
      <c r="A27" s="1633" t="s">
        <v>1832</v>
      </c>
      <c r="B27" s="784" t="s">
        <v>686</v>
      </c>
      <c r="C27" s="53">
        <f ca="1">ROUND(F21*F26,4)</f>
        <v>5.0000000000000001E-4</v>
      </c>
      <c r="D27" s="812" t="s">
        <v>706</v>
      </c>
      <c r="E27" s="806"/>
      <c r="F27" s="807"/>
      <c r="G27" s="1578"/>
      <c r="H27" s="2467"/>
      <c r="I27" s="787"/>
      <c r="J27" s="788"/>
      <c r="K27" s="821" t="s">
        <v>707</v>
      </c>
      <c r="L27" s="784" t="s">
        <v>708</v>
      </c>
      <c r="M27" s="822">
        <f ca="1">INDIRECT("'数据-取费表'!ag"&amp;$G$1)</f>
        <v>0</v>
      </c>
    </row>
    <row r="28" spans="1:33" s="2049" customFormat="1" ht="18" customHeight="1">
      <c r="A28" s="1635" t="s">
        <v>1841</v>
      </c>
      <c r="B28" s="784" t="s">
        <v>687</v>
      </c>
      <c r="C28" s="53">
        <f>ROUND(F28/(1+'数据-取费表'!C42),4)</f>
        <v>5.2400000000000002E-2</v>
      </c>
      <c r="D28" s="812" t="s">
        <v>2299</v>
      </c>
      <c r="E28" s="784" t="s">
        <v>649</v>
      </c>
      <c r="F28" s="809">
        <f>'数据-取费表'!B41</f>
        <v>5.5000000000000007E-2</v>
      </c>
      <c r="G28" s="1579"/>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4286</v>
      </c>
      <c r="D29" s="2509"/>
      <c r="E29" s="2510"/>
      <c r="F29" s="2511"/>
      <c r="G29" s="1579"/>
      <c r="H29" s="823" t="s">
        <v>1787</v>
      </c>
      <c r="I29" s="824" t="s">
        <v>1788</v>
      </c>
      <c r="J29" s="825">
        <f ca="1">ROUND(J26/(1+F40)^F41,0)</f>
        <v>0</v>
      </c>
      <c r="K29" s="826" t="s">
        <v>688</v>
      </c>
      <c r="L29" s="827"/>
      <c r="M29" s="828">
        <f ca="1">INDIRECT("'数据-取费表'!k"&amp;$G$1)</f>
        <v>18144.46</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1748</v>
      </c>
      <c r="B30" s="1812" t="s">
        <v>651</v>
      </c>
      <c r="C30" s="792">
        <f ca="1">ROUND(C31+C36+C37+C38,0)</f>
        <v>135</v>
      </c>
      <c r="D30" s="1806" t="s">
        <v>652</v>
      </c>
      <c r="E30" s="3183"/>
      <c r="F30" s="2455"/>
      <c r="G30" s="2047"/>
      <c r="H30" s="2050"/>
      <c r="I30" s="2051"/>
      <c r="J30" s="2052"/>
      <c r="K30" s="2053"/>
      <c r="L30" s="2054"/>
      <c r="M30" s="2055"/>
    </row>
    <row r="31" spans="1:33" ht="18" customHeight="1">
      <c r="A31" s="1634" t="s">
        <v>1824</v>
      </c>
      <c r="B31" s="784" t="s">
        <v>656</v>
      </c>
      <c r="C31" s="53">
        <f ca="1">ROUND(IF(项目基本情况!B11="自然人",C5*F31,C32+C33+C34),1)</f>
        <v>59.8</v>
      </c>
      <c r="D31" s="3181" t="s">
        <v>657</v>
      </c>
      <c r="E31" s="3182"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660</v>
      </c>
      <c r="C32" s="53">
        <f ca="1">ROUND(C5*F32/1.05,1)</f>
        <v>16.8</v>
      </c>
      <c r="D32" s="3182" t="s">
        <v>661</v>
      </c>
      <c r="E32" s="784" t="s">
        <v>649</v>
      </c>
      <c r="F32" s="809">
        <f>'数据-取费表'!B41</f>
        <v>5.5000000000000007E-2</v>
      </c>
      <c r="G32" s="2047"/>
      <c r="H32" s="2056"/>
      <c r="I32" s="2057"/>
      <c r="J32" s="2058"/>
      <c r="K32" s="2059"/>
      <c r="L32" s="2060"/>
      <c r="M32" s="2061"/>
    </row>
    <row r="33" spans="1:18" ht="18" customHeight="1">
      <c r="A33" s="1633" t="s">
        <v>1832</v>
      </c>
      <c r="B33" s="784" t="s">
        <v>664</v>
      </c>
      <c r="C33" s="53">
        <f ca="1">IF(D33="按租金收入计税",ROUND(C5*F33,1),IF(D33="按房产原值计税",ROUND(C29*F33*0.7,1),INDIRECT("'数据-取费表'!Aj"&amp;$G$1)))</f>
        <v>38.5</v>
      </c>
      <c r="D33" s="811" t="s">
        <v>3007</v>
      </c>
      <c r="E33" s="784" t="s">
        <v>649</v>
      </c>
      <c r="F33" s="809">
        <f>IF(D33="按租金收入计税",'数据-取费表'!B51,'数据-取费表'!B50)</f>
        <v>0.12</v>
      </c>
      <c r="G33" s="2047"/>
      <c r="H33" s="2062"/>
      <c r="I33" s="2062"/>
      <c r="J33" s="2062"/>
      <c r="K33" s="2063"/>
      <c r="L33" s="2062"/>
      <c r="M33" s="2062"/>
    </row>
    <row r="34" spans="1:18" ht="18" customHeight="1">
      <c r="A34" s="1636" t="s">
        <v>1833</v>
      </c>
      <c r="B34" s="341" t="s">
        <v>668</v>
      </c>
      <c r="C34" s="54">
        <f ca="1">ROUND(F34*F35/10000,1)</f>
        <v>4.5</v>
      </c>
      <c r="D34" s="814" t="s">
        <v>669</v>
      </c>
      <c r="E34" s="784" t="s">
        <v>670</v>
      </c>
      <c r="F34" s="640">
        <f>'数据-取费表'!B52</f>
        <v>3</v>
      </c>
      <c r="G34" s="2047"/>
      <c r="H34" s="2050"/>
      <c r="I34" s="835" t="s">
        <v>1813</v>
      </c>
      <c r="J34" s="836"/>
      <c r="K34" s="2065"/>
      <c r="L34" s="2064"/>
      <c r="M34" s="2064"/>
    </row>
    <row r="35" spans="1:18" ht="18" customHeight="1">
      <c r="A35" s="815"/>
      <c r="B35" s="793"/>
      <c r="C35" s="69"/>
      <c r="D35" s="816"/>
      <c r="E35" s="784" t="s">
        <v>674</v>
      </c>
      <c r="F35" s="785">
        <f ca="1">INDIRECT("'数据-取费表'!r"&amp;$G$1)</f>
        <v>14929.09</v>
      </c>
      <c r="G35" s="2047"/>
      <c r="H35" s="2050"/>
      <c r="I35" s="837" t="s">
        <v>1814</v>
      </c>
      <c r="J35" s="838">
        <f ca="1">ROUND(C13*J36,0)</f>
        <v>343</v>
      </c>
      <c r="K35" s="2063"/>
      <c r="L35" s="2062"/>
      <c r="M35" s="2062"/>
    </row>
    <row r="36" spans="1:18" ht="18" customHeight="1">
      <c r="A36" s="1634" t="s">
        <v>1889</v>
      </c>
      <c r="B36" s="784" t="s">
        <v>676</v>
      </c>
      <c r="C36" s="53">
        <f ca="1">ROUND(C29*F36,1)</f>
        <v>64.3</v>
      </c>
      <c r="D36" s="3182" t="s">
        <v>691</v>
      </c>
      <c r="E36" s="784" t="s">
        <v>649</v>
      </c>
      <c r="F36" s="817">
        <f ca="1">INDIRECT("'数据-取费表'!Ak"&amp;$G$1)</f>
        <v>1.4999999999999999E-2</v>
      </c>
      <c r="G36" s="2047"/>
      <c r="H36" s="2062"/>
      <c r="I36" s="839" t="s">
        <v>1815</v>
      </c>
      <c r="J36" s="840">
        <f ca="1">INDIRECT("'数据-取费表'!j"&amp;$G$1)</f>
        <v>0.08</v>
      </c>
      <c r="K36" s="2067"/>
      <c r="L36" s="2062"/>
      <c r="M36" s="2062"/>
    </row>
    <row r="37" spans="1:18" ht="18" customHeight="1">
      <c r="A37" s="1634" t="s">
        <v>1890</v>
      </c>
      <c r="B37" s="784" t="s">
        <v>679</v>
      </c>
      <c r="C37" s="53">
        <f ca="1">ROUND(C13*F37,1)</f>
        <v>6.4</v>
      </c>
      <c r="D37" s="3182"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4.8</v>
      </c>
      <c r="D38" s="2509" t="s">
        <v>683</v>
      </c>
      <c r="E38" s="2510" t="s">
        <v>649</v>
      </c>
      <c r="F38" s="2506">
        <f ca="1">INDIRECT("'数据-取费表'!Am"&amp;$G$1)</f>
        <v>1.4999999999999999E-2</v>
      </c>
      <c r="G38" s="2047"/>
      <c r="H38" s="2062"/>
      <c r="I38" s="843" t="s">
        <v>1817</v>
      </c>
      <c r="J38" s="844"/>
      <c r="K38" s="2068"/>
      <c r="L38" s="2062"/>
      <c r="M38" s="2062"/>
    </row>
    <row r="39" spans="1:18" ht="24.6" customHeight="1" thickTop="1">
      <c r="A39" s="1814" t="s">
        <v>1776</v>
      </c>
      <c r="B39" s="2962" t="s">
        <v>2820</v>
      </c>
      <c r="C39" s="792">
        <f ca="1">C5-C30</f>
        <v>186</v>
      </c>
      <c r="D39" s="2512" t="s">
        <v>700</v>
      </c>
      <c r="E39" s="2513"/>
      <c r="F39" s="2514"/>
      <c r="G39" s="2047"/>
      <c r="H39" s="2062"/>
      <c r="I39" s="837" t="s">
        <v>1818</v>
      </c>
      <c r="J39" s="845">
        <f ca="1">ROUND(J35/C39,3)</f>
        <v>1.8440000000000001</v>
      </c>
      <c r="K39" s="2068"/>
      <c r="L39" s="2062"/>
      <c r="M39" s="2062"/>
    </row>
    <row r="40" spans="1:18" ht="18" customHeight="1">
      <c r="A40" s="781" t="s">
        <v>1780</v>
      </c>
      <c r="B40" s="2217" t="s">
        <v>2301</v>
      </c>
      <c r="C40" s="783">
        <f ca="1">ROUND(C39*(1-((1+F42)/(1+F40))^F41)/(F40-F42),0)</f>
        <v>3146</v>
      </c>
      <c r="D40" s="814" t="s">
        <v>704</v>
      </c>
      <c r="E40" s="784" t="s">
        <v>2419</v>
      </c>
      <c r="F40" s="794">
        <f ca="1">INDIRECT("'数据-取费表'!I"&amp;$G$1)</f>
        <v>4.4999999999999998E-2</v>
      </c>
      <c r="G40" s="2047"/>
      <c r="H40" s="2047"/>
      <c r="I40" s="837" t="s">
        <v>1819</v>
      </c>
      <c r="J40" s="845">
        <f ca="1">1-J39</f>
        <v>-0.84400000000000008</v>
      </c>
      <c r="K40" s="2068"/>
      <c r="L40" s="2047"/>
      <c r="M40" s="2047"/>
    </row>
    <row r="41" spans="1:18" ht="18" customHeight="1">
      <c r="A41" s="786"/>
      <c r="B41" s="787"/>
      <c r="C41" s="788"/>
      <c r="D41" s="821" t="s">
        <v>1808</v>
      </c>
      <c r="E41" s="784" t="s">
        <v>2959</v>
      </c>
      <c r="F41" s="822">
        <f ca="1">IF(INDIRECT("'数据-取费表'!af"&amp;$G$1)=0,INDIRECT("'数据-取费表'!ae"&amp;$G$1),INDIRECT("'数据-取费表'!af"&amp;$G$1))</f>
        <v>32.520000000000003</v>
      </c>
      <c r="G41" s="2047"/>
      <c r="H41" s="1973"/>
      <c r="I41" s="843" t="s">
        <v>1820</v>
      </c>
      <c r="J41" s="846"/>
      <c r="K41" s="2067"/>
      <c r="L41" s="1973"/>
      <c r="M41" s="1973"/>
    </row>
    <row r="42" spans="1:18" ht="18" customHeight="1">
      <c r="A42" s="790"/>
      <c r="B42" s="791"/>
      <c r="C42" s="792"/>
      <c r="D42" s="816"/>
      <c r="E42" s="784" t="s">
        <v>710</v>
      </c>
      <c r="F42" s="794">
        <f ca="1">INDIRECT("'数据-取费表'!v"&amp;$G$1)</f>
        <v>0</v>
      </c>
      <c r="G42" s="2047"/>
      <c r="H42" s="1973"/>
      <c r="I42" s="847" t="s">
        <v>1821</v>
      </c>
      <c r="J42" s="845">
        <f ca="1">ROUND(C13/C40,3)</f>
        <v>1.3620000000000001</v>
      </c>
      <c r="K42" s="2067"/>
      <c r="L42" s="1973"/>
      <c r="M42" s="1973"/>
    </row>
    <row r="43" spans="1:18" ht="18" customHeight="1" thickBot="1">
      <c r="A43" s="823" t="s">
        <v>1787</v>
      </c>
      <c r="B43" s="824" t="s">
        <v>1810</v>
      </c>
      <c r="C43" s="825">
        <f ca="1">ROUND(C40*10000/F43,0)</f>
        <v>1734</v>
      </c>
      <c r="D43" s="826" t="s">
        <v>1811</v>
      </c>
      <c r="E43" s="827" t="s">
        <v>1812</v>
      </c>
      <c r="F43" s="828">
        <f ca="1">INDIRECT("'数据-取费表'!k"&amp;$G$1)</f>
        <v>18144.46</v>
      </c>
      <c r="G43" s="2047"/>
      <c r="H43" s="1973"/>
      <c r="I43" s="847" t="s">
        <v>1822</v>
      </c>
      <c r="J43" s="848">
        <f ca="1">1-J42</f>
        <v>-0.3620000000000001</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-4414</v>
      </c>
      <c r="D46" s="2070"/>
      <c r="E46" s="2070"/>
      <c r="F46" s="2070"/>
      <c r="I46" s="2342" t="s">
        <v>2343</v>
      </c>
      <c r="J46" s="2343"/>
      <c r="K46" s="2344"/>
      <c r="L46" s="3108">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8" t="s">
        <v>2344</v>
      </c>
      <c r="J47" s="2345" t="s">
        <v>3008</v>
      </c>
      <c r="K47" s="3105" t="s">
        <v>2349</v>
      </c>
      <c r="L47" s="3109">
        <f ca="1">INDIRECT("'数据-取费表'!d"&amp;$G$1)</f>
        <v>40</v>
      </c>
      <c r="M47" s="1589" t="str">
        <f>IF(ISNUMBER(FIND("住宅",C1)),"住宅","非住宅")</f>
        <v>非住宅</v>
      </c>
      <c r="O47" s="2359" t="s">
        <v>2375</v>
      </c>
      <c r="P47" s="2360" t="s">
        <v>2376</v>
      </c>
      <c r="Q47" s="2361" t="s">
        <v>2377</v>
      </c>
      <c r="R47" s="2360" t="s">
        <v>2378</v>
      </c>
    </row>
    <row r="48" spans="1:18" s="2044" customFormat="1" ht="18" customHeight="1" thickBot="1">
      <c r="A48" s="2606" t="s">
        <v>1870</v>
      </c>
      <c r="B48" s="2607" t="s">
        <v>2536</v>
      </c>
      <c r="C48" s="2338">
        <f ca="1">ROUND(F48*F50*F49*(1-F51)/10000,0)</f>
        <v>0</v>
      </c>
      <c r="D48" s="2339" t="s">
        <v>636</v>
      </c>
      <c r="E48" s="2340" t="s">
        <v>2296</v>
      </c>
      <c r="F48" s="2341"/>
      <c r="G48" s="2075"/>
      <c r="I48" s="3077" t="s">
        <v>2345</v>
      </c>
      <c r="J48" s="2346" t="s">
        <v>2350</v>
      </c>
      <c r="K48" s="3106" t="s">
        <v>2351</v>
      </c>
      <c r="L48" s="1893">
        <f ca="1">INDIRECT("'数据-取费表'!f"&amp;$G$1)</f>
        <v>34.520000000000003</v>
      </c>
      <c r="O48" s="2362" t="s">
        <v>2379</v>
      </c>
      <c r="P48" s="2363" t="s">
        <v>2405</v>
      </c>
      <c r="Q48" s="2364">
        <f ca="1">C40+J29</f>
        <v>3146</v>
      </c>
      <c r="R48" s="2363" t="s">
        <v>2380</v>
      </c>
    </row>
    <row r="49" spans="1:18" s="2044" customFormat="1" ht="18" customHeight="1" thickBot="1">
      <c r="A49" s="786"/>
      <c r="B49" s="787"/>
      <c r="C49" s="788"/>
      <c r="D49" s="789"/>
      <c r="E49" s="784" t="s">
        <v>638</v>
      </c>
      <c r="F49" s="785">
        <f ca="1">F7</f>
        <v>18144.46</v>
      </c>
      <c r="G49" s="2075"/>
      <c r="H49" s="2078"/>
      <c r="I49" s="3077" t="s">
        <v>2346</v>
      </c>
      <c r="J49" s="2347">
        <v>2020</v>
      </c>
      <c r="K49" s="3107" t="s">
        <v>2352</v>
      </c>
      <c r="L49" s="2348"/>
      <c r="O49" s="2362" t="s">
        <v>2381</v>
      </c>
      <c r="P49" s="2363" t="s">
        <v>2406</v>
      </c>
      <c r="Q49" s="2364">
        <f ca="1">J60</f>
        <v>1890</v>
      </c>
      <c r="R49" s="2363" t="s">
        <v>2382</v>
      </c>
    </row>
    <row r="50" spans="1:18" s="2044" customFormat="1" ht="18" customHeight="1" thickBot="1">
      <c r="A50" s="786"/>
      <c r="B50" s="787"/>
      <c r="C50" s="788"/>
      <c r="D50" s="789"/>
      <c r="E50" s="784" t="s">
        <v>639</v>
      </c>
      <c r="F50" s="785">
        <f ca="1">F8</f>
        <v>365</v>
      </c>
      <c r="G50" s="2080"/>
      <c r="H50" s="2078"/>
      <c r="I50" s="3077" t="s">
        <v>2347</v>
      </c>
      <c r="J50" s="3102">
        <f>SUMPRODUCT((I63:I65=J47)*(J62:L62=J48)*(J63:L65))</f>
        <v>60</v>
      </c>
      <c r="K50" s="3107" t="s">
        <v>2353</v>
      </c>
      <c r="L50" s="2348"/>
      <c r="O50" s="2365" t="s">
        <v>2383</v>
      </c>
      <c r="P50" s="2363" t="s">
        <v>2407</v>
      </c>
      <c r="Q50" s="2364">
        <f ca="1">C29</f>
        <v>4286</v>
      </c>
      <c r="R50" s="2363" t="s">
        <v>2380</v>
      </c>
    </row>
    <row r="51" spans="1:18" s="2044" customFormat="1" ht="18" customHeight="1" thickBot="1">
      <c r="A51" s="786"/>
      <c r="B51" s="787"/>
      <c r="C51" s="788"/>
      <c r="D51" s="789"/>
      <c r="E51" s="784" t="s">
        <v>640</v>
      </c>
      <c r="F51" s="2335"/>
      <c r="H51" s="2078"/>
      <c r="I51" s="3099" t="s">
        <v>2348</v>
      </c>
      <c r="J51" s="3103">
        <f>IF(J49="",J50,J49+J50-YEAR('数据-取费表'!B2))</f>
        <v>61</v>
      </c>
      <c r="K51" s="3077" t="s">
        <v>2354</v>
      </c>
      <c r="L51" s="3110">
        <f ca="1">ROUND(-PV(INDIRECT("'数据-取费表'!h"&amp;$G$1),L48,(C39-C13*J36),0),0)</f>
        <v>-2909</v>
      </c>
      <c r="O51" s="2365" t="s">
        <v>2384</v>
      </c>
      <c r="P51" s="2363" t="s">
        <v>2385</v>
      </c>
      <c r="Q51" s="2366">
        <f ca="1">J58</f>
        <v>0.441</v>
      </c>
      <c r="R51" s="2367"/>
    </row>
    <row r="52" spans="1:18" s="2044" customFormat="1" ht="18" customHeight="1" thickBot="1">
      <c r="A52" s="781" t="s">
        <v>2534</v>
      </c>
      <c r="B52" s="2458" t="s">
        <v>2457</v>
      </c>
      <c r="C52" s="799">
        <f ca="1">ROUND(IF(F52="押一",C48/12*F11,IF(F52="押二",C48/12*2*F11,IF(F52="押三",C48/12*3*F11,C53*F11))),0)</f>
        <v>0</v>
      </c>
      <c r="D52" s="2465" t="s">
        <v>2970</v>
      </c>
      <c r="E52" s="2462" t="s">
        <v>2462</v>
      </c>
      <c r="F52" s="2585"/>
      <c r="I52" s="3100" t="s">
        <v>2421</v>
      </c>
      <c r="J52" s="2349"/>
      <c r="K52" s="3100" t="s">
        <v>2420</v>
      </c>
      <c r="L52" s="2349"/>
      <c r="O52" s="2365" t="s">
        <v>2386</v>
      </c>
      <c r="P52" s="2363" t="s">
        <v>2387</v>
      </c>
      <c r="Q52" s="2366">
        <f>J52</f>
        <v>0</v>
      </c>
      <c r="R52" s="2367"/>
    </row>
    <row r="53" spans="1:18" s="2044" customFormat="1" ht="39.75" customHeight="1" thickBot="1">
      <c r="A53" s="786"/>
      <c r="B53" s="2459" t="s">
        <v>2571</v>
      </c>
      <c r="C53" s="2463"/>
      <c r="D53" s="2465"/>
      <c r="E53" s="2462"/>
      <c r="F53" s="800"/>
      <c r="I53" s="3101" t="s">
        <v>2973</v>
      </c>
      <c r="J53" s="3104">
        <f ca="1">IF(M47="住宅",IF(D1="——",MAX(J51,L48),MAX(J51,L48-'数据-取费表'!B20)),IF(D1="——",MIN(J51,L48),MIN(J51,L48-'数据-取费表'!B20)))</f>
        <v>32.520000000000003</v>
      </c>
      <c r="K53" s="4379" t="s">
        <v>2961</v>
      </c>
      <c r="L53" s="4380"/>
      <c r="O53" s="2365" t="s">
        <v>2388</v>
      </c>
      <c r="P53" s="2363" t="s">
        <v>2389</v>
      </c>
      <c r="Q53" s="2364">
        <f ca="1">J53</f>
        <v>32.520000000000003</v>
      </c>
      <c r="R53" s="2363" t="s">
        <v>2390</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5036</v>
      </c>
      <c r="R54" s="2367" t="s">
        <v>2392</v>
      </c>
    </row>
    <row r="55" spans="1:18" s="2044" customFormat="1" ht="18" customHeight="1" thickTop="1" thickBot="1">
      <c r="A55" s="797">
        <v>2</v>
      </c>
      <c r="B55" s="798" t="s">
        <v>644</v>
      </c>
      <c r="C55" s="799">
        <f ca="1">C13</f>
        <v>4286</v>
      </c>
      <c r="D55" s="795"/>
      <c r="E55" s="795"/>
      <c r="F55" s="800"/>
      <c r="I55" s="3113" t="s">
        <v>2355</v>
      </c>
      <c r="J55" s="3052">
        <f ca="1">ROUND(IF(J47="钢混",J57/J50,1-(1-2%)*(J50-J57)/J50),3)</f>
        <v>0.441</v>
      </c>
      <c r="K55" s="3114" t="s">
        <v>2356</v>
      </c>
      <c r="L55" s="2350"/>
      <c r="O55" s="2368" t="s">
        <v>2411</v>
      </c>
      <c r="P55" s="1578"/>
      <c r="Q55" s="1589"/>
      <c r="R55" s="1578"/>
    </row>
    <row r="56" spans="1:18" s="2044" customFormat="1" ht="42.75" customHeight="1" thickBot="1">
      <c r="A56" s="1635"/>
      <c r="B56" s="2216" t="s">
        <v>2300</v>
      </c>
      <c r="C56" s="53">
        <f ca="1">C29</f>
        <v>4286</v>
      </c>
      <c r="D56" s="3182"/>
      <c r="E56" s="784"/>
      <c r="F56" s="809"/>
      <c r="I56" s="3115" t="s">
        <v>2357</v>
      </c>
      <c r="J56" s="3125" t="s">
        <v>2998</v>
      </c>
      <c r="K56" s="3077"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75</v>
      </c>
      <c r="D57" s="26" t="s">
        <v>652</v>
      </c>
      <c r="E57" s="3184"/>
      <c r="F57" s="56"/>
      <c r="I57" s="3116" t="s">
        <v>2358</v>
      </c>
      <c r="J57" s="3117">
        <f ca="1">IF(OR(M47="住宅",J51&lt;L48,J56="是"),"——",J51-L48)</f>
        <v>26.479999999999997</v>
      </c>
      <c r="K57" s="3077" t="s">
        <v>2363</v>
      </c>
      <c r="L57" s="1893" t="str">
        <f ca="1">IF(L48&lt;J51,"——",IF(L55="比较法",L49,IF(L55="基准地价",L50,L51)))</f>
        <v>——</v>
      </c>
      <c r="O57" s="2362" t="s">
        <v>2379</v>
      </c>
      <c r="P57" s="2363" t="s">
        <v>2405</v>
      </c>
      <c r="Q57" s="2364">
        <f ca="1">C40+J29</f>
        <v>3146</v>
      </c>
      <c r="R57" s="2363" t="s">
        <v>2380</v>
      </c>
    </row>
    <row r="58" spans="1:18" s="2044" customFormat="1" ht="28.5" customHeight="1" thickBot="1">
      <c r="A58" s="1634" t="s">
        <v>1824</v>
      </c>
      <c r="B58" s="784" t="s">
        <v>656</v>
      </c>
      <c r="C58" s="53">
        <f ca="1">ROUND(IF(项目基本情况!B11="自然人",C47*F58,C59+C60+C61),1)</f>
        <v>4.5</v>
      </c>
      <c r="D58" s="3181" t="s">
        <v>657</v>
      </c>
      <c r="E58" s="3182" t="s">
        <v>690</v>
      </c>
      <c r="F58" s="810" t="str">
        <f ca="1">IF(项目基本情况!B11="企业","",IF(INDIRECT("'数据-取费表'!c"&amp;$G$1)="住宅",5%,IF(F48*F49*F50/12/(1+'数据-取费表'!C42)&gt;20000,12%,7%)))</f>
        <v/>
      </c>
      <c r="I58" s="3116" t="s">
        <v>2359</v>
      </c>
      <c r="J58" s="3053">
        <f ca="1">IF(J55&lt;0.4,0.4,J55)</f>
        <v>0.441</v>
      </c>
      <c r="K58" s="3077"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3182" t="s">
        <v>661</v>
      </c>
      <c r="E59" s="784" t="s">
        <v>649</v>
      </c>
      <c r="F59" s="809">
        <f t="shared" ref="F59:F65" si="0">F32</f>
        <v>5.5000000000000007E-2</v>
      </c>
      <c r="I59" s="3116" t="s">
        <v>2360</v>
      </c>
      <c r="J59" s="3117">
        <f ca="1">IF(OR(M47="住宅",J51&lt;L48,J56="是"),"——",ROUND(C29*J58,0))</f>
        <v>1890</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664</v>
      </c>
      <c r="C60" s="53">
        <f ca="1">IF(D60="按租金收入计税",ROUND(C47*F60,1),IF(D60="按房产原值计税",ROUND(C56*F60*0.7,1),INDIRECT("'数据-取费表'!Aj"&amp;$G$1)))</f>
        <v>0</v>
      </c>
      <c r="D60" s="3182" t="str">
        <f>D33</f>
        <v>按租金收入计税</v>
      </c>
      <c r="E60" s="784" t="s">
        <v>649</v>
      </c>
      <c r="F60" s="809">
        <f t="shared" si="0"/>
        <v>0.12</v>
      </c>
      <c r="I60" s="3118" t="s">
        <v>2361</v>
      </c>
      <c r="J60" s="3119">
        <f ca="1">IF(OR(M47="住宅",J51&lt;L48,J56="是"),"0",ROUND(J59/(1+J52)^J53,0))</f>
        <v>1890</v>
      </c>
      <c r="K60" s="3120" t="s">
        <v>2366</v>
      </c>
      <c r="L60" s="3119">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4.5</v>
      </c>
      <c r="D61" s="814" t="s">
        <v>669</v>
      </c>
      <c r="E61" s="784" t="s">
        <v>670</v>
      </c>
      <c r="F61" s="640">
        <f t="shared" si="0"/>
        <v>3</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14929.09</v>
      </c>
      <c r="I62" s="3121" t="s">
        <v>2367</v>
      </c>
      <c r="J62" s="3122" t="s">
        <v>2368</v>
      </c>
      <c r="K62" s="3122" t="s">
        <v>2369</v>
      </c>
      <c r="L62" s="3122" t="s">
        <v>2350</v>
      </c>
      <c r="M62" s="3123" t="s">
        <v>2938</v>
      </c>
      <c r="O62" s="2365" t="s">
        <v>2388</v>
      </c>
      <c r="P62" s="2363" t="str">
        <f>K59</f>
        <v>建设期及建筑物耐用年限下的土地年期修正系数Kn</v>
      </c>
      <c r="Q62" s="2364" t="e">
        <f ca="1">L59</f>
        <v>#DIV/0!</v>
      </c>
      <c r="R62" s="2367" t="s">
        <v>2397</v>
      </c>
    </row>
    <row r="63" spans="1:18" s="2044" customFormat="1" ht="15.75" thickBot="1">
      <c r="A63" s="1634" t="s">
        <v>1889</v>
      </c>
      <c r="B63" s="784" t="s">
        <v>676</v>
      </c>
      <c r="C63" s="53">
        <f ca="1">ROUND(C56*F63,1)</f>
        <v>64.3</v>
      </c>
      <c r="D63" s="3182" t="s">
        <v>691</v>
      </c>
      <c r="E63" s="784" t="s">
        <v>649</v>
      </c>
      <c r="F63" s="817">
        <f t="shared" ca="1" si="0"/>
        <v>1.4999999999999999E-2</v>
      </c>
      <c r="I63" s="3121" t="s">
        <v>2370</v>
      </c>
      <c r="J63" s="3122">
        <v>70</v>
      </c>
      <c r="K63" s="3122">
        <v>50</v>
      </c>
      <c r="L63" s="3122">
        <v>80</v>
      </c>
      <c r="M63" s="3124">
        <v>0.02</v>
      </c>
      <c r="O63" s="2362" t="s">
        <v>2391</v>
      </c>
      <c r="P63" s="2363" t="s">
        <v>2408</v>
      </c>
      <c r="Q63" s="2364">
        <f ca="1">Q57+Q58</f>
        <v>3146</v>
      </c>
      <c r="R63" s="2367" t="s">
        <v>2392</v>
      </c>
    </row>
    <row r="64" spans="1:18" s="2044" customFormat="1" ht="16.5" thickBot="1">
      <c r="A64" s="1634" t="s">
        <v>1890</v>
      </c>
      <c r="B64" s="784" t="s">
        <v>679</v>
      </c>
      <c r="C64" s="53">
        <f ca="1">ROUND(C55*F64,1)</f>
        <v>6.4</v>
      </c>
      <c r="D64" s="3182" t="s">
        <v>680</v>
      </c>
      <c r="E64" s="784" t="s">
        <v>649</v>
      </c>
      <c r="F64" s="818">
        <f t="shared" ca="1" si="0"/>
        <v>1.5E-3</v>
      </c>
      <c r="I64" s="3121" t="s">
        <v>2371</v>
      </c>
      <c r="J64" s="3122">
        <v>50</v>
      </c>
      <c r="K64" s="3122">
        <v>35</v>
      </c>
      <c r="L64" s="3122">
        <v>60</v>
      </c>
      <c r="M64" s="846">
        <v>0</v>
      </c>
      <c r="O64" s="2368" t="s">
        <v>2415</v>
      </c>
      <c r="P64" s="1578"/>
      <c r="Q64" s="1589"/>
      <c r="R64" s="1578"/>
    </row>
    <row r="65" spans="1:18" s="2044" customFormat="1" ht="15.75" thickBot="1">
      <c r="A65" s="1634" t="s">
        <v>1891</v>
      </c>
      <c r="B65" s="784" t="s">
        <v>666</v>
      </c>
      <c r="C65" s="53">
        <f ca="1">ROUND(C47*F65,1)</f>
        <v>0</v>
      </c>
      <c r="D65" s="3182" t="s">
        <v>683</v>
      </c>
      <c r="E65" s="784" t="s">
        <v>649</v>
      </c>
      <c r="F65" s="794">
        <f t="shared" ca="1" si="0"/>
        <v>1.4999999999999999E-2</v>
      </c>
      <c r="I65" s="3121" t="s">
        <v>2372</v>
      </c>
      <c r="J65" s="3122">
        <v>40</v>
      </c>
      <c r="K65" s="3122">
        <v>30</v>
      </c>
      <c r="L65" s="3122">
        <v>50</v>
      </c>
      <c r="M65" s="3124">
        <v>0.02</v>
      </c>
      <c r="O65" s="2359" t="s">
        <v>2375</v>
      </c>
      <c r="P65" s="2360" t="s">
        <v>2376</v>
      </c>
      <c r="Q65" s="2361" t="s">
        <v>2377</v>
      </c>
      <c r="R65" s="2360" t="s">
        <v>2378</v>
      </c>
    </row>
    <row r="66" spans="1:18" s="2044" customFormat="1" ht="24.75" thickBot="1">
      <c r="A66" s="797" t="s">
        <v>1776</v>
      </c>
      <c r="B66" s="2963" t="s">
        <v>2820</v>
      </c>
      <c r="C66" s="799">
        <f ca="1">C47-C57</f>
        <v>-75</v>
      </c>
      <c r="D66" s="3181" t="s">
        <v>700</v>
      </c>
      <c r="E66" s="3179"/>
      <c r="F66" s="820"/>
      <c r="K66" s="2071"/>
      <c r="O66" s="2362" t="s">
        <v>2379</v>
      </c>
      <c r="P66" s="2363" t="s">
        <v>2405</v>
      </c>
      <c r="Q66" s="2364">
        <f ca="1">C40+J29</f>
        <v>3146</v>
      </c>
      <c r="R66" s="2363" t="s">
        <v>2380</v>
      </c>
    </row>
    <row r="67" spans="1:18" s="2044" customFormat="1" ht="20.25" thickBot="1">
      <c r="A67" s="781" t="s">
        <v>1780</v>
      </c>
      <c r="B67" s="2217" t="s">
        <v>2301</v>
      </c>
      <c r="C67" s="783">
        <f ca="1">ROUND(C66*(1-((1+F69)/(1+F67))^F68)/(F67-F69),0)</f>
        <v>-1268</v>
      </c>
      <c r="D67" s="814" t="s">
        <v>704</v>
      </c>
      <c r="E67" s="784" t="s">
        <v>705</v>
      </c>
      <c r="F67" s="794">
        <f ca="1">F40</f>
        <v>4.4999999999999998E-2</v>
      </c>
      <c r="K67" s="2071"/>
      <c r="O67" s="2362" t="s">
        <v>2381</v>
      </c>
      <c r="P67" s="2363" t="s">
        <v>2412</v>
      </c>
      <c r="Q67" s="2364">
        <f ca="1">L60</f>
        <v>0</v>
      </c>
      <c r="R67" s="2367" t="s">
        <v>2414</v>
      </c>
    </row>
    <row r="68" spans="1:18" ht="21.75" thickBot="1">
      <c r="A68" s="786"/>
      <c r="B68" s="787"/>
      <c r="C68" s="788"/>
      <c r="D68" s="821" t="s">
        <v>1808</v>
      </c>
      <c r="E68" s="784" t="s">
        <v>708</v>
      </c>
      <c r="F68" s="822">
        <f ca="1">F41</f>
        <v>32.520000000000003</v>
      </c>
      <c r="O68" s="2365" t="s">
        <v>2383</v>
      </c>
      <c r="P68" s="2363" t="s">
        <v>2413</v>
      </c>
      <c r="Q68" s="2369">
        <f ca="1">L51</f>
        <v>-2909</v>
      </c>
      <c r="R68" s="2370" t="s">
        <v>2416</v>
      </c>
    </row>
    <row r="69" spans="1:18" ht="20.25" thickBot="1">
      <c r="A69" s="790"/>
      <c r="B69" s="791"/>
      <c r="C69" s="792"/>
      <c r="D69" s="816"/>
      <c r="E69" s="784" t="s">
        <v>710</v>
      </c>
      <c r="F69" s="2335"/>
      <c r="O69" s="2365" t="s">
        <v>2384</v>
      </c>
      <c r="P69" s="2371" t="s">
        <v>2398</v>
      </c>
      <c r="Q69" s="2364">
        <f ca="1">ROUND(Q70-Q71*Q72,0)</f>
        <v>-157</v>
      </c>
      <c r="R69" s="2367"/>
    </row>
    <row r="70" spans="1:18" ht="15.75" thickBot="1">
      <c r="A70" s="823" t="s">
        <v>1787</v>
      </c>
      <c r="B70" s="824" t="s">
        <v>1810</v>
      </c>
      <c r="C70" s="825">
        <f ca="1">ROUND(C67*10000/F70,0)</f>
        <v>-699</v>
      </c>
      <c r="D70" s="826" t="s">
        <v>1811</v>
      </c>
      <c r="E70" s="827" t="s">
        <v>1812</v>
      </c>
      <c r="F70" s="828">
        <f ca="1">F43</f>
        <v>18144.46</v>
      </c>
      <c r="O70" s="2365" t="s">
        <v>2399</v>
      </c>
      <c r="P70" s="2371" t="s">
        <v>2400</v>
      </c>
      <c r="Q70" s="2364">
        <f ca="1">C39</f>
        <v>186</v>
      </c>
      <c r="R70" s="2363" t="s">
        <v>2380</v>
      </c>
    </row>
    <row r="71" spans="1:18" ht="15.75" thickBot="1">
      <c r="O71" s="2365" t="s">
        <v>2401</v>
      </c>
      <c r="P71" s="2371" t="s">
        <v>2402</v>
      </c>
      <c r="Q71" s="2364">
        <f ca="1">C13</f>
        <v>4286</v>
      </c>
      <c r="R71" s="2363" t="s">
        <v>2380</v>
      </c>
    </row>
    <row r="72" spans="1:18" ht="15.75" thickBot="1">
      <c r="O72" s="2365" t="s">
        <v>2403</v>
      </c>
      <c r="P72" s="2371" t="s">
        <v>2404</v>
      </c>
      <c r="Q72" s="2366">
        <f ca="1">J36</f>
        <v>0.08</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3146</v>
      </c>
      <c r="R76" s="2367"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2786</v>
      </c>
      <c r="C1" s="2959">
        <f>项目基本情况!D3</f>
        <v>43647</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2817</v>
      </c>
      <c r="C2" s="2960">
        <f>'数据-取费表'!B22</f>
        <v>2</v>
      </c>
      <c r="D2" s="2955" t="s">
        <v>2787</v>
      </c>
      <c r="E2" s="2958">
        <f ca="1">INDIRECT("I"&amp;$I$1)/100</f>
        <v>4.7500000000000001E-2</v>
      </c>
      <c r="G2" s="2895"/>
      <c r="H2" s="2895"/>
      <c r="I2" s="2895" t="s">
        <v>2788</v>
      </c>
      <c r="K2" s="2895"/>
      <c r="L2" s="2895"/>
      <c r="M2" s="2895"/>
      <c r="N2" s="2895" t="s">
        <v>2789</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2819</v>
      </c>
      <c r="C3" s="2957">
        <f>'数据-取费表'!B19</f>
        <v>0</v>
      </c>
      <c r="D3" s="2955" t="s">
        <v>2787</v>
      </c>
      <c r="E3" s="2958">
        <f ca="1">INDIRECT("J"&amp;$J$1)/100</f>
        <v>0</v>
      </c>
      <c r="G3" s="2897" t="s">
        <v>2790</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2818</v>
      </c>
      <c r="C4" s="2958">
        <f ca="1">N4/100</f>
        <v>1.4999999999999999E-2</v>
      </c>
      <c r="G4" s="2903" t="s">
        <v>2791</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2792</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2793</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2794</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2795</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2796</v>
      </c>
      <c r="C10" s="2922"/>
      <c r="D10" s="2922"/>
      <c r="E10" s="2922"/>
      <c r="F10" s="2922"/>
      <c r="G10" s="2922"/>
      <c r="H10" s="2922"/>
      <c r="I10" s="2896"/>
      <c r="J10" s="2896"/>
      <c r="K10" s="2922"/>
      <c r="L10" s="2923" t="s">
        <v>2797</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2798</v>
      </c>
      <c r="C11" s="2927" t="s">
        <v>2799</v>
      </c>
      <c r="D11" s="2928" t="s">
        <v>2800</v>
      </c>
      <c r="E11" s="2929"/>
      <c r="F11" s="2928" t="s">
        <v>2801</v>
      </c>
      <c r="G11" s="2930"/>
      <c r="H11" s="2929"/>
      <c r="I11" s="2928" t="s">
        <v>2802</v>
      </c>
      <c r="J11" s="2929"/>
      <c r="K11" s="2925"/>
      <c r="L11" s="2926" t="s">
        <v>2798</v>
      </c>
      <c r="M11" s="2927" t="s">
        <v>2799</v>
      </c>
      <c r="N11" s="2926" t="s">
        <v>2803</v>
      </c>
      <c r="O11" s="2928" t="s">
        <v>2804</v>
      </c>
      <c r="P11" s="2930"/>
      <c r="Q11" s="2930"/>
      <c r="R11" s="2930"/>
      <c r="S11" s="2930"/>
      <c r="T11" s="2929"/>
      <c r="U11" s="2928" t="s">
        <v>2805</v>
      </c>
      <c r="V11" s="2930"/>
      <c r="W11" s="2929"/>
      <c r="X11" s="2926" t="s">
        <v>2806</v>
      </c>
      <c r="Y11" s="2926" t="s">
        <v>2807</v>
      </c>
      <c r="Z11" s="2926" t="s">
        <v>2808</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2809</v>
      </c>
      <c r="E12" s="2935" t="s">
        <v>2810</v>
      </c>
      <c r="F12" s="2935" t="s">
        <v>2811</v>
      </c>
      <c r="G12" s="2935" t="s">
        <v>2812</v>
      </c>
      <c r="H12" s="2935" t="s">
        <v>2794</v>
      </c>
      <c r="I12" s="2936" t="s">
        <v>2813</v>
      </c>
      <c r="J12" s="2936" t="s">
        <v>2813</v>
      </c>
      <c r="K12" s="2932"/>
      <c r="L12" s="2933"/>
      <c r="M12" s="2934"/>
      <c r="N12" s="2933"/>
      <c r="O12" s="2936" t="s">
        <v>2814</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2815</v>
      </c>
      <c r="C13" s="2940">
        <v>42301</v>
      </c>
      <c r="D13" s="2941">
        <v>4.3499999999999996</v>
      </c>
      <c r="E13" s="2941">
        <v>4.3499999999999996</v>
      </c>
      <c r="F13" s="2941">
        <v>4.75</v>
      </c>
      <c r="G13" s="2941">
        <v>4.75</v>
      </c>
      <c r="H13" s="2941">
        <v>4.9000000000000004</v>
      </c>
      <c r="I13" s="2941">
        <v>2.75</v>
      </c>
      <c r="J13" s="2941">
        <v>3.25</v>
      </c>
      <c r="K13" s="2938"/>
      <c r="L13" s="2939" t="s">
        <v>2815</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2816</v>
      </c>
      <c r="Y42" s="2945" t="s">
        <v>2816</v>
      </c>
      <c r="Z42" s="2945" t="s">
        <v>2816</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2816</v>
      </c>
      <c r="Y43" s="2945" t="s">
        <v>2816</v>
      </c>
      <c r="Z43" s="2945" t="s">
        <v>2816</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2816</v>
      </c>
      <c r="Y44" s="2945" t="s">
        <v>2816</v>
      </c>
      <c r="Z44" s="2945" t="s">
        <v>2816</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2816</v>
      </c>
      <c r="Y45" s="2945" t="s">
        <v>2816</v>
      </c>
      <c r="Z45" s="2945" t="s">
        <v>2816</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2816</v>
      </c>
      <c r="Y46" s="2945" t="s">
        <v>2816</v>
      </c>
      <c r="Z46" s="2945" t="s">
        <v>2816</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2816</v>
      </c>
      <c r="Y47" s="2945" t="s">
        <v>2816</v>
      </c>
      <c r="Z47" s="2945" t="s">
        <v>2816</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2816</v>
      </c>
      <c r="Y48" s="2945" t="s">
        <v>2816</v>
      </c>
      <c r="Z48" s="2945" t="s">
        <v>2816</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2816</v>
      </c>
      <c r="Y49" s="2945" t="s">
        <v>2816</v>
      </c>
      <c r="Z49" s="2945" t="s">
        <v>2816</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2816</v>
      </c>
      <c r="Y50" s="2945" t="s">
        <v>2816</v>
      </c>
      <c r="Z50" s="2945" t="s">
        <v>2816</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2816</v>
      </c>
      <c r="V51" s="2945" t="s">
        <v>2816</v>
      </c>
      <c r="W51" s="2945" t="s">
        <v>2816</v>
      </c>
      <c r="X51" s="2945" t="s">
        <v>2816</v>
      </c>
      <c r="Y51" s="2945" t="s">
        <v>2816</v>
      </c>
      <c r="Z51" s="2945" t="s">
        <v>2816</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2816</v>
      </c>
      <c r="J55" s="2945" t="s">
        <v>2816</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workbookViewId="0">
      <selection activeCell="A28" sqref="A28"/>
    </sheetView>
  </sheetViews>
  <sheetFormatPr defaultRowHeight="13.5"/>
  <cols>
    <col min="1" max="1" width="30" customWidth="1"/>
    <col min="6" max="6" width="20.625" customWidth="1"/>
    <col min="8" max="8" width="16.5" customWidth="1"/>
    <col min="13" max="13" width="23.125" customWidth="1"/>
  </cols>
  <sheetData>
    <row r="1" spans="1:14">
      <c r="A1" s="2894" t="s">
        <v>3050</v>
      </c>
      <c r="B1" s="2894" t="s">
        <v>3051</v>
      </c>
      <c r="C1" s="2894" t="s">
        <v>3052</v>
      </c>
      <c r="D1" s="2894" t="s">
        <v>3053</v>
      </c>
      <c r="E1" s="2894" t="s">
        <v>3054</v>
      </c>
      <c r="F1" s="2894" t="s">
        <v>2032</v>
      </c>
      <c r="G1" s="2894" t="s">
        <v>3055</v>
      </c>
      <c r="H1" s="2894" t="s">
        <v>3056</v>
      </c>
      <c r="I1" s="2894" t="s">
        <v>3057</v>
      </c>
      <c r="J1" s="2894" t="s">
        <v>3058</v>
      </c>
      <c r="K1" s="2894" t="s">
        <v>3059</v>
      </c>
      <c r="L1" s="2894" t="s">
        <v>3060</v>
      </c>
      <c r="M1" s="2894" t="s">
        <v>3061</v>
      </c>
      <c r="N1" s="2894" t="s">
        <v>3062</v>
      </c>
    </row>
    <row r="2" spans="1:14" s="3197" customFormat="1">
      <c r="A2" s="3196" t="s">
        <v>3063</v>
      </c>
      <c r="B2" s="3196" t="s">
        <v>3064</v>
      </c>
      <c r="C2" s="3196" t="s">
        <v>3065</v>
      </c>
      <c r="D2" s="3196">
        <v>26682.38</v>
      </c>
      <c r="E2" s="3196">
        <v>40023.57</v>
      </c>
      <c r="F2" s="3196" t="s">
        <v>3066</v>
      </c>
      <c r="G2" s="3196" t="s">
        <v>3067</v>
      </c>
      <c r="H2" s="3196" t="s">
        <v>3068</v>
      </c>
      <c r="I2" s="3196">
        <v>5843.4</v>
      </c>
      <c r="J2" s="3196">
        <v>5843.4</v>
      </c>
      <c r="K2" s="3196">
        <v>1459.99</v>
      </c>
      <c r="L2" s="3196">
        <v>0</v>
      </c>
      <c r="M2" s="3196" t="s">
        <v>3069</v>
      </c>
      <c r="N2" s="3196" t="s">
        <v>3070</v>
      </c>
    </row>
    <row r="3" spans="1:14" s="3199" customFormat="1">
      <c r="A3" s="3198" t="s">
        <v>3071</v>
      </c>
      <c r="B3" s="3198" t="s">
        <v>3064</v>
      </c>
      <c r="C3" s="3198" t="s">
        <v>3065</v>
      </c>
      <c r="D3" s="3198">
        <v>22239.25</v>
      </c>
      <c r="E3" s="3198">
        <v>33358.879999999997</v>
      </c>
      <c r="F3" s="3198" t="s">
        <v>3072</v>
      </c>
      <c r="G3" s="3198" t="s">
        <v>3067</v>
      </c>
      <c r="H3" s="3198" t="s">
        <v>3068</v>
      </c>
      <c r="I3" s="3198" t="s">
        <v>2816</v>
      </c>
      <c r="J3" s="3198">
        <v>4870.5600000000004</v>
      </c>
      <c r="K3" s="3198">
        <v>1460.04</v>
      </c>
      <c r="L3" s="3198" t="s">
        <v>2816</v>
      </c>
      <c r="M3" s="3198" t="s">
        <v>3069</v>
      </c>
      <c r="N3" s="3198" t="s">
        <v>3073</v>
      </c>
    </row>
    <row r="4" spans="1:14">
      <c r="A4" s="2894" t="s">
        <v>3074</v>
      </c>
      <c r="B4" s="2894" t="s">
        <v>3064</v>
      </c>
      <c r="C4" s="2894" t="s">
        <v>3075</v>
      </c>
      <c r="D4" s="2894">
        <v>42944.5</v>
      </c>
      <c r="E4" s="2894">
        <v>64416.75</v>
      </c>
      <c r="F4" s="2894" t="s">
        <v>3066</v>
      </c>
      <c r="G4" s="2894" t="s">
        <v>3067</v>
      </c>
      <c r="H4" s="2894" t="s">
        <v>3068</v>
      </c>
      <c r="I4" s="2894">
        <v>9791.2900000000009</v>
      </c>
      <c r="J4" s="2894">
        <v>9791.2900000000009</v>
      </c>
      <c r="K4" s="2894">
        <v>1519.99</v>
      </c>
      <c r="L4" s="2894">
        <v>0</v>
      </c>
      <c r="M4" s="2894" t="s">
        <v>3069</v>
      </c>
      <c r="N4" s="2894" t="s">
        <v>3070</v>
      </c>
    </row>
    <row r="5" spans="1:14" s="3199" customFormat="1">
      <c r="A5" s="3198" t="s">
        <v>3076</v>
      </c>
      <c r="B5" s="3198" t="s">
        <v>3064</v>
      </c>
      <c r="C5" s="3198" t="s">
        <v>3075</v>
      </c>
      <c r="D5" s="3198">
        <v>12614.93</v>
      </c>
      <c r="E5" s="3198">
        <v>37844.79</v>
      </c>
      <c r="F5" s="3198" t="s">
        <v>3077</v>
      </c>
      <c r="G5" s="3198" t="s">
        <v>3078</v>
      </c>
      <c r="H5" s="3198" t="s">
        <v>3068</v>
      </c>
      <c r="I5" s="3198">
        <v>3803.38</v>
      </c>
      <c r="J5" s="3198">
        <v>5013.8</v>
      </c>
      <c r="K5" s="3198">
        <v>1324.82</v>
      </c>
      <c r="L5" s="3198">
        <v>31.82</v>
      </c>
      <c r="M5" s="3198" t="s">
        <v>3079</v>
      </c>
      <c r="N5" s="3198" t="s">
        <v>3070</v>
      </c>
    </row>
    <row r="6" spans="1:14">
      <c r="A6" s="2894" t="s">
        <v>3080</v>
      </c>
      <c r="B6" s="2894" t="s">
        <v>3064</v>
      </c>
      <c r="C6" s="2894" t="s">
        <v>3065</v>
      </c>
      <c r="D6" s="2894">
        <v>4477.2700000000004</v>
      </c>
      <c r="E6" s="2894">
        <v>6715.91</v>
      </c>
      <c r="F6" s="2894" t="s">
        <v>3072</v>
      </c>
      <c r="G6" s="2894" t="s">
        <v>3067</v>
      </c>
      <c r="H6" s="2894" t="s">
        <v>3068</v>
      </c>
      <c r="I6" s="2894" t="s">
        <v>2816</v>
      </c>
      <c r="J6" s="2894">
        <v>981.12</v>
      </c>
      <c r="K6" s="2894">
        <v>1460.89</v>
      </c>
      <c r="L6" s="2894" t="s">
        <v>2816</v>
      </c>
      <c r="M6" s="2894" t="s">
        <v>3069</v>
      </c>
      <c r="N6" s="2894" t="s">
        <v>3073</v>
      </c>
    </row>
    <row r="7" spans="1:14">
      <c r="A7" s="2894" t="s">
        <v>3081</v>
      </c>
      <c r="B7" s="2894" t="s">
        <v>3064</v>
      </c>
      <c r="C7" s="2894" t="s">
        <v>3065</v>
      </c>
      <c r="D7" s="2894">
        <v>89357.33</v>
      </c>
      <c r="E7" s="2894">
        <v>178714.7</v>
      </c>
      <c r="F7" s="2894" t="s">
        <v>3082</v>
      </c>
      <c r="G7" s="2894" t="s">
        <v>3067</v>
      </c>
      <c r="H7" s="2894" t="s">
        <v>3083</v>
      </c>
      <c r="I7" s="2894">
        <v>23188.11</v>
      </c>
      <c r="J7" s="2894">
        <v>23190</v>
      </c>
      <c r="K7" s="2894">
        <v>1297.5899999999999</v>
      </c>
      <c r="L7" s="2894">
        <v>0.01</v>
      </c>
      <c r="M7" s="2894" t="s">
        <v>3084</v>
      </c>
      <c r="N7" s="2894" t="s">
        <v>3085</v>
      </c>
    </row>
    <row r="8" spans="1:14" s="3197" customFormat="1">
      <c r="A8" s="3196" t="s">
        <v>3086</v>
      </c>
      <c r="B8" s="3196" t="s">
        <v>3064</v>
      </c>
      <c r="C8" s="3196" t="s">
        <v>3065</v>
      </c>
      <c r="D8" s="3196">
        <v>32866.69</v>
      </c>
      <c r="E8" s="3196">
        <v>82166.73</v>
      </c>
      <c r="F8" s="3196" t="s">
        <v>3087</v>
      </c>
      <c r="G8" s="3196" t="s">
        <v>3067</v>
      </c>
      <c r="H8" s="3196" t="s">
        <v>3083</v>
      </c>
      <c r="I8" s="3196">
        <v>10648.75</v>
      </c>
      <c r="J8" s="3196">
        <v>10650</v>
      </c>
      <c r="K8" s="3196">
        <v>1296.1500000000001</v>
      </c>
      <c r="L8" s="3196">
        <v>0.01</v>
      </c>
      <c r="M8" s="3196" t="s">
        <v>3084</v>
      </c>
      <c r="N8" s="3196" t="s">
        <v>3085</v>
      </c>
    </row>
    <row r="9" spans="1:14">
      <c r="A9" s="2894" t="s">
        <v>3088</v>
      </c>
      <c r="B9" s="2894" t="s">
        <v>3064</v>
      </c>
      <c r="C9" s="2894" t="s">
        <v>3065</v>
      </c>
      <c r="D9" s="2894">
        <v>20245.22</v>
      </c>
      <c r="E9" s="2894">
        <v>40490.44</v>
      </c>
      <c r="F9" s="2894" t="s">
        <v>3082</v>
      </c>
      <c r="G9" s="2894" t="s">
        <v>3067</v>
      </c>
      <c r="H9" s="2894" t="s">
        <v>3083</v>
      </c>
      <c r="I9" s="2894">
        <v>5253.6</v>
      </c>
      <c r="J9" s="2894">
        <v>5255</v>
      </c>
      <c r="K9" s="2894">
        <v>1297.83</v>
      </c>
      <c r="L9" s="2894">
        <v>0.03</v>
      </c>
      <c r="M9" s="2894" t="s">
        <v>3084</v>
      </c>
      <c r="N9" s="2894" t="s">
        <v>3085</v>
      </c>
    </row>
    <row r="10" spans="1:14" s="3199" customFormat="1">
      <c r="A10" s="3198" t="s">
        <v>3089</v>
      </c>
      <c r="B10" s="3198" t="s">
        <v>3064</v>
      </c>
      <c r="C10" s="3198" t="s">
        <v>3065</v>
      </c>
      <c r="D10" s="3198">
        <v>39277.699999999997</v>
      </c>
      <c r="E10" s="3198">
        <v>78555.399999999994</v>
      </c>
      <c r="F10" s="3198" t="s">
        <v>3082</v>
      </c>
      <c r="G10" s="3198" t="s">
        <v>3067</v>
      </c>
      <c r="H10" s="3198" t="s">
        <v>3090</v>
      </c>
      <c r="I10" s="3198" t="s">
        <v>2816</v>
      </c>
      <c r="J10" s="3198">
        <v>11665.47</v>
      </c>
      <c r="K10" s="3198">
        <v>1485</v>
      </c>
      <c r="L10" s="3198" t="s">
        <v>2816</v>
      </c>
      <c r="M10" s="3198" t="s">
        <v>3091</v>
      </c>
      <c r="N10" s="3198" t="s">
        <v>3085</v>
      </c>
    </row>
    <row r="11" spans="1:14">
      <c r="A11" s="2894" t="s">
        <v>3092</v>
      </c>
      <c r="B11" s="2894" t="s">
        <v>3064</v>
      </c>
      <c r="C11" s="2894" t="s">
        <v>3075</v>
      </c>
      <c r="D11" s="2894">
        <v>83247.759999999995</v>
      </c>
      <c r="E11" s="2894">
        <v>166495.5</v>
      </c>
      <c r="F11" s="2894" t="s">
        <v>3082</v>
      </c>
      <c r="G11" s="2894" t="s">
        <v>3078</v>
      </c>
      <c r="H11" s="2894" t="s">
        <v>3090</v>
      </c>
      <c r="I11" s="2894" t="s">
        <v>2816</v>
      </c>
      <c r="J11" s="2894">
        <v>24724.58</v>
      </c>
      <c r="K11" s="2894">
        <v>1485</v>
      </c>
      <c r="L11" s="2894" t="s">
        <v>2816</v>
      </c>
      <c r="M11" s="2894" t="s">
        <v>3091</v>
      </c>
      <c r="N11" s="2894" t="s">
        <v>3085</v>
      </c>
    </row>
    <row r="12" spans="1:14">
      <c r="A12" s="2894" t="s">
        <v>3093</v>
      </c>
      <c r="B12" s="2894" t="s">
        <v>3064</v>
      </c>
      <c r="C12" s="2894" t="s">
        <v>3065</v>
      </c>
      <c r="D12" s="2894">
        <v>23919.13</v>
      </c>
      <c r="E12" s="2894">
        <v>47838.26</v>
      </c>
      <c r="F12" s="2894" t="s">
        <v>3082</v>
      </c>
      <c r="G12" s="2894" t="s">
        <v>3078</v>
      </c>
      <c r="H12" s="2894" t="s">
        <v>3090</v>
      </c>
      <c r="I12" s="2894" t="s">
        <v>2816</v>
      </c>
      <c r="J12" s="2894">
        <v>7893.6</v>
      </c>
      <c r="K12" s="2894">
        <v>1650.05</v>
      </c>
      <c r="L12" s="2894" t="s">
        <v>2816</v>
      </c>
      <c r="M12" s="2894" t="s">
        <v>3094</v>
      </c>
      <c r="N12" s="2894" t="s">
        <v>3085</v>
      </c>
    </row>
    <row r="13" spans="1:14">
      <c r="A13" s="2894" t="s">
        <v>3095</v>
      </c>
      <c r="B13" s="2894" t="s">
        <v>3064</v>
      </c>
      <c r="C13" s="2894" t="s">
        <v>3065</v>
      </c>
      <c r="D13" s="2894">
        <v>19528.439999999999</v>
      </c>
      <c r="E13" s="2894">
        <v>39056.879999999997</v>
      </c>
      <c r="F13" s="2894" t="s">
        <v>3082</v>
      </c>
      <c r="G13" s="2894" t="s">
        <v>3067</v>
      </c>
      <c r="H13" s="2894" t="s">
        <v>3090</v>
      </c>
      <c r="I13" s="2894" t="s">
        <v>2816</v>
      </c>
      <c r="J13" s="2894">
        <v>5799.94</v>
      </c>
      <c r="K13" s="2894">
        <v>1485</v>
      </c>
      <c r="L13" s="2894" t="s">
        <v>2816</v>
      </c>
      <c r="M13" s="2894" t="s">
        <v>3091</v>
      </c>
      <c r="N13" s="2894" t="s">
        <v>3085</v>
      </c>
    </row>
    <row r="14" spans="1:14">
      <c r="A14" s="2894" t="s">
        <v>3096</v>
      </c>
      <c r="B14" s="2894" t="s">
        <v>3064</v>
      </c>
      <c r="C14" s="2894" t="s">
        <v>3075</v>
      </c>
      <c r="D14" s="2894">
        <v>3524</v>
      </c>
      <c r="E14" s="2894">
        <v>15505.6</v>
      </c>
      <c r="F14" s="2894" t="s">
        <v>3097</v>
      </c>
      <c r="G14" s="2894" t="s">
        <v>3067</v>
      </c>
      <c r="H14" s="2894" t="s">
        <v>3090</v>
      </c>
      <c r="I14" s="2894" t="s">
        <v>2816</v>
      </c>
      <c r="J14" s="2894">
        <v>740.03</v>
      </c>
      <c r="K14" s="2894">
        <v>477.26</v>
      </c>
      <c r="L14" s="2894" t="s">
        <v>2816</v>
      </c>
      <c r="M14" s="2894" t="s">
        <v>3098</v>
      </c>
      <c r="N14" s="2894" t="s">
        <v>3085</v>
      </c>
    </row>
    <row r="15" spans="1:14">
      <c r="A15" s="2894" t="s">
        <v>3099</v>
      </c>
      <c r="B15" s="2894" t="s">
        <v>3064</v>
      </c>
      <c r="C15" s="2894" t="s">
        <v>3065</v>
      </c>
      <c r="D15" s="2894">
        <v>67123.490000000005</v>
      </c>
      <c r="E15" s="2894">
        <v>167808.7</v>
      </c>
      <c r="F15" s="2894" t="s">
        <v>3087</v>
      </c>
      <c r="G15" s="2894" t="s">
        <v>3067</v>
      </c>
      <c r="H15" s="2894" t="s">
        <v>3090</v>
      </c>
      <c r="I15" s="2894" t="s">
        <v>2816</v>
      </c>
      <c r="J15" s="2894">
        <v>19935.68</v>
      </c>
      <c r="K15" s="2894">
        <v>1188</v>
      </c>
      <c r="L15" s="2894" t="s">
        <v>2816</v>
      </c>
      <c r="M15" s="2894" t="s">
        <v>3091</v>
      </c>
      <c r="N15" s="2894" t="s">
        <v>3085</v>
      </c>
    </row>
    <row r="16" spans="1:14" s="3197" customFormat="1">
      <c r="A16" s="3196" t="s">
        <v>3100</v>
      </c>
      <c r="B16" s="3196" t="s">
        <v>3064</v>
      </c>
      <c r="C16" s="3196" t="s">
        <v>3065</v>
      </c>
      <c r="D16" s="3196">
        <v>35913.18</v>
      </c>
      <c r="E16" s="3196">
        <v>71826.36</v>
      </c>
      <c r="F16" s="3196" t="s">
        <v>3082</v>
      </c>
      <c r="G16" s="3196" t="s">
        <v>3078</v>
      </c>
      <c r="H16" s="3196" t="s">
        <v>3090</v>
      </c>
      <c r="I16" s="3196" t="s">
        <v>2816</v>
      </c>
      <c r="J16" s="3196">
        <v>10666.2</v>
      </c>
      <c r="K16" s="3196">
        <v>1485</v>
      </c>
      <c r="L16" s="3196" t="s">
        <v>2816</v>
      </c>
      <c r="M16" s="3196" t="s">
        <v>3091</v>
      </c>
      <c r="N16" s="3196" t="s">
        <v>3085</v>
      </c>
    </row>
    <row r="17" spans="1:14">
      <c r="A17" s="2894" t="s">
        <v>3101</v>
      </c>
      <c r="B17" s="2894" t="s">
        <v>3064</v>
      </c>
      <c r="C17" s="2894" t="s">
        <v>3065</v>
      </c>
      <c r="D17" s="2894">
        <v>22072.560000000001</v>
      </c>
      <c r="E17" s="2894">
        <v>44145.120000000003</v>
      </c>
      <c r="F17" s="2894" t="s">
        <v>3082</v>
      </c>
      <c r="G17" s="2894" t="s">
        <v>3067</v>
      </c>
      <c r="H17" s="2894" t="s">
        <v>3090</v>
      </c>
      <c r="I17" s="2894" t="s">
        <v>2816</v>
      </c>
      <c r="J17" s="2894">
        <v>6555.55</v>
      </c>
      <c r="K17" s="2894">
        <v>1485</v>
      </c>
      <c r="L17" s="2894" t="s">
        <v>2816</v>
      </c>
      <c r="M17" s="2894" t="s">
        <v>3091</v>
      </c>
      <c r="N17" s="2894" t="s">
        <v>3085</v>
      </c>
    </row>
    <row r="18" spans="1:14">
      <c r="A18" s="2894" t="s">
        <v>3102</v>
      </c>
      <c r="B18" s="2894" t="s">
        <v>3064</v>
      </c>
      <c r="C18" s="2894" t="s">
        <v>3065</v>
      </c>
      <c r="D18" s="2894">
        <v>25480</v>
      </c>
      <c r="E18" s="2894">
        <v>50960</v>
      </c>
      <c r="F18" s="2894" t="s">
        <v>3082</v>
      </c>
      <c r="G18" s="2894" t="s">
        <v>3067</v>
      </c>
      <c r="H18" s="2894" t="s">
        <v>3090</v>
      </c>
      <c r="I18" s="2894" t="s">
        <v>2816</v>
      </c>
      <c r="J18" s="2894">
        <v>7567.56</v>
      </c>
      <c r="K18" s="2894">
        <v>1485</v>
      </c>
      <c r="L18" s="2894" t="s">
        <v>2816</v>
      </c>
      <c r="M18" s="2894" t="s">
        <v>3091</v>
      </c>
      <c r="N18" s="2894" t="s">
        <v>3085</v>
      </c>
    </row>
    <row r="19" spans="1:14">
      <c r="A19" s="2894" t="s">
        <v>3103</v>
      </c>
      <c r="B19" s="2894" t="s">
        <v>3064</v>
      </c>
      <c r="C19" s="2894" t="s">
        <v>3065</v>
      </c>
      <c r="D19" s="2894">
        <v>38411.5</v>
      </c>
      <c r="E19" s="2894">
        <v>99869.9</v>
      </c>
      <c r="F19" s="2894" t="s">
        <v>3104</v>
      </c>
      <c r="G19" s="2894" t="s">
        <v>3067</v>
      </c>
      <c r="H19" s="2894" t="s">
        <v>3105</v>
      </c>
      <c r="I19" s="2894">
        <v>6683.92</v>
      </c>
      <c r="J19" s="2894">
        <v>6683.92</v>
      </c>
      <c r="K19" s="2894">
        <v>669.25</v>
      </c>
      <c r="L19" s="2894">
        <v>0</v>
      </c>
      <c r="M19" s="2894" t="s">
        <v>3106</v>
      </c>
      <c r="N19" s="2894" t="s">
        <v>3085</v>
      </c>
    </row>
    <row r="20" spans="1:14">
      <c r="A20" s="2894" t="s">
        <v>3107</v>
      </c>
      <c r="B20" s="2894" t="s">
        <v>3064</v>
      </c>
      <c r="C20" s="2894" t="s">
        <v>3075</v>
      </c>
      <c r="D20" s="2894">
        <v>2077.66</v>
      </c>
      <c r="E20" s="2894">
        <v>3843.67</v>
      </c>
      <c r="F20" s="2894" t="s">
        <v>3108</v>
      </c>
      <c r="G20" s="2894" t="s">
        <v>3067</v>
      </c>
      <c r="H20" s="2894" t="s">
        <v>3109</v>
      </c>
      <c r="I20" s="2894" t="s">
        <v>2816</v>
      </c>
      <c r="J20" s="2894">
        <v>312.95</v>
      </c>
      <c r="K20" s="2894">
        <v>814.22</v>
      </c>
      <c r="L20" s="2894" t="s">
        <v>2816</v>
      </c>
      <c r="M20" s="2894" t="s">
        <v>3110</v>
      </c>
      <c r="N20" s="2894" t="s">
        <v>3085</v>
      </c>
    </row>
    <row r="21" spans="1:14">
      <c r="A21" s="2894" t="s">
        <v>3111</v>
      </c>
      <c r="B21" s="2894" t="s">
        <v>3064</v>
      </c>
      <c r="C21" s="2894" t="s">
        <v>3065</v>
      </c>
      <c r="D21" s="2894">
        <v>44558</v>
      </c>
      <c r="E21" s="2894">
        <v>89116</v>
      </c>
      <c r="F21" s="2894" t="s">
        <v>3112</v>
      </c>
      <c r="G21" s="2894" t="s">
        <v>3067</v>
      </c>
      <c r="H21" s="2894" t="s">
        <v>3113</v>
      </c>
      <c r="I21" s="2894" t="s">
        <v>2816</v>
      </c>
      <c r="J21" s="2894">
        <v>6684</v>
      </c>
      <c r="K21" s="2894">
        <v>750.02</v>
      </c>
      <c r="L21" s="2894" t="s">
        <v>2816</v>
      </c>
      <c r="M21" s="2894" t="s">
        <v>3114</v>
      </c>
      <c r="N21" s="2894" t="s">
        <v>3085</v>
      </c>
    </row>
    <row r="22" spans="1:14">
      <c r="A22" s="2894" t="s">
        <v>3115</v>
      </c>
      <c r="B22" s="2894" t="s">
        <v>3064</v>
      </c>
      <c r="C22" s="2894" t="s">
        <v>3065</v>
      </c>
      <c r="D22" s="2894">
        <v>26335</v>
      </c>
      <c r="E22" s="2894">
        <v>52670</v>
      </c>
      <c r="F22" s="2894" t="s">
        <v>3112</v>
      </c>
      <c r="G22" s="2894" t="s">
        <v>3067</v>
      </c>
      <c r="H22" s="2894" t="s">
        <v>3113</v>
      </c>
      <c r="I22" s="2894" t="s">
        <v>2816</v>
      </c>
      <c r="J22" s="2894">
        <v>3950</v>
      </c>
      <c r="K22" s="2894">
        <v>749.95</v>
      </c>
      <c r="L22" s="2894" t="s">
        <v>2816</v>
      </c>
      <c r="M22" s="2894" t="s">
        <v>3114</v>
      </c>
      <c r="N22" s="2894" t="s">
        <v>3085</v>
      </c>
    </row>
    <row r="23" spans="1:14">
      <c r="A23" s="2894" t="s">
        <v>3116</v>
      </c>
      <c r="B23" s="2894" t="s">
        <v>3064</v>
      </c>
      <c r="C23" s="2894" t="s">
        <v>3065</v>
      </c>
      <c r="D23" s="2894">
        <v>6375</v>
      </c>
      <c r="E23" s="2894">
        <v>27795</v>
      </c>
      <c r="F23" s="2894" t="s">
        <v>3117</v>
      </c>
      <c r="G23" s="2894" t="s">
        <v>3067</v>
      </c>
      <c r="H23" s="2894" t="s">
        <v>3118</v>
      </c>
      <c r="I23" s="2894">
        <v>1185.74</v>
      </c>
      <c r="J23" s="2894">
        <v>1185.75</v>
      </c>
      <c r="K23" s="2894">
        <v>426.61</v>
      </c>
      <c r="L23" s="2894">
        <v>0</v>
      </c>
      <c r="M23" s="2894" t="s">
        <v>3119</v>
      </c>
      <c r="N23" s="2894" t="s">
        <v>3085</v>
      </c>
    </row>
    <row r="24" spans="1:14">
      <c r="A24" s="2894" t="s">
        <v>3120</v>
      </c>
      <c r="B24" s="2894" t="s">
        <v>3064</v>
      </c>
      <c r="C24" s="2894" t="s">
        <v>3075</v>
      </c>
      <c r="D24" s="2894">
        <v>5635</v>
      </c>
      <c r="E24" s="2894">
        <v>30992.5</v>
      </c>
      <c r="F24" s="2894" t="s">
        <v>3121</v>
      </c>
      <c r="G24" s="2894" t="s">
        <v>3067</v>
      </c>
      <c r="H24" s="2894" t="s">
        <v>3122</v>
      </c>
      <c r="I24" s="2894">
        <v>890.28</v>
      </c>
      <c r="J24" s="2894">
        <v>890.28</v>
      </c>
      <c r="K24" s="2894">
        <v>287.25</v>
      </c>
      <c r="L24" s="2894">
        <v>0</v>
      </c>
      <c r="M24" s="2894" t="s">
        <v>3123</v>
      </c>
      <c r="N24" s="2894" t="s">
        <v>3085</v>
      </c>
    </row>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73" zoomScale="80" zoomScaleNormal="80" workbookViewId="0">
      <selection activeCell="C86" sqref="C86"/>
    </sheetView>
  </sheetViews>
  <sheetFormatPr defaultColWidth="9" defaultRowHeight="14.25"/>
  <cols>
    <col min="1" max="1" width="10.5" style="3356" customWidth="1"/>
    <col min="2" max="2" width="15.75" style="3356" customWidth="1"/>
    <col min="3" max="3" width="15.125" style="3356" customWidth="1"/>
    <col min="4" max="4" width="12.25" style="3356" customWidth="1"/>
    <col min="5" max="5" width="14.375" style="3356" customWidth="1"/>
    <col min="6" max="6" width="12.25" style="3356" customWidth="1"/>
    <col min="7" max="7" width="14.5" style="3356" customWidth="1"/>
    <col min="8" max="8" width="12.25" style="3356" customWidth="1"/>
    <col min="9" max="9" width="14.5" style="3356" customWidth="1"/>
    <col min="10" max="10" width="12.25" style="3356" customWidth="1"/>
    <col min="11" max="11" width="12.25" style="3724" customWidth="1"/>
    <col min="12" max="12" width="12.25" style="3725" customWidth="1"/>
    <col min="13" max="15" width="12.25" style="3356" customWidth="1"/>
    <col min="16" max="16" width="4.75" style="3356" customWidth="1"/>
    <col min="17" max="17" width="19.5" style="3356" customWidth="1"/>
    <col min="18" max="22" width="6.125" style="3356" customWidth="1"/>
    <col min="23" max="23" width="5.75" style="3356" customWidth="1"/>
    <col min="24" max="24" width="4.25" style="3356" customWidth="1"/>
    <col min="25" max="25" width="3.5" style="3356" customWidth="1"/>
    <col min="26" max="26" width="19.75" style="3356" customWidth="1"/>
    <col min="27" max="28" width="9.375" style="3356" customWidth="1"/>
    <col min="29" max="16384" width="9" style="3356"/>
  </cols>
  <sheetData>
    <row r="1" spans="1:29" s="3337" customFormat="1" ht="28.5" customHeight="1">
      <c r="A1" s="3324" t="s">
        <v>3426</v>
      </c>
      <c r="B1" s="3325" t="s">
        <v>3427</v>
      </c>
      <c r="C1" s="3326" t="s">
        <v>3428</v>
      </c>
      <c r="D1" s="3327" t="s">
        <v>923</v>
      </c>
      <c r="E1" s="3328"/>
      <c r="F1" s="3329" t="s">
        <v>3047</v>
      </c>
      <c r="G1" s="3330" t="s">
        <v>3429</v>
      </c>
      <c r="H1" s="3331"/>
      <c r="I1" s="3331"/>
      <c r="J1" s="3331"/>
      <c r="K1" s="3332"/>
      <c r="L1" s="3333"/>
      <c r="M1" s="3334"/>
      <c r="N1" s="3334"/>
      <c r="O1" s="3334"/>
      <c r="P1" s="3335"/>
      <c r="Q1" s="3335"/>
      <c r="R1" s="3335"/>
      <c r="S1" s="3335"/>
      <c r="T1" s="3335"/>
      <c r="U1" s="3335"/>
      <c r="V1" s="3335"/>
      <c r="W1" s="3335"/>
      <c r="X1" s="3335"/>
      <c r="Y1" s="3335"/>
      <c r="Z1" s="3335"/>
      <c r="AA1" s="3335"/>
      <c r="AB1" s="3335"/>
      <c r="AC1" s="3336"/>
    </row>
    <row r="2" spans="1:29" s="3346" customFormat="1" ht="28.5" customHeight="1">
      <c r="A2" s="423" t="s">
        <v>3430</v>
      </c>
      <c r="B2" s="3338">
        <f>ROUND(B3*D3/10000,0)</f>
        <v>56882</v>
      </c>
      <c r="C2" s="3339"/>
      <c r="D2" s="3339"/>
      <c r="E2" s="3339"/>
      <c r="F2" s="3340"/>
      <c r="G2" s="3339"/>
      <c r="H2" s="3339"/>
      <c r="I2" s="3339"/>
      <c r="J2" s="3339"/>
      <c r="K2" s="3341"/>
      <c r="L2" s="3342"/>
      <c r="M2" s="3343"/>
      <c r="N2" s="3343"/>
      <c r="O2" s="3343"/>
      <c r="P2" s="3344"/>
      <c r="Q2" s="3344"/>
      <c r="R2" s="3344"/>
      <c r="S2" s="3344"/>
      <c r="T2" s="3344"/>
      <c r="U2" s="3344"/>
      <c r="V2" s="3344"/>
      <c r="W2" s="3344"/>
      <c r="X2" s="3344"/>
      <c r="Y2" s="3344"/>
      <c r="Z2" s="3344"/>
      <c r="AA2" s="3344"/>
      <c r="AB2" s="3344"/>
      <c r="AC2" s="3345"/>
    </row>
    <row r="3" spans="1:29" s="3346" customFormat="1" ht="28.5" customHeight="1" thickBot="1">
      <c r="A3" s="509" t="s">
        <v>3431</v>
      </c>
      <c r="B3" s="3347">
        <f>C49</f>
        <v>14325</v>
      </c>
      <c r="C3" s="3348" t="s">
        <v>3432</v>
      </c>
      <c r="D3" s="3347">
        <f>SUMIF('[1]数据-汇总表'!$C19:$C33,D1,'[1]数据-汇总表'!$E19:$E33)</f>
        <v>39708.480000000003</v>
      </c>
      <c r="E3" s="3339"/>
      <c r="F3" s="3340"/>
      <c r="G3" s="3339"/>
      <c r="H3" s="3339"/>
      <c r="I3" s="3339"/>
      <c r="J3" s="3339"/>
      <c r="K3" s="3341"/>
      <c r="L3" s="3342"/>
      <c r="M3" s="3343"/>
      <c r="N3" s="3343"/>
      <c r="O3" s="3343"/>
      <c r="P3" s="3344"/>
      <c r="Q3" s="3344"/>
      <c r="R3" s="3344"/>
      <c r="S3" s="3344"/>
      <c r="T3" s="3344"/>
      <c r="U3" s="3344"/>
      <c r="V3" s="3344"/>
      <c r="W3" s="3344"/>
      <c r="X3" s="3344"/>
      <c r="Y3" s="3344"/>
      <c r="Z3" s="3344"/>
      <c r="AA3" s="3344"/>
      <c r="AB3" s="3344"/>
      <c r="AC3" s="3349"/>
    </row>
    <row r="4" spans="1:29" ht="15">
      <c r="A4" s="3350" t="s">
        <v>3433</v>
      </c>
      <c r="B4" s="3351"/>
      <c r="C4" s="4420" t="s">
        <v>3434</v>
      </c>
      <c r="D4" s="4421"/>
      <c r="E4" s="4422" t="s">
        <v>3435</v>
      </c>
      <c r="F4" s="4423"/>
      <c r="G4" s="4420" t="s">
        <v>3436</v>
      </c>
      <c r="H4" s="4421"/>
      <c r="I4" s="4420" t="s">
        <v>3437</v>
      </c>
      <c r="J4" s="4421"/>
      <c r="K4" s="3352" t="s">
        <v>3438</v>
      </c>
      <c r="L4" s="3353"/>
      <c r="M4" s="3354"/>
      <c r="N4" s="3354"/>
      <c r="O4" s="3354"/>
      <c r="P4" s="4424" t="s">
        <v>3439</v>
      </c>
      <c r="Q4" s="4425"/>
      <c r="R4" s="4430" t="s">
        <v>3440</v>
      </c>
      <c r="S4" s="4431"/>
      <c r="T4" s="4430" t="s">
        <v>3441</v>
      </c>
      <c r="U4" s="4431"/>
      <c r="V4" s="4445" t="s">
        <v>3442</v>
      </c>
      <c r="W4" s="4445"/>
      <c r="X4" s="3355"/>
      <c r="Y4" s="4430" t="s">
        <v>3439</v>
      </c>
      <c r="Z4" s="4431"/>
      <c r="AA4" s="4417" t="s">
        <v>3440</v>
      </c>
      <c r="AB4" s="4417" t="s">
        <v>3441</v>
      </c>
      <c r="AC4" s="4417" t="s">
        <v>3442</v>
      </c>
    </row>
    <row r="5" spans="1:29" ht="15">
      <c r="A5" s="3357"/>
      <c r="B5" s="3358"/>
      <c r="C5" s="4434" t="s">
        <v>3443</v>
      </c>
      <c r="D5" s="4435"/>
      <c r="E5" s="4436" t="s">
        <v>3444</v>
      </c>
      <c r="F5" s="4437"/>
      <c r="G5" s="4438" t="s">
        <v>3445</v>
      </c>
      <c r="H5" s="4435"/>
      <c r="I5" s="4438" t="s">
        <v>3446</v>
      </c>
      <c r="J5" s="4435"/>
      <c r="K5" s="3359"/>
      <c r="L5" s="3353"/>
      <c r="M5" s="3354"/>
      <c r="N5" s="3354"/>
      <c r="O5" s="3354"/>
      <c r="P5" s="4426"/>
      <c r="Q5" s="4427"/>
      <c r="R5" s="4432"/>
      <c r="S5" s="4433"/>
      <c r="T5" s="4432"/>
      <c r="U5" s="4433"/>
      <c r="V5" s="4445"/>
      <c r="W5" s="4445"/>
      <c r="X5" s="3355"/>
      <c r="Y5" s="4432"/>
      <c r="Z5" s="4433"/>
      <c r="AA5" s="4418"/>
      <c r="AB5" s="4418"/>
      <c r="AC5" s="4418"/>
    </row>
    <row r="6" spans="1:29" ht="15.75" thickBot="1">
      <c r="A6" s="3360"/>
      <c r="B6" s="3361"/>
      <c r="C6" s="4439" t="s">
        <v>3447</v>
      </c>
      <c r="D6" s="4440"/>
      <c r="E6" s="4441" t="s">
        <v>3447</v>
      </c>
      <c r="F6" s="4442"/>
      <c r="G6" s="4439" t="s">
        <v>3447</v>
      </c>
      <c r="H6" s="4440"/>
      <c r="I6" s="4439" t="s">
        <v>3447</v>
      </c>
      <c r="J6" s="4440"/>
      <c r="K6" s="3359" t="s">
        <v>3448</v>
      </c>
      <c r="L6" s="3353"/>
      <c r="M6" s="3354"/>
      <c r="N6" s="3354"/>
      <c r="O6" s="3354"/>
      <c r="P6" s="4428"/>
      <c r="Q6" s="4429"/>
      <c r="R6" s="4432"/>
      <c r="S6" s="4433"/>
      <c r="T6" s="4443"/>
      <c r="U6" s="4444"/>
      <c r="V6" s="4445"/>
      <c r="W6" s="4445"/>
      <c r="X6" s="3355"/>
      <c r="Y6" s="4443"/>
      <c r="Z6" s="4444"/>
      <c r="AA6" s="4419"/>
      <c r="AB6" s="4419"/>
      <c r="AC6" s="4419"/>
    </row>
    <row r="7" spans="1:29" s="3376" customFormat="1" ht="15.75" thickBot="1">
      <c r="A7" s="3362"/>
      <c r="B7" s="3363" t="s">
        <v>3449</v>
      </c>
      <c r="C7" s="3364">
        <f>'[1]数据-取费表'!B2</f>
        <v>43647</v>
      </c>
      <c r="D7" s="3365">
        <v>100</v>
      </c>
      <c r="E7" s="3366">
        <f>C7</f>
        <v>43647</v>
      </c>
      <c r="F7" s="3367">
        <f>SUMIF(58:58,YEAR(E7)&amp;"-"&amp;MONTH(E7),59:59)</f>
        <v>100</v>
      </c>
      <c r="G7" s="3368">
        <f>C7</f>
        <v>43647</v>
      </c>
      <c r="H7" s="3365">
        <f>SUMIF(58:58,YEAR(G7)&amp;"-"&amp;MONTH(G7),59:59)</f>
        <v>100</v>
      </c>
      <c r="I7" s="3368">
        <f>C7</f>
        <v>43647</v>
      </c>
      <c r="J7" s="3365">
        <f>SUMIF(58:58,YEAR(I7)&amp;"-"&amp;MONTH(I7),59:59)</f>
        <v>100</v>
      </c>
      <c r="K7" s="3369"/>
      <c r="L7" s="3370"/>
      <c r="M7" s="3371"/>
      <c r="N7" s="3371"/>
      <c r="O7" s="3371"/>
      <c r="P7" s="4446" t="s">
        <v>3450</v>
      </c>
      <c r="Q7" s="4447"/>
      <c r="R7" s="3372" t="s">
        <v>3451</v>
      </c>
      <c r="S7" s="3373">
        <f t="shared" ref="S7:S15" si="0">F7</f>
        <v>100</v>
      </c>
      <c r="T7" s="3372" t="s">
        <v>3451</v>
      </c>
      <c r="U7" s="3373">
        <f t="shared" ref="U7:U15" si="1">H7</f>
        <v>100</v>
      </c>
      <c r="V7" s="3372" t="s">
        <v>3451</v>
      </c>
      <c r="W7" s="3373">
        <f t="shared" ref="W7:W15" si="2">J7</f>
        <v>100</v>
      </c>
      <c r="X7" s="3374"/>
      <c r="Y7" s="4446" t="s">
        <v>3450</v>
      </c>
      <c r="Z7" s="4448"/>
      <c r="AA7" s="3375">
        <f>D7/F7</f>
        <v>1</v>
      </c>
      <c r="AB7" s="3375">
        <f>D7/H7</f>
        <v>1</v>
      </c>
      <c r="AC7" s="3375">
        <f>D7/J7</f>
        <v>1</v>
      </c>
    </row>
    <row r="8" spans="1:29" s="3376" customFormat="1" ht="15.75" thickBot="1">
      <c r="A8" s="3377"/>
      <c r="B8" s="3378" t="s">
        <v>3452</v>
      </c>
      <c r="C8" s="3379" t="s">
        <v>3453</v>
      </c>
      <c r="D8" s="3365">
        <v>100</v>
      </c>
      <c r="E8" s="3380" t="s">
        <v>3011</v>
      </c>
      <c r="F8" s="3367">
        <f>SUMIF(61:61,E8,62:62)-SUMIF(61:61,C8,62:62)+100</f>
        <v>100</v>
      </c>
      <c r="G8" s="3379" t="s">
        <v>3011</v>
      </c>
      <c r="H8" s="3365">
        <f>SUMIF(61:61,G8,62:62)-SUMIF(61:61,C8,62:62)+100</f>
        <v>100</v>
      </c>
      <c r="I8" s="3380" t="s">
        <v>3011</v>
      </c>
      <c r="J8" s="3365">
        <f>SUMIF(61:61,I8,62:62)-SUMIF(61:61,C8,62:62)+100</f>
        <v>100</v>
      </c>
      <c r="K8" s="3369"/>
      <c r="L8" s="3370"/>
      <c r="M8" s="3371"/>
      <c r="N8" s="3371"/>
      <c r="O8" s="3371"/>
      <c r="P8" s="4446" t="s">
        <v>3454</v>
      </c>
      <c r="Q8" s="4448"/>
      <c r="R8" s="3372" t="s">
        <v>3455</v>
      </c>
      <c r="S8" s="3373">
        <f t="shared" si="0"/>
        <v>100</v>
      </c>
      <c r="T8" s="3372" t="s">
        <v>3455</v>
      </c>
      <c r="U8" s="3373">
        <f t="shared" si="1"/>
        <v>100</v>
      </c>
      <c r="V8" s="3372" t="s">
        <v>3455</v>
      </c>
      <c r="W8" s="3373">
        <f t="shared" si="2"/>
        <v>100</v>
      </c>
      <c r="X8" s="3374"/>
      <c r="Y8" s="4446" t="s">
        <v>3454</v>
      </c>
      <c r="Z8" s="4448"/>
      <c r="AA8" s="3375">
        <f t="shared" ref="AA8:AA46" si="3">D8/F8</f>
        <v>1</v>
      </c>
      <c r="AB8" s="3375">
        <f t="shared" ref="AB8:AB46" si="4">D8/H8</f>
        <v>1</v>
      </c>
      <c r="AC8" s="3375">
        <f t="shared" ref="AC8:AC46" si="5">D8/J8</f>
        <v>1</v>
      </c>
    </row>
    <row r="9" spans="1:29" s="3376" customFormat="1" ht="15">
      <c r="A9" s="3381"/>
      <c r="B9" s="3382" t="s">
        <v>3456</v>
      </c>
      <c r="C9" s="3383" t="s">
        <v>3457</v>
      </c>
      <c r="D9" s="3384">
        <v>100</v>
      </c>
      <c r="E9" s="3385" t="s">
        <v>923</v>
      </c>
      <c r="F9" s="3386">
        <f>SUMIF(63:63,E9,64:64)-SUMIF(63:63,C9,64:64)+100</f>
        <v>100</v>
      </c>
      <c r="G9" s="3387" t="s">
        <v>923</v>
      </c>
      <c r="H9" s="3384">
        <f>SUMIF(63:63,G9,64:64)-SUMIF(63:63,C9,64:64)+100</f>
        <v>100</v>
      </c>
      <c r="I9" s="3387" t="s">
        <v>923</v>
      </c>
      <c r="J9" s="3384">
        <f>SUMIF(63:63,I9,64:64)-SUMIF(63:63,C9,64:64)+100</f>
        <v>100</v>
      </c>
      <c r="K9" s="3369"/>
      <c r="L9" s="3370"/>
      <c r="M9" s="3371"/>
      <c r="N9" s="3371"/>
      <c r="O9" s="3388"/>
      <c r="P9" s="4449" t="s">
        <v>3458</v>
      </c>
      <c r="Q9" s="3389" t="str">
        <f t="shared" ref="Q9:Q15" si="6">B9</f>
        <v>用途</v>
      </c>
      <c r="R9" s="3372" t="s">
        <v>3455</v>
      </c>
      <c r="S9" s="3373">
        <f t="shared" si="0"/>
        <v>100</v>
      </c>
      <c r="T9" s="3372" t="s">
        <v>3455</v>
      </c>
      <c r="U9" s="3373">
        <f t="shared" si="1"/>
        <v>100</v>
      </c>
      <c r="V9" s="3372" t="s">
        <v>3455</v>
      </c>
      <c r="W9" s="3373">
        <f t="shared" si="2"/>
        <v>100</v>
      </c>
      <c r="X9" s="3374"/>
      <c r="Y9" s="4450" t="s">
        <v>3459</v>
      </c>
      <c r="Z9" s="3390" t="str">
        <f t="shared" ref="Z9:Z15" si="7">Q9</f>
        <v>用途</v>
      </c>
      <c r="AA9" s="3375">
        <f t="shared" si="3"/>
        <v>1</v>
      </c>
      <c r="AB9" s="3375">
        <f t="shared" si="4"/>
        <v>1</v>
      </c>
      <c r="AC9" s="3375">
        <f t="shared" si="5"/>
        <v>1</v>
      </c>
    </row>
    <row r="10" spans="1:29" s="3400" customFormat="1" ht="27">
      <c r="A10" s="3391"/>
      <c r="B10" s="3378" t="s">
        <v>2755</v>
      </c>
      <c r="C10" s="3392" t="s">
        <v>3046</v>
      </c>
      <c r="D10" s="3393">
        <v>100</v>
      </c>
      <c r="E10" s="3394" t="s">
        <v>3046</v>
      </c>
      <c r="F10" s="3395">
        <f>SUMIF(65:65,E10,66:66)-SUMIF(65:65,C10,66:66)+100</f>
        <v>100</v>
      </c>
      <c r="G10" s="3392" t="s">
        <v>3046</v>
      </c>
      <c r="H10" s="3393">
        <f>SUMIF(65:65,G10,66:66)-SUMIF(65:65,C10,66:66)+100</f>
        <v>100</v>
      </c>
      <c r="I10" s="3392" t="s">
        <v>3046</v>
      </c>
      <c r="J10" s="3393">
        <f>SUMIF(65:65,I10,66:66)-SUMIF(65:65,C10,66:66)+100</f>
        <v>100</v>
      </c>
      <c r="K10" s="3396">
        <v>2</v>
      </c>
      <c r="L10" s="3397"/>
      <c r="M10" s="3398"/>
      <c r="N10" s="3398"/>
      <c r="O10" s="3399"/>
      <c r="P10" s="4449"/>
      <c r="Q10" s="3389" t="str">
        <f t="shared" si="6"/>
        <v>土地使用年限（年）</v>
      </c>
      <c r="R10" s="3372" t="s">
        <v>3460</v>
      </c>
      <c r="S10" s="3373">
        <f t="shared" si="0"/>
        <v>100</v>
      </c>
      <c r="T10" s="3372" t="s">
        <v>3460</v>
      </c>
      <c r="U10" s="3373">
        <f t="shared" si="1"/>
        <v>100</v>
      </c>
      <c r="V10" s="3372" t="s">
        <v>3460</v>
      </c>
      <c r="W10" s="3373">
        <f t="shared" si="2"/>
        <v>100</v>
      </c>
      <c r="X10" s="3374"/>
      <c r="Y10" s="4450"/>
      <c r="Z10" s="3390" t="str">
        <f t="shared" si="7"/>
        <v>土地使用年限（年）</v>
      </c>
      <c r="AA10" s="3375">
        <f t="shared" si="3"/>
        <v>1</v>
      </c>
      <c r="AB10" s="3375">
        <f t="shared" si="4"/>
        <v>1</v>
      </c>
      <c r="AC10" s="3375">
        <f t="shared" si="5"/>
        <v>1</v>
      </c>
    </row>
    <row r="11" spans="1:29" ht="15">
      <c r="A11" s="3401"/>
      <c r="B11" s="3378" t="s">
        <v>3461</v>
      </c>
      <c r="C11" s="3402">
        <f>'数据-汇总表'!I7</f>
        <v>0.8</v>
      </c>
      <c r="D11" s="3393">
        <v>100</v>
      </c>
      <c r="E11" s="3403">
        <v>2</v>
      </c>
      <c r="F11" s="3395">
        <f>LOOKUP(E11,68:68,69:69)-LOOKUP(C11,68:68,69:69)+100</f>
        <v>98</v>
      </c>
      <c r="G11" s="3404">
        <v>3</v>
      </c>
      <c r="H11" s="3393">
        <f>LOOKUP(G11,68:68,69:69)-LOOKUP(C11,68:68,69:69)+100</f>
        <v>97</v>
      </c>
      <c r="I11" s="3404">
        <v>2.39</v>
      </c>
      <c r="J11" s="3393">
        <f>LOOKUP(I11,68:68,69:69)-LOOKUP(C11,68:68,69:69)+100</f>
        <v>98</v>
      </c>
      <c r="K11" s="3396">
        <v>1</v>
      </c>
      <c r="L11" s="3405"/>
      <c r="M11" s="3354"/>
      <c r="N11" s="3354"/>
      <c r="O11" s="3406"/>
      <c r="P11" s="4449"/>
      <c r="Q11" s="3389" t="str">
        <f t="shared" si="6"/>
        <v>容积率</v>
      </c>
      <c r="R11" s="3372" t="s">
        <v>3451</v>
      </c>
      <c r="S11" s="3373">
        <f t="shared" si="0"/>
        <v>98</v>
      </c>
      <c r="T11" s="3372" t="s">
        <v>3451</v>
      </c>
      <c r="U11" s="3373">
        <f t="shared" si="1"/>
        <v>97</v>
      </c>
      <c r="V11" s="3372" t="s">
        <v>3451</v>
      </c>
      <c r="W11" s="3373">
        <f t="shared" si="2"/>
        <v>98</v>
      </c>
      <c r="X11" s="3374"/>
      <c r="Y11" s="4450"/>
      <c r="Z11" s="3390" t="str">
        <f t="shared" si="7"/>
        <v>容积率</v>
      </c>
      <c r="AA11" s="3375">
        <f t="shared" si="3"/>
        <v>1.0204081632653061</v>
      </c>
      <c r="AB11" s="3375">
        <f t="shared" si="4"/>
        <v>1.0309278350515463</v>
      </c>
      <c r="AC11" s="3375">
        <f t="shared" si="5"/>
        <v>1.0204081632653061</v>
      </c>
    </row>
    <row r="12" spans="1:29" s="3376" customFormat="1" ht="15">
      <c r="A12" s="3407"/>
      <c r="B12" s="3408">
        <v>111</v>
      </c>
      <c r="C12" s="3409"/>
      <c r="D12" s="3410">
        <v>100</v>
      </c>
      <c r="E12" s="3409"/>
      <c r="F12" s="3395">
        <f>SUMIF(70:70,E12,71:71)-SUMIF(70:70,C12,71:71)+100</f>
        <v>100</v>
      </c>
      <c r="G12" s="3409"/>
      <c r="H12" s="3393">
        <f>SUMIF(70:70,G12,71:71)-SUMIF(70:70,C12,71:71)+100</f>
        <v>100</v>
      </c>
      <c r="I12" s="3409"/>
      <c r="J12" s="3393">
        <f>SUMIF(70:70,I12,71:71)-SUMIF(70:70,C12,71:71)+100</f>
        <v>100</v>
      </c>
      <c r="K12" s="3411"/>
      <c r="L12" s="3370"/>
      <c r="M12" s="3371"/>
      <c r="N12" s="3371"/>
      <c r="O12" s="3388"/>
      <c r="P12" s="4449"/>
      <c r="Q12" s="3389">
        <f t="shared" si="6"/>
        <v>111</v>
      </c>
      <c r="R12" s="3372" t="s">
        <v>3451</v>
      </c>
      <c r="S12" s="3373">
        <f t="shared" si="0"/>
        <v>100</v>
      </c>
      <c r="T12" s="3372" t="s">
        <v>3451</v>
      </c>
      <c r="U12" s="3373">
        <f t="shared" si="1"/>
        <v>100</v>
      </c>
      <c r="V12" s="3372" t="s">
        <v>3451</v>
      </c>
      <c r="W12" s="3373">
        <f t="shared" si="2"/>
        <v>100</v>
      </c>
      <c r="X12" s="3374"/>
      <c r="Y12" s="4450"/>
      <c r="Z12" s="3390">
        <f t="shared" si="7"/>
        <v>111</v>
      </c>
      <c r="AA12" s="3375">
        <f>D12/F12</f>
        <v>1</v>
      </c>
      <c r="AB12" s="3375">
        <f>D12/H12</f>
        <v>1</v>
      </c>
      <c r="AC12" s="3375">
        <f>D12/J12</f>
        <v>1</v>
      </c>
    </row>
    <row r="13" spans="1:29" ht="15">
      <c r="A13" s="3407"/>
      <c r="B13" s="3408">
        <v>111</v>
      </c>
      <c r="C13" s="3412"/>
      <c r="D13" s="3413">
        <v>100</v>
      </c>
      <c r="E13" s="3412"/>
      <c r="F13" s="3395">
        <f>SUMIF(72:72,E13,73:73)-SUMIF(72:72,C13,73:73)+100</f>
        <v>100</v>
      </c>
      <c r="G13" s="3412"/>
      <c r="H13" s="3413">
        <f>SUMIF(72:72,G13,73:73)-SUMIF(72:72,C13,73:73)+100</f>
        <v>100</v>
      </c>
      <c r="I13" s="3412"/>
      <c r="J13" s="3413">
        <f>SUMIF(72:72,I13,73:73)-SUMIF(72:72,C13,73:73)+100</f>
        <v>100</v>
      </c>
      <c r="K13" s="3411"/>
      <c r="L13" s="3414"/>
      <c r="M13" s="3354"/>
      <c r="N13" s="3354"/>
      <c r="O13" s="3406"/>
      <c r="P13" s="4449"/>
      <c r="Q13" s="3389">
        <f t="shared" si="6"/>
        <v>111</v>
      </c>
      <c r="R13" s="3372" t="s">
        <v>3451</v>
      </c>
      <c r="S13" s="3373">
        <f t="shared" si="0"/>
        <v>100</v>
      </c>
      <c r="T13" s="3372" t="s">
        <v>3451</v>
      </c>
      <c r="U13" s="3373">
        <f t="shared" si="1"/>
        <v>100</v>
      </c>
      <c r="V13" s="3372" t="s">
        <v>3451</v>
      </c>
      <c r="W13" s="3373">
        <f t="shared" si="2"/>
        <v>100</v>
      </c>
      <c r="X13" s="3374"/>
      <c r="Y13" s="4450"/>
      <c r="Z13" s="3390">
        <f t="shared" si="7"/>
        <v>111</v>
      </c>
      <c r="AA13" s="3375">
        <f t="shared" si="3"/>
        <v>1</v>
      </c>
      <c r="AB13" s="3375">
        <f t="shared" si="4"/>
        <v>1</v>
      </c>
      <c r="AC13" s="3375">
        <f t="shared" si="5"/>
        <v>1</v>
      </c>
    </row>
    <row r="14" spans="1:29" ht="15.75" thickBot="1">
      <c r="A14" s="3415"/>
      <c r="B14" s="3416">
        <v>111</v>
      </c>
      <c r="C14" s="3417"/>
      <c r="D14" s="3418">
        <v>100</v>
      </c>
      <c r="E14" s="3417"/>
      <c r="F14" s="3419">
        <f>SUMIF(74:74,E14,75:75)-SUMIF(74:74,C14,75:75)+100</f>
        <v>100</v>
      </c>
      <c r="G14" s="3417"/>
      <c r="H14" s="3418">
        <f>SUMIF(74:74,G14,75:75)-SUMIF(74:74,C14,75:75)+100</f>
        <v>100</v>
      </c>
      <c r="I14" s="3417"/>
      <c r="J14" s="3418">
        <f>SUMIF(74:74,I14,75:75)-SUMIF(74:74,C14,75:75)+100</f>
        <v>100</v>
      </c>
      <c r="K14" s="3411"/>
      <c r="L14" s="3414"/>
      <c r="M14" s="3354"/>
      <c r="N14" s="3354"/>
      <c r="O14" s="3406"/>
      <c r="P14" s="4449"/>
      <c r="Q14" s="3389">
        <f t="shared" si="6"/>
        <v>111</v>
      </c>
      <c r="R14" s="3372" t="s">
        <v>3451</v>
      </c>
      <c r="S14" s="3373">
        <f t="shared" si="0"/>
        <v>100</v>
      </c>
      <c r="T14" s="3372" t="s">
        <v>3451</v>
      </c>
      <c r="U14" s="3373">
        <f t="shared" si="1"/>
        <v>100</v>
      </c>
      <c r="V14" s="3372" t="s">
        <v>3451</v>
      </c>
      <c r="W14" s="3373">
        <f t="shared" si="2"/>
        <v>100</v>
      </c>
      <c r="X14" s="3374"/>
      <c r="Y14" s="4450"/>
      <c r="Z14" s="3390">
        <f t="shared" si="7"/>
        <v>111</v>
      </c>
      <c r="AA14" s="3375">
        <f t="shared" si="3"/>
        <v>1</v>
      </c>
      <c r="AB14" s="3375">
        <f t="shared" si="4"/>
        <v>1</v>
      </c>
      <c r="AC14" s="3375">
        <f t="shared" si="5"/>
        <v>1</v>
      </c>
    </row>
    <row r="15" spans="1:29" ht="85.5">
      <c r="A15" s="3420" t="s">
        <v>3462</v>
      </c>
      <c r="B15" s="3421" t="s">
        <v>295</v>
      </c>
      <c r="C15" s="3422" t="str">
        <f>[1]估价对象房地状况!C3</f>
        <v>周边居住氛围一遍，有潼南天地、卓然铂金公馆等住宅小区，居住社区成熟度较好</v>
      </c>
      <c r="D15" s="3423">
        <v>100</v>
      </c>
      <c r="E15" s="3424" t="s">
        <v>3463</v>
      </c>
      <c r="F15" s="3425">
        <f>SUMIF(76:76,E16,77:77)-SUMIF(76:76,C16,77:77)+100</f>
        <v>100</v>
      </c>
      <c r="G15" s="3426" t="s">
        <v>3464</v>
      </c>
      <c r="H15" s="3423">
        <f>SUMIF(76:76,G16,77:77)-SUMIF(76:76,C16,77:77)+100</f>
        <v>100</v>
      </c>
      <c r="I15" s="3424" t="s">
        <v>3465</v>
      </c>
      <c r="J15" s="3423">
        <f>SUMIF(76:76,I16,77:77)-SUMIF(76:76,C16,77:77)+100</f>
        <v>100</v>
      </c>
      <c r="K15" s="3427">
        <v>2</v>
      </c>
      <c r="L15" s="3414"/>
      <c r="M15" s="3354"/>
      <c r="N15" s="3354"/>
      <c r="O15" s="3406"/>
      <c r="P15" s="4451" t="s">
        <v>3466</v>
      </c>
      <c r="Q15" s="3428" t="str">
        <f t="shared" si="6"/>
        <v>居住社区成熟度</v>
      </c>
      <c r="R15" s="3429" t="s">
        <v>3451</v>
      </c>
      <c r="S15" s="3430">
        <f t="shared" si="0"/>
        <v>100</v>
      </c>
      <c r="T15" s="3429" t="s">
        <v>3451</v>
      </c>
      <c r="U15" s="3430">
        <f t="shared" si="1"/>
        <v>100</v>
      </c>
      <c r="V15" s="3429" t="s">
        <v>3451</v>
      </c>
      <c r="W15" s="3430">
        <f t="shared" si="2"/>
        <v>100</v>
      </c>
      <c r="X15" s="3355"/>
      <c r="Y15" s="4451" t="s">
        <v>3466</v>
      </c>
      <c r="Z15" s="3431" t="str">
        <f t="shared" si="7"/>
        <v>居住社区成熟度</v>
      </c>
      <c r="AA15" s="3432">
        <f t="shared" si="3"/>
        <v>1</v>
      </c>
      <c r="AB15" s="3432">
        <f t="shared" si="4"/>
        <v>1</v>
      </c>
      <c r="AC15" s="3432">
        <f t="shared" si="5"/>
        <v>1</v>
      </c>
    </row>
    <row r="16" spans="1:29" ht="15">
      <c r="A16" s="3433"/>
      <c r="B16" s="3434"/>
      <c r="C16" s="3435" t="s">
        <v>3013</v>
      </c>
      <c r="D16" s="3436"/>
      <c r="E16" s="3437" t="s">
        <v>3013</v>
      </c>
      <c r="F16" s="3438"/>
      <c r="G16" s="3439" t="s">
        <v>3013</v>
      </c>
      <c r="H16" s="3440"/>
      <c r="I16" s="3437" t="s">
        <v>3013</v>
      </c>
      <c r="J16" s="3436"/>
      <c r="K16" s="3441"/>
      <c r="L16" s="3414"/>
      <c r="M16" s="3354"/>
      <c r="N16" s="3354"/>
      <c r="O16" s="3406"/>
      <c r="P16" s="4452"/>
      <c r="Q16" s="3428"/>
      <c r="R16" s="3429"/>
      <c r="S16" s="3430"/>
      <c r="T16" s="3429"/>
      <c r="U16" s="3430"/>
      <c r="V16" s="3429"/>
      <c r="W16" s="3430"/>
      <c r="X16" s="3355"/>
      <c r="Y16" s="4452"/>
      <c r="Z16" s="3431"/>
      <c r="AA16" s="3432">
        <v>1</v>
      </c>
      <c r="AB16" s="3432">
        <v>1</v>
      </c>
      <c r="AC16" s="3432">
        <v>1</v>
      </c>
    </row>
    <row r="17" spans="1:29" ht="128.25">
      <c r="A17" s="3433"/>
      <c r="B17" s="3442" t="s">
        <v>296</v>
      </c>
      <c r="C17" s="3443" t="str">
        <f>[1]估价对象房地状况!C6</f>
        <v>周边道路密集程度一般、公共交通通达情况一般，有107路，203路、等公交线路通过，停车便捷程度一般，综合评价交通便捷度一般。</v>
      </c>
      <c r="D17" s="3440">
        <v>100</v>
      </c>
      <c r="E17" s="3444" t="s">
        <v>3467</v>
      </c>
      <c r="F17" s="3445">
        <f>SUMIF(78:78,E18,79:79)-SUMIF(78:78,C18,79:79)+100</f>
        <v>100</v>
      </c>
      <c r="G17" s="3446" t="s">
        <v>3468</v>
      </c>
      <c r="H17" s="3447">
        <f>SUMIF(78:78,G18,79:79)-SUMIF(78:78,C18,79:79)+100</f>
        <v>100</v>
      </c>
      <c r="I17" s="3446" t="s">
        <v>3469</v>
      </c>
      <c r="J17" s="3447">
        <f>SUMIF(78:78,I18,79:79)-SUMIF(78:78,C18,79:79)+100</f>
        <v>100</v>
      </c>
      <c r="K17" s="3427">
        <v>2</v>
      </c>
      <c r="L17" s="3414"/>
      <c r="M17" s="3354"/>
      <c r="N17" s="3354"/>
      <c r="O17" s="3406"/>
      <c r="P17" s="4452"/>
      <c r="Q17" s="3428" t="str">
        <f>B17</f>
        <v>交通便捷度</v>
      </c>
      <c r="R17" s="3429" t="s">
        <v>3470</v>
      </c>
      <c r="S17" s="3430">
        <f>F17</f>
        <v>100</v>
      </c>
      <c r="T17" s="3429" t="s">
        <v>3471</v>
      </c>
      <c r="U17" s="3430">
        <f>H17</f>
        <v>100</v>
      </c>
      <c r="V17" s="3429" t="s">
        <v>3472</v>
      </c>
      <c r="W17" s="3430">
        <f>J17</f>
        <v>100</v>
      </c>
      <c r="X17" s="3355"/>
      <c r="Y17" s="4452"/>
      <c r="Z17" s="3431" t="str">
        <f>Q17</f>
        <v>交通便捷度</v>
      </c>
      <c r="AA17" s="3432">
        <f t="shared" si="3"/>
        <v>1</v>
      </c>
      <c r="AB17" s="3432">
        <f t="shared" si="4"/>
        <v>1</v>
      </c>
      <c r="AC17" s="3432">
        <f t="shared" si="5"/>
        <v>1</v>
      </c>
    </row>
    <row r="18" spans="1:29" ht="15">
      <c r="A18" s="3433"/>
      <c r="B18" s="3448"/>
      <c r="C18" s="3449" t="s">
        <v>3014</v>
      </c>
      <c r="D18" s="3440"/>
      <c r="E18" s="3450" t="s">
        <v>3014</v>
      </c>
      <c r="F18" s="3445"/>
      <c r="G18" s="3451" t="s">
        <v>3014</v>
      </c>
      <c r="H18" s="3436"/>
      <c r="I18" s="3450" t="s">
        <v>3014</v>
      </c>
      <c r="J18" s="3436"/>
      <c r="K18" s="3441"/>
      <c r="L18" s="3414"/>
      <c r="M18" s="3354"/>
      <c r="N18" s="3354"/>
      <c r="O18" s="3406"/>
      <c r="P18" s="4452"/>
      <c r="Q18" s="3428"/>
      <c r="R18" s="3429"/>
      <c r="S18" s="3430"/>
      <c r="T18" s="3429"/>
      <c r="U18" s="3430"/>
      <c r="V18" s="3429"/>
      <c r="W18" s="3430"/>
      <c r="X18" s="3355"/>
      <c r="Y18" s="4452"/>
      <c r="Z18" s="3431"/>
      <c r="AA18" s="3432">
        <v>1</v>
      </c>
      <c r="AB18" s="3432">
        <v>1</v>
      </c>
      <c r="AC18" s="3432">
        <v>1</v>
      </c>
    </row>
    <row r="19" spans="1:29" ht="149.25">
      <c r="A19" s="3433"/>
      <c r="B19" s="3452" t="s">
        <v>3473</v>
      </c>
      <c r="C19" s="3443" t="str">
        <f>[1]估价对象房地状况!C7</f>
        <v>所在区域2公里范围内有银行（中国邮政储蓄银行）、学校（巴川中学）、商业（无）、医院（无）等配套设施，公共配套设施一般；</v>
      </c>
      <c r="D19" s="3447">
        <v>100</v>
      </c>
      <c r="E19" s="3453" t="s">
        <v>3474</v>
      </c>
      <c r="F19" s="3454">
        <f>SUMIF(80:80,E20,81:81)-SUMIF(80:80,C20,81:81)+100</f>
        <v>100</v>
      </c>
      <c r="G19" s="3453" t="s">
        <v>3475</v>
      </c>
      <c r="H19" s="3440">
        <f>SUMIF(80:80,G20,81:81)-SUMIF(80:80,C20,81:81)+100</f>
        <v>102</v>
      </c>
      <c r="I19" s="3453" t="s">
        <v>3476</v>
      </c>
      <c r="J19" s="3440">
        <f>SUMIF(80:80,I20,81:81)-SUMIF(80:80,C20,81:81)+100</f>
        <v>102</v>
      </c>
      <c r="K19" s="3427">
        <v>2</v>
      </c>
      <c r="L19" s="3414"/>
      <c r="M19" s="3354"/>
      <c r="N19" s="3354"/>
      <c r="O19" s="3406"/>
      <c r="P19" s="4452"/>
      <c r="Q19" s="3428" t="str">
        <f>B19</f>
        <v>公共配套设施</v>
      </c>
      <c r="R19" s="3429" t="s">
        <v>3477</v>
      </c>
      <c r="S19" s="3430">
        <f>F19</f>
        <v>100</v>
      </c>
      <c r="T19" s="3429" t="s">
        <v>3451</v>
      </c>
      <c r="U19" s="3430">
        <f>H19</f>
        <v>102</v>
      </c>
      <c r="V19" s="3429" t="s">
        <v>3451</v>
      </c>
      <c r="W19" s="3430">
        <f>J19</f>
        <v>102</v>
      </c>
      <c r="X19" s="3355"/>
      <c r="Y19" s="4452"/>
      <c r="Z19" s="3431" t="str">
        <f>Q19</f>
        <v>公共配套设施</v>
      </c>
      <c r="AA19" s="3432">
        <f t="shared" si="3"/>
        <v>1</v>
      </c>
      <c r="AB19" s="3432">
        <f t="shared" si="4"/>
        <v>0.98039215686274506</v>
      </c>
      <c r="AC19" s="3432">
        <f t="shared" si="5"/>
        <v>0.98039215686274506</v>
      </c>
    </row>
    <row r="20" spans="1:29" ht="15">
      <c r="A20" s="3433"/>
      <c r="B20" s="3448"/>
      <c r="C20" s="3435" t="s">
        <v>3014</v>
      </c>
      <c r="D20" s="3436"/>
      <c r="E20" s="3437" t="s">
        <v>3014</v>
      </c>
      <c r="F20" s="3438"/>
      <c r="G20" s="3439" t="s">
        <v>3013</v>
      </c>
      <c r="H20" s="3436"/>
      <c r="I20" s="3437" t="s">
        <v>3013</v>
      </c>
      <c r="J20" s="3436"/>
      <c r="K20" s="3441"/>
      <c r="L20" s="3414"/>
      <c r="M20" s="3354"/>
      <c r="N20" s="3354"/>
      <c r="O20" s="3406"/>
      <c r="P20" s="4452"/>
      <c r="Q20" s="3428"/>
      <c r="R20" s="3429"/>
      <c r="S20" s="3430"/>
      <c r="T20" s="3429"/>
      <c r="U20" s="3430"/>
      <c r="V20" s="3429"/>
      <c r="W20" s="3430"/>
      <c r="X20" s="3355"/>
      <c r="Y20" s="4452"/>
      <c r="Z20" s="3431"/>
      <c r="AA20" s="3432">
        <v>1</v>
      </c>
      <c r="AB20" s="3432">
        <v>1</v>
      </c>
      <c r="AC20" s="3432">
        <v>1</v>
      </c>
    </row>
    <row r="21" spans="1:29" ht="28.5">
      <c r="A21" s="3433"/>
      <c r="B21" s="3455" t="s">
        <v>3478</v>
      </c>
      <c r="C21" s="3443" t="str">
        <f>[1]估价对象房地状况!C8</f>
        <v>所在区域基础设施水平达六通</v>
      </c>
      <c r="D21" s="3447">
        <v>100</v>
      </c>
      <c r="E21" s="3456" t="s">
        <v>3373</v>
      </c>
      <c r="F21" s="3454">
        <f>SUMIF(82:82,E22,83:83)-SUMIF(82:82,C22,83:83)+100</f>
        <v>100</v>
      </c>
      <c r="G21" s="3456" t="s">
        <v>3373</v>
      </c>
      <c r="H21" s="3447">
        <f>SUMIF(82:82,G22,83:83)-SUMIF(82:82,C22,83:83)+100</f>
        <v>100</v>
      </c>
      <c r="I21" s="3453" t="s">
        <v>3373</v>
      </c>
      <c r="J21" s="3447">
        <f>SUMIF(82:82,I22,83:83)-SUMIF(82:82,C22,83:83)+100</f>
        <v>100</v>
      </c>
      <c r="K21" s="3427">
        <v>1</v>
      </c>
      <c r="L21" s="3414"/>
      <c r="M21" s="3354"/>
      <c r="N21" s="3354"/>
      <c r="O21" s="3406"/>
      <c r="P21" s="4452"/>
      <c r="Q21" s="3428" t="str">
        <f>B21</f>
        <v>基础设施水平</v>
      </c>
      <c r="R21" s="3429" t="s">
        <v>3451</v>
      </c>
      <c r="S21" s="3430">
        <f>F21</f>
        <v>100</v>
      </c>
      <c r="T21" s="3429" t="s">
        <v>3451</v>
      </c>
      <c r="U21" s="3430">
        <f>H21</f>
        <v>100</v>
      </c>
      <c r="V21" s="3429" t="s">
        <v>3451</v>
      </c>
      <c r="W21" s="3430">
        <f>J21</f>
        <v>100</v>
      </c>
      <c r="X21" s="3355"/>
      <c r="Y21" s="4452"/>
      <c r="Z21" s="3431" t="str">
        <f>Q21</f>
        <v>基础设施水平</v>
      </c>
      <c r="AA21" s="3432">
        <f t="shared" ref="AA21" si="8">D21/F21</f>
        <v>1</v>
      </c>
      <c r="AB21" s="3432">
        <f t="shared" ref="AB21" si="9">D21/H21</f>
        <v>1</v>
      </c>
      <c r="AC21" s="3432">
        <f t="shared" ref="AC21" si="10">D21/J21</f>
        <v>1</v>
      </c>
    </row>
    <row r="22" spans="1:29" ht="15">
      <c r="A22" s="3433"/>
      <c r="B22" s="3457"/>
      <c r="C22" s="3449" t="s">
        <v>3029</v>
      </c>
      <c r="D22" s="3436"/>
      <c r="E22" s="3435" t="s">
        <v>3029</v>
      </c>
      <c r="F22" s="3438"/>
      <c r="G22" s="3435" t="s">
        <v>3029</v>
      </c>
      <c r="H22" s="3436"/>
      <c r="I22" s="3435" t="s">
        <v>3029</v>
      </c>
      <c r="J22" s="3436"/>
      <c r="K22" s="3458"/>
      <c r="L22" s="3414"/>
      <c r="M22" s="3354"/>
      <c r="N22" s="3354"/>
      <c r="O22" s="3406"/>
      <c r="P22" s="4452"/>
      <c r="Q22" s="3428"/>
      <c r="R22" s="3429"/>
      <c r="S22" s="3430"/>
      <c r="T22" s="3429"/>
      <c r="U22" s="3430"/>
      <c r="V22" s="3429"/>
      <c r="W22" s="3430"/>
      <c r="X22" s="3355"/>
      <c r="Y22" s="4452"/>
      <c r="Z22" s="3431"/>
      <c r="AA22" s="3432">
        <v>1</v>
      </c>
      <c r="AB22" s="3432">
        <v>1</v>
      </c>
      <c r="AC22" s="3432">
        <v>1</v>
      </c>
    </row>
    <row r="23" spans="1:29" ht="85.5">
      <c r="A23" s="3433"/>
      <c r="B23" s="3442" t="s">
        <v>297</v>
      </c>
      <c r="C23" s="3443" t="str">
        <f>[1]估价对象房地状况!C9</f>
        <v>周边自然环境（项目内部天鹅湖）；人文环境（潼南区图书馆），综合评价环境状况较好；</v>
      </c>
      <c r="D23" s="3440">
        <v>100</v>
      </c>
      <c r="E23" s="3459" t="s">
        <v>3479</v>
      </c>
      <c r="F23" s="3445">
        <f>SUMIF(84:84,E24,85:85)-SUMIF(84:84,C24,85:85)+100</f>
        <v>98</v>
      </c>
      <c r="G23" s="3459" t="s">
        <v>3480</v>
      </c>
      <c r="H23" s="3440">
        <f>SUMIF(84:84,G24,85:85)-SUMIF(84:84,C24,85:85)+100</f>
        <v>100</v>
      </c>
      <c r="I23" s="3459" t="s">
        <v>3480</v>
      </c>
      <c r="J23" s="3440">
        <f>SUMIF(84:84,I24,85:85)-SUMIF(84:84,C24,85:85)+100</f>
        <v>100</v>
      </c>
      <c r="K23" s="3427">
        <v>2</v>
      </c>
      <c r="L23" s="3414"/>
      <c r="M23" s="3354"/>
      <c r="N23" s="3354"/>
      <c r="O23" s="3406"/>
      <c r="P23" s="4452"/>
      <c r="Q23" s="3428" t="str">
        <f>B23</f>
        <v>自然及人文环境</v>
      </c>
      <c r="R23" s="3429" t="s">
        <v>3481</v>
      </c>
      <c r="S23" s="3430">
        <f>F23</f>
        <v>98</v>
      </c>
      <c r="T23" s="3429" t="s">
        <v>3481</v>
      </c>
      <c r="U23" s="3430">
        <f>H23</f>
        <v>100</v>
      </c>
      <c r="V23" s="3429" t="s">
        <v>3451</v>
      </c>
      <c r="W23" s="3430">
        <f>J23</f>
        <v>100</v>
      </c>
      <c r="X23" s="3355"/>
      <c r="Y23" s="4452"/>
      <c r="Z23" s="3431" t="str">
        <f>Q23</f>
        <v>自然及人文环境</v>
      </c>
      <c r="AA23" s="3432">
        <f t="shared" si="3"/>
        <v>1.0204081632653061</v>
      </c>
      <c r="AB23" s="3432">
        <f t="shared" si="4"/>
        <v>1</v>
      </c>
      <c r="AC23" s="3432">
        <f t="shared" si="5"/>
        <v>1</v>
      </c>
    </row>
    <row r="24" spans="1:29" ht="15">
      <c r="A24" s="3433"/>
      <c r="B24" s="3448"/>
      <c r="C24" s="3435" t="s">
        <v>3013</v>
      </c>
      <c r="D24" s="3436"/>
      <c r="E24" s="3437" t="s">
        <v>3014</v>
      </c>
      <c r="F24" s="3438"/>
      <c r="G24" s="3439" t="s">
        <v>3013</v>
      </c>
      <c r="H24" s="3436"/>
      <c r="I24" s="3437" t="s">
        <v>3013</v>
      </c>
      <c r="J24" s="3436"/>
      <c r="K24" s="3441"/>
      <c r="L24" s="3414"/>
      <c r="M24" s="3354"/>
      <c r="N24" s="3354"/>
      <c r="O24" s="3406"/>
      <c r="P24" s="4452"/>
      <c r="Q24" s="3428"/>
      <c r="R24" s="3429"/>
      <c r="S24" s="3430"/>
      <c r="T24" s="3429"/>
      <c r="U24" s="3430"/>
      <c r="V24" s="3429"/>
      <c r="W24" s="3430"/>
      <c r="X24" s="3355"/>
      <c r="Y24" s="4452"/>
      <c r="Z24" s="3431"/>
      <c r="AA24" s="3432">
        <v>1</v>
      </c>
      <c r="AB24" s="3432">
        <v>1</v>
      </c>
      <c r="AC24" s="3432">
        <v>1</v>
      </c>
    </row>
    <row r="25" spans="1:29" ht="15">
      <c r="A25" s="3433"/>
      <c r="B25" s="3460" t="s">
        <v>3482</v>
      </c>
      <c r="C25" s="3461"/>
      <c r="D25" s="3413">
        <v>100</v>
      </c>
      <c r="E25" s="3462"/>
      <c r="F25" s="3463">
        <f>SUMIF(86:86,E25,87:87)-SUMIF(86:86,C25,87:87)+100</f>
        <v>100</v>
      </c>
      <c r="G25" s="3464"/>
      <c r="H25" s="3413">
        <f>SUMIF(86:86,G25,87:87)-SUMIF(86:86,C25,87:87)+100</f>
        <v>100</v>
      </c>
      <c r="I25" s="3462"/>
      <c r="J25" s="3413">
        <f>SUMIF(86:86,I25,87:87)-SUMIF(86:86,C25,87:87)+100</f>
        <v>100</v>
      </c>
      <c r="K25" s="3396"/>
      <c r="L25" s="3414"/>
      <c r="M25" s="3354"/>
      <c r="N25" s="3354"/>
      <c r="O25" s="3406"/>
      <c r="P25" s="4452"/>
      <c r="Q25" s="3428" t="str">
        <f t="shared" ref="Q25:Q46" si="11">B25</f>
        <v>楼层-1</v>
      </c>
      <c r="R25" s="3429" t="s">
        <v>3451</v>
      </c>
      <c r="S25" s="3430">
        <f>F25</f>
        <v>100</v>
      </c>
      <c r="T25" s="3429" t="s">
        <v>3451</v>
      </c>
      <c r="U25" s="3430">
        <f>H25</f>
        <v>100</v>
      </c>
      <c r="V25" s="3429" t="s">
        <v>3451</v>
      </c>
      <c r="W25" s="3430">
        <f>J25</f>
        <v>100</v>
      </c>
      <c r="X25" s="3355"/>
      <c r="Y25" s="4452"/>
      <c r="Z25" s="3431" t="str">
        <f>Q25</f>
        <v>楼层-1</v>
      </c>
      <c r="AA25" s="3432">
        <f t="shared" si="3"/>
        <v>1</v>
      </c>
      <c r="AB25" s="3432">
        <f t="shared" si="4"/>
        <v>1</v>
      </c>
      <c r="AC25" s="3432">
        <f t="shared" si="5"/>
        <v>1</v>
      </c>
    </row>
    <row r="26" spans="1:29" ht="15">
      <c r="A26" s="3433"/>
      <c r="B26" s="3465" t="s">
        <v>723</v>
      </c>
      <c r="C26" s="3461"/>
      <c r="D26" s="3413">
        <v>100</v>
      </c>
      <c r="E26" s="3462"/>
      <c r="F26" s="3463">
        <f>SUMIF(88:88,E26,89:89)-SUMIF(88:88,C26,89:89)+100</f>
        <v>100</v>
      </c>
      <c r="G26" s="3464"/>
      <c r="H26" s="3413">
        <f>SUMIF(88:88,G26,89:89)-SUMIF(88:88,C26,89:89)+100</f>
        <v>100</v>
      </c>
      <c r="I26" s="3462"/>
      <c r="J26" s="3413">
        <f>SUMIF(88:88,I26,89:89)-SUMIF(88:88,C26,89:89)+100</f>
        <v>100</v>
      </c>
      <c r="K26" s="3396"/>
      <c r="L26" s="3414"/>
      <c r="M26" s="3354"/>
      <c r="N26" s="3354"/>
      <c r="O26" s="3406"/>
      <c r="P26" s="4452"/>
      <c r="Q26" s="3428" t="str">
        <f t="shared" si="11"/>
        <v>朝向</v>
      </c>
      <c r="R26" s="3429" t="s">
        <v>3451</v>
      </c>
      <c r="S26" s="3430">
        <f>F26</f>
        <v>100</v>
      </c>
      <c r="T26" s="3429" t="s">
        <v>3451</v>
      </c>
      <c r="U26" s="3430">
        <f>H26</f>
        <v>100</v>
      </c>
      <c r="V26" s="3429" t="s">
        <v>3451</v>
      </c>
      <c r="W26" s="3430">
        <f>J26</f>
        <v>100</v>
      </c>
      <c r="X26" s="3355"/>
      <c r="Y26" s="4452"/>
      <c r="Z26" s="3431" t="str">
        <f>Q26</f>
        <v>朝向</v>
      </c>
      <c r="AA26" s="3432">
        <f t="shared" si="3"/>
        <v>1</v>
      </c>
      <c r="AB26" s="3432">
        <f t="shared" si="4"/>
        <v>1</v>
      </c>
      <c r="AC26" s="3432">
        <f t="shared" si="5"/>
        <v>1</v>
      </c>
    </row>
    <row r="27" spans="1:29" s="3376" customFormat="1" ht="15">
      <c r="A27" s="3466"/>
      <c r="B27" s="3467" t="s">
        <v>3483</v>
      </c>
      <c r="C27" s="3468" t="s">
        <v>3484</v>
      </c>
      <c r="D27" s="3469">
        <v>100</v>
      </c>
      <c r="E27" s="3470" t="s">
        <v>3485</v>
      </c>
      <c r="F27" s="3471">
        <f>SUMIF(90:90,E27,91:91)-SUMIF(90:90,C27,91:91)+100</f>
        <v>101</v>
      </c>
      <c r="G27" s="3472" t="s">
        <v>3485</v>
      </c>
      <c r="H27" s="3469">
        <f>SUMIF(90:90,G27,91:91)-SUMIF(90:90,C27,91:91)+100</f>
        <v>101</v>
      </c>
      <c r="I27" s="3470" t="s">
        <v>3486</v>
      </c>
      <c r="J27" s="3469">
        <f>SUMIF(90:90,I27,91:91)-SUMIF(90:90,C27,91:91)+100</f>
        <v>99</v>
      </c>
      <c r="K27" s="3411"/>
      <c r="L27" s="3370"/>
      <c r="M27" s="3371"/>
      <c r="N27" s="3371"/>
      <c r="O27" s="3388"/>
      <c r="P27" s="4452"/>
      <c r="Q27" s="3389" t="str">
        <f t="shared" si="11"/>
        <v>道路级别</v>
      </c>
      <c r="R27" s="3372" t="s">
        <v>3451</v>
      </c>
      <c r="S27" s="3373">
        <f>F27</f>
        <v>101</v>
      </c>
      <c r="T27" s="3372" t="s">
        <v>3451</v>
      </c>
      <c r="U27" s="3373">
        <f>H27</f>
        <v>101</v>
      </c>
      <c r="V27" s="3372" t="s">
        <v>3451</v>
      </c>
      <c r="W27" s="3373">
        <f>J27</f>
        <v>99</v>
      </c>
      <c r="X27" s="3374"/>
      <c r="Y27" s="4452"/>
      <c r="Z27" s="3390" t="str">
        <f>Q27</f>
        <v>道路级别</v>
      </c>
      <c r="AA27" s="3432">
        <f>D27/F27</f>
        <v>0.99009900990099009</v>
      </c>
      <c r="AB27" s="3432">
        <f>D27/H27</f>
        <v>0.99009900990099009</v>
      </c>
      <c r="AC27" s="3432">
        <f>D27/J27</f>
        <v>1.0101010101010102</v>
      </c>
    </row>
    <row r="28" spans="1:29" ht="15">
      <c r="A28" s="3433"/>
      <c r="B28" s="3473">
        <v>111</v>
      </c>
      <c r="C28" s="3468" t="s">
        <v>3487</v>
      </c>
      <c r="D28" s="3413">
        <v>100</v>
      </c>
      <c r="E28" s="3412" t="s">
        <v>3488</v>
      </c>
      <c r="F28" s="3463">
        <f>SUMIF(92:92,E28,93:93)-SUMIF(92:92,C28,93:93)+100</f>
        <v>100</v>
      </c>
      <c r="G28" s="3474" t="s">
        <v>3489</v>
      </c>
      <c r="H28" s="3413">
        <f>SUMIF(92:92,G28,93:93)-SUMIF(92:92,C28,93:93)+100</f>
        <v>100</v>
      </c>
      <c r="I28" s="3475" t="s">
        <v>3490</v>
      </c>
      <c r="J28" s="3413">
        <f>SUMIF(92:92,I28,93:93)-SUMIF(92:92,C28,93:93)+100</f>
        <v>100</v>
      </c>
      <c r="K28" s="3411"/>
      <c r="L28" s="3414"/>
      <c r="M28" s="3354"/>
      <c r="N28" s="3354"/>
      <c r="O28" s="3406"/>
      <c r="P28" s="4452"/>
      <c r="Q28" s="3428">
        <f t="shared" si="11"/>
        <v>111</v>
      </c>
      <c r="R28" s="3429" t="s">
        <v>3451</v>
      </c>
      <c r="S28" s="3430">
        <f t="shared" ref="S28:S46" si="12">F28</f>
        <v>100</v>
      </c>
      <c r="T28" s="3429" t="s">
        <v>3451</v>
      </c>
      <c r="U28" s="3430">
        <f t="shared" ref="U28:U46" si="13">H28</f>
        <v>100</v>
      </c>
      <c r="V28" s="3429" t="s">
        <v>3451</v>
      </c>
      <c r="W28" s="3430">
        <f t="shared" ref="W28:W46" si="14">J28</f>
        <v>100</v>
      </c>
      <c r="X28" s="3355"/>
      <c r="Y28" s="4452"/>
      <c r="Z28" s="3431">
        <f t="shared" ref="Z28:Z46" si="15">Q28</f>
        <v>111</v>
      </c>
      <c r="AA28" s="3432">
        <f t="shared" si="3"/>
        <v>1</v>
      </c>
      <c r="AB28" s="3432">
        <f t="shared" si="4"/>
        <v>1</v>
      </c>
      <c r="AC28" s="3432">
        <f t="shared" si="5"/>
        <v>1</v>
      </c>
    </row>
    <row r="29" spans="1:29" ht="15">
      <c r="A29" s="3433"/>
      <c r="B29" s="3473">
        <v>111</v>
      </c>
      <c r="C29" s="3412"/>
      <c r="D29" s="3413">
        <v>100</v>
      </c>
      <c r="E29" s="3412"/>
      <c r="F29" s="3463">
        <f>SUMIF(94:94,E29,95:95)-SUMIF(94:94,C29,95:95)+100</f>
        <v>100</v>
      </c>
      <c r="G29" s="3412"/>
      <c r="H29" s="3413">
        <f>SUMIF(94:94,G29,95:95)-SUMIF(94:94,C29,95:95)+100</f>
        <v>100</v>
      </c>
      <c r="I29" s="3412"/>
      <c r="J29" s="3413">
        <f>SUMIF(94:94,I29,95:95)-SUMIF(94:94,C29,95:95)+100</f>
        <v>100</v>
      </c>
      <c r="K29" s="3411"/>
      <c r="L29" s="3414"/>
      <c r="M29" s="3354"/>
      <c r="N29" s="3354"/>
      <c r="O29" s="3406"/>
      <c r="P29" s="4452"/>
      <c r="Q29" s="3428">
        <f t="shared" si="11"/>
        <v>111</v>
      </c>
      <c r="R29" s="3429" t="s">
        <v>3451</v>
      </c>
      <c r="S29" s="3430">
        <f t="shared" si="12"/>
        <v>100</v>
      </c>
      <c r="T29" s="3429" t="s">
        <v>3451</v>
      </c>
      <c r="U29" s="3430">
        <f t="shared" si="13"/>
        <v>100</v>
      </c>
      <c r="V29" s="3429" t="s">
        <v>3451</v>
      </c>
      <c r="W29" s="3430">
        <f t="shared" si="14"/>
        <v>100</v>
      </c>
      <c r="X29" s="3355"/>
      <c r="Y29" s="4452"/>
      <c r="Z29" s="3431">
        <f t="shared" si="15"/>
        <v>111</v>
      </c>
      <c r="AA29" s="3432">
        <f t="shared" si="3"/>
        <v>1</v>
      </c>
      <c r="AB29" s="3432">
        <f t="shared" si="4"/>
        <v>1</v>
      </c>
      <c r="AC29" s="3432">
        <f t="shared" si="5"/>
        <v>1</v>
      </c>
    </row>
    <row r="30" spans="1:29" ht="15">
      <c r="A30" s="3433"/>
      <c r="B30" s="3473">
        <v>111</v>
      </c>
      <c r="C30" s="3412"/>
      <c r="D30" s="3413">
        <v>100</v>
      </c>
      <c r="E30" s="3412"/>
      <c r="F30" s="3463">
        <f>SUMIF(96:96,E30,97:97)-SUMIF(96:96,C30,97:97)+100</f>
        <v>100</v>
      </c>
      <c r="G30" s="3412"/>
      <c r="H30" s="3413">
        <f>SUMIF(96:96,G30,97:97)-SUMIF(96:96,C30,97:97)+100</f>
        <v>100</v>
      </c>
      <c r="I30" s="3412"/>
      <c r="J30" s="3413">
        <f>SUMIF(96:96,I30,97:97)-SUMIF(96:96,C30,97:97)+100</f>
        <v>100</v>
      </c>
      <c r="K30" s="3411"/>
      <c r="L30" s="3414"/>
      <c r="M30" s="3354"/>
      <c r="N30" s="3354"/>
      <c r="O30" s="3406"/>
      <c r="P30" s="4452"/>
      <c r="Q30" s="3428">
        <f t="shared" si="11"/>
        <v>111</v>
      </c>
      <c r="R30" s="3429" t="s">
        <v>3451</v>
      </c>
      <c r="S30" s="3430">
        <f t="shared" si="12"/>
        <v>100</v>
      </c>
      <c r="T30" s="3429" t="s">
        <v>3451</v>
      </c>
      <c r="U30" s="3430">
        <f t="shared" si="13"/>
        <v>100</v>
      </c>
      <c r="V30" s="3429" t="s">
        <v>3451</v>
      </c>
      <c r="W30" s="3430">
        <f t="shared" si="14"/>
        <v>100</v>
      </c>
      <c r="X30" s="3355"/>
      <c r="Y30" s="4452"/>
      <c r="Z30" s="3431">
        <f t="shared" si="15"/>
        <v>111</v>
      </c>
      <c r="AA30" s="3432">
        <f t="shared" si="3"/>
        <v>1</v>
      </c>
      <c r="AB30" s="3432">
        <f t="shared" si="4"/>
        <v>1</v>
      </c>
      <c r="AC30" s="3432">
        <f t="shared" si="5"/>
        <v>1</v>
      </c>
    </row>
    <row r="31" spans="1:29" ht="15.75" thickBot="1">
      <c r="A31" s="3476"/>
      <c r="B31" s="3473">
        <v>111</v>
      </c>
      <c r="C31" s="3417"/>
      <c r="D31" s="3418">
        <v>100</v>
      </c>
      <c r="E31" s="3417"/>
      <c r="F31" s="3419">
        <f>SUMIF(98:98,E31,99:99)-SUMIF(98:98,C31,99:99)+100</f>
        <v>100</v>
      </c>
      <c r="G31" s="3417"/>
      <c r="H31" s="3418">
        <f>SUMIF(98:98,G31,99:99)-SUMIF(98:98,C31,99:99)+100</f>
        <v>100</v>
      </c>
      <c r="I31" s="3417"/>
      <c r="J31" s="3418">
        <f>SUMIF(98:98,I31,99:99)-SUMIF(98:98,C31,99:99)+100</f>
        <v>100</v>
      </c>
      <c r="K31" s="3411"/>
      <c r="L31" s="3414"/>
      <c r="M31" s="3354"/>
      <c r="N31" s="3354"/>
      <c r="O31" s="3406"/>
      <c r="P31" s="4452"/>
      <c r="Q31" s="3428">
        <f t="shared" si="11"/>
        <v>111</v>
      </c>
      <c r="R31" s="3429" t="s">
        <v>3451</v>
      </c>
      <c r="S31" s="3430">
        <f t="shared" si="12"/>
        <v>100</v>
      </c>
      <c r="T31" s="3429" t="s">
        <v>3451</v>
      </c>
      <c r="U31" s="3430">
        <f t="shared" si="13"/>
        <v>100</v>
      </c>
      <c r="V31" s="3429" t="s">
        <v>3451</v>
      </c>
      <c r="W31" s="3430">
        <f t="shared" si="14"/>
        <v>100</v>
      </c>
      <c r="X31" s="3355"/>
      <c r="Y31" s="4452"/>
      <c r="Z31" s="3431">
        <f t="shared" si="15"/>
        <v>111</v>
      </c>
      <c r="AA31" s="3432">
        <f t="shared" si="3"/>
        <v>1</v>
      </c>
      <c r="AB31" s="3432">
        <f t="shared" si="4"/>
        <v>1</v>
      </c>
      <c r="AC31" s="3432">
        <f t="shared" si="5"/>
        <v>1</v>
      </c>
    </row>
    <row r="32" spans="1:29" ht="15">
      <c r="A32" s="3477" t="s">
        <v>3491</v>
      </c>
      <c r="B32" s="3478" t="s">
        <v>725</v>
      </c>
      <c r="C32" s="3479" t="s">
        <v>3026</v>
      </c>
      <c r="D32" s="3480">
        <v>100</v>
      </c>
      <c r="E32" s="3481" t="s">
        <v>3026</v>
      </c>
      <c r="F32" s="3463">
        <f>SUMIF(100:100,E32,101:101)-SUMIF(100:100,C32,101:101)+100</f>
        <v>100</v>
      </c>
      <c r="G32" s="3479" t="s">
        <v>3026</v>
      </c>
      <c r="H32" s="3480">
        <f>SUMIF(100:100,G32,101:101)-SUMIF(100:100,C32,101:101)+100</f>
        <v>100</v>
      </c>
      <c r="I32" s="3481" t="s">
        <v>3026</v>
      </c>
      <c r="J32" s="3413">
        <f>SUMIF(100:100,I32,101:101)-SUMIF(100:100,C32,101:101)+100</f>
        <v>100</v>
      </c>
      <c r="K32" s="3396">
        <v>5</v>
      </c>
      <c r="L32" s="3414"/>
      <c r="M32" s="3354"/>
      <c r="N32" s="3354"/>
      <c r="O32" s="3406"/>
      <c r="P32" s="4453" t="s">
        <v>3492</v>
      </c>
      <c r="Q32" s="3428" t="str">
        <f t="shared" si="11"/>
        <v>建筑类型</v>
      </c>
      <c r="R32" s="3429" t="s">
        <v>3451</v>
      </c>
      <c r="S32" s="3430">
        <f t="shared" si="12"/>
        <v>100</v>
      </c>
      <c r="T32" s="3429" t="s">
        <v>3451</v>
      </c>
      <c r="U32" s="3430">
        <f t="shared" si="13"/>
        <v>100</v>
      </c>
      <c r="V32" s="3429" t="s">
        <v>3451</v>
      </c>
      <c r="W32" s="3430">
        <f t="shared" si="14"/>
        <v>100</v>
      </c>
      <c r="X32" s="3355"/>
      <c r="Y32" s="4454" t="s">
        <v>3492</v>
      </c>
      <c r="Z32" s="3431" t="str">
        <f t="shared" si="15"/>
        <v>建筑类型</v>
      </c>
      <c r="AA32" s="3432">
        <f t="shared" si="3"/>
        <v>1</v>
      </c>
      <c r="AB32" s="3432">
        <f t="shared" si="4"/>
        <v>1</v>
      </c>
      <c r="AC32" s="3432">
        <f t="shared" si="5"/>
        <v>1</v>
      </c>
    </row>
    <row r="33" spans="1:29" s="3493" customFormat="1" ht="15">
      <c r="A33" s="3482"/>
      <c r="B33" s="3465" t="s">
        <v>726</v>
      </c>
      <c r="C33" s="3483">
        <v>1</v>
      </c>
      <c r="D33" s="3393">
        <v>100</v>
      </c>
      <c r="E33" s="3484">
        <v>1</v>
      </c>
      <c r="F33" s="3395">
        <f>LOOKUP(E33,103:103,104:104)-LOOKUP(C33,103:103,104:104)+100</f>
        <v>100</v>
      </c>
      <c r="G33" s="3485">
        <v>1</v>
      </c>
      <c r="H33" s="3393">
        <f>LOOKUP(G33,103:103,104:104)-LOOKUP(C33,103:103,104:104)+100</f>
        <v>100</v>
      </c>
      <c r="I33" s="3484">
        <v>1</v>
      </c>
      <c r="J33" s="3393">
        <f>LOOKUP(I33,103:103,104:104)-LOOKUP(C33,103:103,104:104)+100</f>
        <v>100</v>
      </c>
      <c r="K33" s="3411"/>
      <c r="L33" s="3405"/>
      <c r="M33" s="3486"/>
      <c r="N33" s="3486"/>
      <c r="O33" s="3487"/>
      <c r="P33" s="4454"/>
      <c r="Q33" s="3488" t="str">
        <f t="shared" si="11"/>
        <v>项目建筑规模</v>
      </c>
      <c r="R33" s="3489" t="s">
        <v>3451</v>
      </c>
      <c r="S33" s="3490">
        <f t="shared" si="12"/>
        <v>100</v>
      </c>
      <c r="T33" s="3489" t="s">
        <v>3451</v>
      </c>
      <c r="U33" s="3490">
        <f t="shared" si="13"/>
        <v>100</v>
      </c>
      <c r="V33" s="3489" t="s">
        <v>3451</v>
      </c>
      <c r="W33" s="3490">
        <f t="shared" si="14"/>
        <v>100</v>
      </c>
      <c r="X33" s="3491"/>
      <c r="Y33" s="4454"/>
      <c r="Z33" s="3492" t="str">
        <f t="shared" si="15"/>
        <v>项目建筑规模</v>
      </c>
      <c r="AA33" s="3432">
        <f t="shared" si="3"/>
        <v>1</v>
      </c>
      <c r="AB33" s="3432">
        <f t="shared" si="4"/>
        <v>1</v>
      </c>
      <c r="AC33" s="3432">
        <f t="shared" si="5"/>
        <v>1</v>
      </c>
    </row>
    <row r="34" spans="1:29" ht="15">
      <c r="A34" s="3494"/>
      <c r="B34" s="3465" t="s">
        <v>727</v>
      </c>
      <c r="C34" s="3495" t="s">
        <v>3008</v>
      </c>
      <c r="D34" s="3413">
        <v>100</v>
      </c>
      <c r="E34" s="3496" t="s">
        <v>3008</v>
      </c>
      <c r="F34" s="3463">
        <f>SUMIF(105:105,E34,106:106)-SUMIF(105:105,C34,106:106)+100</f>
        <v>100</v>
      </c>
      <c r="G34" s="3495" t="s">
        <v>3008</v>
      </c>
      <c r="H34" s="3413">
        <f>SUMIF(105:105,G34,106:106)-SUMIF(105:105,C34,106:106)+100</f>
        <v>100</v>
      </c>
      <c r="I34" s="3496" t="s">
        <v>3008</v>
      </c>
      <c r="J34" s="3413">
        <f>SUMIF(105:105,I34,106:106)-SUMIF(105:105,C34,106:106)+100</f>
        <v>100</v>
      </c>
      <c r="K34" s="3396">
        <v>2</v>
      </c>
      <c r="L34" s="3414"/>
      <c r="M34" s="3354"/>
      <c r="N34" s="3354"/>
      <c r="O34" s="3406"/>
      <c r="P34" s="4454"/>
      <c r="Q34" s="3428" t="str">
        <f t="shared" si="11"/>
        <v>建筑结构</v>
      </c>
      <c r="R34" s="3429" t="s">
        <v>3451</v>
      </c>
      <c r="S34" s="3430">
        <f t="shared" si="12"/>
        <v>100</v>
      </c>
      <c r="T34" s="3429" t="s">
        <v>3451</v>
      </c>
      <c r="U34" s="3430">
        <f t="shared" si="13"/>
        <v>100</v>
      </c>
      <c r="V34" s="3429" t="s">
        <v>3451</v>
      </c>
      <c r="W34" s="3430">
        <f t="shared" si="14"/>
        <v>100</v>
      </c>
      <c r="X34" s="3355"/>
      <c r="Y34" s="4454"/>
      <c r="Z34" s="3431" t="str">
        <f t="shared" si="15"/>
        <v>建筑结构</v>
      </c>
      <c r="AA34" s="3432">
        <f t="shared" si="3"/>
        <v>1</v>
      </c>
      <c r="AB34" s="3432">
        <f t="shared" si="4"/>
        <v>1</v>
      </c>
      <c r="AC34" s="3432">
        <f t="shared" si="5"/>
        <v>1</v>
      </c>
    </row>
    <row r="35" spans="1:29" ht="15">
      <c r="A35" s="3494"/>
      <c r="B35" s="3465" t="s">
        <v>728</v>
      </c>
      <c r="C35" s="3464" t="s">
        <v>3013</v>
      </c>
      <c r="D35" s="3413">
        <v>100</v>
      </c>
      <c r="E35" s="3462" t="s">
        <v>3013</v>
      </c>
      <c r="F35" s="3463">
        <f>SUMIF(107:107,E35,108:108)-SUMIF(107:107,C35,108:108)+100</f>
        <v>100</v>
      </c>
      <c r="G35" s="3464" t="s">
        <v>3013</v>
      </c>
      <c r="H35" s="3413">
        <f>SUMIF(107:107,G35,108:108)-SUMIF(107:107,C35,108:108)+100</f>
        <v>100</v>
      </c>
      <c r="I35" s="3462" t="s">
        <v>3013</v>
      </c>
      <c r="J35" s="3413">
        <f>SUMIF(107:107,I35,108:108)-SUMIF(107:107,C35,108:108)+100</f>
        <v>100</v>
      </c>
      <c r="K35" s="3396">
        <v>5</v>
      </c>
      <c r="L35" s="3414"/>
      <c r="M35" s="3354"/>
      <c r="N35" s="3354"/>
      <c r="O35" s="3406"/>
      <c r="P35" s="4454"/>
      <c r="Q35" s="3428" t="str">
        <f t="shared" si="11"/>
        <v>建筑品质</v>
      </c>
      <c r="R35" s="3429" t="s">
        <v>3451</v>
      </c>
      <c r="S35" s="3430">
        <f t="shared" si="12"/>
        <v>100</v>
      </c>
      <c r="T35" s="3429" t="s">
        <v>3451</v>
      </c>
      <c r="U35" s="3430">
        <f t="shared" si="13"/>
        <v>100</v>
      </c>
      <c r="V35" s="3429" t="s">
        <v>3451</v>
      </c>
      <c r="W35" s="3430">
        <f t="shared" si="14"/>
        <v>100</v>
      </c>
      <c r="X35" s="3355"/>
      <c r="Y35" s="4454"/>
      <c r="Z35" s="3431" t="str">
        <f t="shared" si="15"/>
        <v>建筑品质</v>
      </c>
      <c r="AA35" s="3432">
        <f t="shared" si="3"/>
        <v>1</v>
      </c>
      <c r="AB35" s="3432">
        <f t="shared" si="4"/>
        <v>1</v>
      </c>
      <c r="AC35" s="3432">
        <f t="shared" si="5"/>
        <v>1</v>
      </c>
    </row>
    <row r="36" spans="1:29" ht="15">
      <c r="A36" s="3494"/>
      <c r="B36" s="3465" t="s">
        <v>729</v>
      </c>
      <c r="C36" s="3464" t="s">
        <v>3015</v>
      </c>
      <c r="D36" s="3413">
        <v>100</v>
      </c>
      <c r="E36" s="3462" t="s">
        <v>3015</v>
      </c>
      <c r="F36" s="3463">
        <f>SUMIF(109:109,E36,110:110)-SUMIF(109:109,C36,110:110)+100</f>
        <v>100</v>
      </c>
      <c r="G36" s="3464" t="s">
        <v>3015</v>
      </c>
      <c r="H36" s="3413">
        <f>SUMIF(109:109,G36,110:110)-SUMIF(109:109,C36,110:110)+100</f>
        <v>100</v>
      </c>
      <c r="I36" s="3462" t="s">
        <v>3015</v>
      </c>
      <c r="J36" s="3413">
        <f>SUMIF(109:109,I36,110:110)-SUMIF(109:109,C36,110:110)+100</f>
        <v>100</v>
      </c>
      <c r="K36" s="3396">
        <v>1</v>
      </c>
      <c r="L36" s="3414"/>
      <c r="M36" s="3354"/>
      <c r="N36" s="3354"/>
      <c r="O36" s="3406"/>
      <c r="P36" s="4454"/>
      <c r="Q36" s="3428" t="str">
        <f t="shared" si="11"/>
        <v>公共部分装修</v>
      </c>
      <c r="R36" s="3429" t="s">
        <v>3451</v>
      </c>
      <c r="S36" s="3430">
        <f t="shared" si="12"/>
        <v>100</v>
      </c>
      <c r="T36" s="3429" t="s">
        <v>3451</v>
      </c>
      <c r="U36" s="3430">
        <f t="shared" si="13"/>
        <v>100</v>
      </c>
      <c r="V36" s="3429" t="s">
        <v>3451</v>
      </c>
      <c r="W36" s="3430">
        <f t="shared" si="14"/>
        <v>100</v>
      </c>
      <c r="X36" s="3355"/>
      <c r="Y36" s="4454"/>
      <c r="Z36" s="3431" t="str">
        <f t="shared" si="15"/>
        <v>公共部分装修</v>
      </c>
      <c r="AA36" s="3432">
        <f t="shared" si="3"/>
        <v>1</v>
      </c>
      <c r="AB36" s="3432">
        <f t="shared" si="4"/>
        <v>1</v>
      </c>
      <c r="AC36" s="3432">
        <f t="shared" si="5"/>
        <v>1</v>
      </c>
    </row>
    <row r="37" spans="1:29" s="3376" customFormat="1" ht="15">
      <c r="A37" s="3497"/>
      <c r="B37" s="3465" t="s">
        <v>730</v>
      </c>
      <c r="C37" s="3498">
        <v>1</v>
      </c>
      <c r="D37" s="3393">
        <v>100</v>
      </c>
      <c r="E37" s="3499">
        <v>1</v>
      </c>
      <c r="F37" s="3395">
        <f>LOOKUP(E37,112:112,113:113)-LOOKUP(C37,112:112,113:113)+100</f>
        <v>100</v>
      </c>
      <c r="G37" s="3500">
        <v>1</v>
      </c>
      <c r="H37" s="3393">
        <f>LOOKUP(G37,112:112,113:113)-LOOKUP(C37,112:112,113:113)+100</f>
        <v>100</v>
      </c>
      <c r="I37" s="3499">
        <v>1</v>
      </c>
      <c r="J37" s="3393">
        <f>LOOKUP(I37,112:112,113:113)-LOOKUP(C37,112:112,113:113)+100</f>
        <v>100</v>
      </c>
      <c r="K37" s="3396">
        <v>1</v>
      </c>
      <c r="L37" s="3370"/>
      <c r="M37" s="3371"/>
      <c r="N37" s="3371"/>
      <c r="O37" s="3388"/>
      <c r="P37" s="4454"/>
      <c r="Q37" s="3389" t="str">
        <f t="shared" si="11"/>
        <v>成新度</v>
      </c>
      <c r="R37" s="3372" t="s">
        <v>3451</v>
      </c>
      <c r="S37" s="3373">
        <f t="shared" si="12"/>
        <v>100</v>
      </c>
      <c r="T37" s="3372" t="s">
        <v>3451</v>
      </c>
      <c r="U37" s="3373">
        <f t="shared" si="13"/>
        <v>100</v>
      </c>
      <c r="V37" s="3372" t="s">
        <v>3451</v>
      </c>
      <c r="W37" s="3373">
        <f t="shared" si="14"/>
        <v>100</v>
      </c>
      <c r="X37" s="3374"/>
      <c r="Y37" s="4454"/>
      <c r="Z37" s="3390" t="str">
        <f t="shared" si="15"/>
        <v>成新度</v>
      </c>
      <c r="AA37" s="3375">
        <f t="shared" si="3"/>
        <v>1</v>
      </c>
      <c r="AB37" s="3375">
        <f t="shared" si="4"/>
        <v>1</v>
      </c>
      <c r="AC37" s="3375">
        <f t="shared" si="5"/>
        <v>1</v>
      </c>
    </row>
    <row r="38" spans="1:29" ht="15">
      <c r="A38" s="3494"/>
      <c r="B38" s="3465" t="s">
        <v>731</v>
      </c>
      <c r="C38" s="3464" t="s">
        <v>3017</v>
      </c>
      <c r="D38" s="3413">
        <v>100</v>
      </c>
      <c r="E38" s="3462" t="s">
        <v>3017</v>
      </c>
      <c r="F38" s="3463">
        <f>SUMIF(114:114,E38,115:115)-SUMIF(114:114,C38,115:115)+100</f>
        <v>100</v>
      </c>
      <c r="G38" s="3464" t="s">
        <v>3017</v>
      </c>
      <c r="H38" s="3413">
        <f>SUMIF(114:114,G38,115:115)-SUMIF(114:114,C38,115:115)+100</f>
        <v>100</v>
      </c>
      <c r="I38" s="3462" t="s">
        <v>3017</v>
      </c>
      <c r="J38" s="3413">
        <f>SUMIF(114:114,I38,115:115)-SUMIF(114:114,C38,115:115)+100</f>
        <v>100</v>
      </c>
      <c r="K38" s="3396">
        <v>3</v>
      </c>
      <c r="L38" s="3414"/>
      <c r="M38" s="3354"/>
      <c r="N38" s="3354"/>
      <c r="O38" s="3406"/>
      <c r="P38" s="4454" t="s">
        <v>3492</v>
      </c>
      <c r="Q38" s="3428" t="str">
        <f t="shared" si="11"/>
        <v>物业管理</v>
      </c>
      <c r="R38" s="3429" t="s">
        <v>3451</v>
      </c>
      <c r="S38" s="3430">
        <f t="shared" si="12"/>
        <v>100</v>
      </c>
      <c r="T38" s="3429" t="s">
        <v>3451</v>
      </c>
      <c r="U38" s="3430">
        <f t="shared" si="13"/>
        <v>100</v>
      </c>
      <c r="V38" s="3429" t="s">
        <v>3451</v>
      </c>
      <c r="W38" s="3430">
        <f t="shared" si="14"/>
        <v>100</v>
      </c>
      <c r="X38" s="3355"/>
      <c r="Y38" s="4454" t="s">
        <v>3492</v>
      </c>
      <c r="Z38" s="3431" t="str">
        <f t="shared" si="15"/>
        <v>物业管理</v>
      </c>
      <c r="AA38" s="3432">
        <f t="shared" si="3"/>
        <v>1</v>
      </c>
      <c r="AB38" s="3432">
        <f t="shared" si="4"/>
        <v>1</v>
      </c>
      <c r="AC38" s="3432">
        <f t="shared" si="5"/>
        <v>1</v>
      </c>
    </row>
    <row r="39" spans="1:29" ht="15">
      <c r="A39" s="3494"/>
      <c r="B39" s="3460" t="s">
        <v>3493</v>
      </c>
      <c r="C39" s="3464" t="s">
        <v>3029</v>
      </c>
      <c r="D39" s="3413">
        <v>100</v>
      </c>
      <c r="E39" s="3462" t="s">
        <v>3029</v>
      </c>
      <c r="F39" s="3463">
        <f>SUMIF(116:116,E39,117:117)-SUMIF(116:116,C39,117:117)+100</f>
        <v>100</v>
      </c>
      <c r="G39" s="3464" t="s">
        <v>3029</v>
      </c>
      <c r="H39" s="3413">
        <f>SUMIF(116:116,G39,117:117)-SUMIF(116:116,C39,117:117)+100</f>
        <v>100</v>
      </c>
      <c r="I39" s="3462" t="s">
        <v>3029</v>
      </c>
      <c r="J39" s="3413">
        <f>SUMIF(116:116,I39,117:117)-SUMIF(116:116,C39,117:117)+100</f>
        <v>100</v>
      </c>
      <c r="K39" s="3396">
        <v>1</v>
      </c>
      <c r="L39" s="3414"/>
      <c r="M39" s="3354"/>
      <c r="N39" s="3354"/>
      <c r="O39" s="3406"/>
      <c r="P39" s="4454"/>
      <c r="Q39" s="3428" t="str">
        <f t="shared" si="11"/>
        <v>市政基础设施</v>
      </c>
      <c r="R39" s="3429" t="s">
        <v>3451</v>
      </c>
      <c r="S39" s="3430">
        <f t="shared" si="12"/>
        <v>100</v>
      </c>
      <c r="T39" s="3429" t="s">
        <v>3451</v>
      </c>
      <c r="U39" s="3430">
        <f t="shared" si="13"/>
        <v>100</v>
      </c>
      <c r="V39" s="3429" t="s">
        <v>3451</v>
      </c>
      <c r="W39" s="3430">
        <f t="shared" si="14"/>
        <v>100</v>
      </c>
      <c r="X39" s="3355"/>
      <c r="Y39" s="4454"/>
      <c r="Z39" s="3431" t="str">
        <f t="shared" si="15"/>
        <v>市政基础设施</v>
      </c>
      <c r="AA39" s="3432">
        <f t="shared" si="3"/>
        <v>1</v>
      </c>
      <c r="AB39" s="3432">
        <f t="shared" si="4"/>
        <v>1</v>
      </c>
      <c r="AC39" s="3432">
        <f t="shared" si="5"/>
        <v>1</v>
      </c>
    </row>
    <row r="40" spans="1:29" ht="15">
      <c r="A40" s="3494"/>
      <c r="B40" s="3465" t="s">
        <v>732</v>
      </c>
      <c r="C40" s="3464"/>
      <c r="D40" s="3413">
        <v>100</v>
      </c>
      <c r="E40" s="3462"/>
      <c r="F40" s="3463">
        <f>SUMIF(118:118,E40,119:119)-SUMIF(118:118,C40,119:119)+100</f>
        <v>100</v>
      </c>
      <c r="G40" s="3464"/>
      <c r="H40" s="3413">
        <f>SUMIF(118:118,G40,119:119)-SUMIF(118:118,C40,119:119)+100</f>
        <v>100</v>
      </c>
      <c r="I40" s="3462"/>
      <c r="J40" s="3413">
        <f>SUMIF(118:118,I40,119:119)-SUMIF(118:118,C40,119:119)+100</f>
        <v>100</v>
      </c>
      <c r="K40" s="3396"/>
      <c r="L40" s="3414"/>
      <c r="M40" s="3354"/>
      <c r="N40" s="3354"/>
      <c r="O40" s="3406"/>
      <c r="P40" s="4454"/>
      <c r="Q40" s="3428" t="str">
        <f t="shared" si="11"/>
        <v>房型</v>
      </c>
      <c r="R40" s="3429" t="s">
        <v>3451</v>
      </c>
      <c r="S40" s="3430">
        <f t="shared" si="12"/>
        <v>100</v>
      </c>
      <c r="T40" s="3429" t="s">
        <v>3451</v>
      </c>
      <c r="U40" s="3430">
        <f t="shared" si="13"/>
        <v>100</v>
      </c>
      <c r="V40" s="3429" t="s">
        <v>3451</v>
      </c>
      <c r="W40" s="3430">
        <f t="shared" si="14"/>
        <v>100</v>
      </c>
      <c r="X40" s="3355"/>
      <c r="Y40" s="4454"/>
      <c r="Z40" s="3431" t="str">
        <f t="shared" si="15"/>
        <v>房型</v>
      </c>
      <c r="AA40" s="3432">
        <f t="shared" si="3"/>
        <v>1</v>
      </c>
      <c r="AB40" s="3432">
        <f t="shared" si="4"/>
        <v>1</v>
      </c>
      <c r="AC40" s="3432">
        <f t="shared" si="5"/>
        <v>1</v>
      </c>
    </row>
    <row r="41" spans="1:29" s="3493" customFormat="1" ht="28.5">
      <c r="A41" s="3482"/>
      <c r="B41" s="3465" t="s">
        <v>3494</v>
      </c>
      <c r="C41" s="3483" t="s">
        <v>3495</v>
      </c>
      <c r="D41" s="3393">
        <v>100</v>
      </c>
      <c r="E41" s="3484" t="s">
        <v>3496</v>
      </c>
      <c r="F41" s="3395">
        <f>SUMIF(120:120,E41,121:121)-SUMIF(120:120,C41,121:121)+100</f>
        <v>98</v>
      </c>
      <c r="G41" s="3485" t="s">
        <v>3497</v>
      </c>
      <c r="H41" s="3393">
        <f>SUMIF(120:120,G41,121:121)-SUMIF(120:120,C41,121:121)+100</f>
        <v>100</v>
      </c>
      <c r="I41" s="3501" t="s">
        <v>3498</v>
      </c>
      <c r="J41" s="3413">
        <f>SUMIF(120:120,I41,121:121)-SUMIF(120:120,C41,121:121)+100</f>
        <v>96</v>
      </c>
      <c r="K41" s="3411"/>
      <c r="L41" s="3405"/>
      <c r="M41" s="3486"/>
      <c r="N41" s="3486"/>
      <c r="O41" s="3487"/>
      <c r="P41" s="4454"/>
      <c r="Q41" s="3488" t="str">
        <f t="shared" si="11"/>
        <v>单套/主力户型建筑面积</v>
      </c>
      <c r="R41" s="3489" t="s">
        <v>3499</v>
      </c>
      <c r="S41" s="3490">
        <f t="shared" si="12"/>
        <v>98</v>
      </c>
      <c r="T41" s="3489" t="s">
        <v>3499</v>
      </c>
      <c r="U41" s="3490">
        <f t="shared" si="13"/>
        <v>100</v>
      </c>
      <c r="V41" s="3489" t="s">
        <v>3499</v>
      </c>
      <c r="W41" s="3490">
        <f t="shared" si="14"/>
        <v>96</v>
      </c>
      <c r="X41" s="3491"/>
      <c r="Y41" s="4454"/>
      <c r="Z41" s="3492" t="str">
        <f t="shared" si="15"/>
        <v>单套/主力户型建筑面积</v>
      </c>
      <c r="AA41" s="3432">
        <f t="shared" si="3"/>
        <v>1.0204081632653061</v>
      </c>
      <c r="AB41" s="3432">
        <f t="shared" si="4"/>
        <v>1</v>
      </c>
      <c r="AC41" s="3432">
        <f t="shared" si="5"/>
        <v>1.0416666666666667</v>
      </c>
    </row>
    <row r="42" spans="1:29" ht="15">
      <c r="A42" s="3494"/>
      <c r="B42" s="3465" t="s">
        <v>734</v>
      </c>
      <c r="C42" s="3464" t="s">
        <v>3031</v>
      </c>
      <c r="D42" s="3413">
        <v>100</v>
      </c>
      <c r="E42" s="3462" t="s">
        <v>3031</v>
      </c>
      <c r="F42" s="3463">
        <f>SUMIF(122:122,E42,123:123)-SUMIF(122:122,C42,123:123)+100</f>
        <v>100</v>
      </c>
      <c r="G42" s="3464" t="s">
        <v>3031</v>
      </c>
      <c r="H42" s="3413">
        <f>SUMIF(122:122,G42,123:123)-SUMIF(122:122,C42,123:123)+100</f>
        <v>100</v>
      </c>
      <c r="I42" s="3462" t="s">
        <v>3031</v>
      </c>
      <c r="J42" s="3413">
        <f>SUMIF(122:122,I42,123:123)-SUMIF(122:122,C42,123:123)+100</f>
        <v>100</v>
      </c>
      <c r="K42" s="3396">
        <v>1</v>
      </c>
      <c r="L42" s="3414"/>
      <c r="M42" s="3354"/>
      <c r="N42" s="3354"/>
      <c r="O42" s="3406"/>
      <c r="P42" s="4454"/>
      <c r="Q42" s="3428" t="str">
        <f t="shared" si="11"/>
        <v>内部装修</v>
      </c>
      <c r="R42" s="3429" t="s">
        <v>3499</v>
      </c>
      <c r="S42" s="3430">
        <f t="shared" si="12"/>
        <v>100</v>
      </c>
      <c r="T42" s="3429" t="s">
        <v>3499</v>
      </c>
      <c r="U42" s="3430">
        <f t="shared" si="13"/>
        <v>100</v>
      </c>
      <c r="V42" s="3429" t="s">
        <v>3499</v>
      </c>
      <c r="W42" s="3430">
        <f t="shared" si="14"/>
        <v>100</v>
      </c>
      <c r="X42" s="3355"/>
      <c r="Y42" s="4454"/>
      <c r="Z42" s="3431" t="str">
        <f t="shared" si="15"/>
        <v>内部装修</v>
      </c>
      <c r="AA42" s="3432">
        <f t="shared" si="3"/>
        <v>1</v>
      </c>
      <c r="AB42" s="3432">
        <f t="shared" si="4"/>
        <v>1</v>
      </c>
      <c r="AC42" s="3432">
        <f t="shared" si="5"/>
        <v>1</v>
      </c>
    </row>
    <row r="43" spans="1:29" ht="27">
      <c r="A43" s="3494"/>
      <c r="B43" s="3465" t="s">
        <v>735</v>
      </c>
      <c r="C43" s="3464" t="s">
        <v>3013</v>
      </c>
      <c r="D43" s="3413">
        <v>100</v>
      </c>
      <c r="E43" s="3462" t="s">
        <v>3013</v>
      </c>
      <c r="F43" s="3463">
        <f>SUMIF(124:124,E43,125:125)-SUMIF(124:124,C43,125:125)+100</f>
        <v>100</v>
      </c>
      <c r="G43" s="3464" t="s">
        <v>3013</v>
      </c>
      <c r="H43" s="3413">
        <f>SUMIF(124:124,G43,125:125)-SUMIF(124:124,C43,125:125)+100</f>
        <v>100</v>
      </c>
      <c r="I43" s="3462" t="s">
        <v>3013</v>
      </c>
      <c r="J43" s="3413">
        <f>SUMIF(124:124,I43,125:125)-SUMIF(124:124,C43,125:125)+100</f>
        <v>100</v>
      </c>
      <c r="K43" s="3396">
        <v>2</v>
      </c>
      <c r="L43" s="3414"/>
      <c r="M43" s="3354"/>
      <c r="N43" s="3354"/>
      <c r="O43" s="3406"/>
      <c r="P43" s="4454"/>
      <c r="Q43" s="3428" t="str">
        <f t="shared" si="11"/>
        <v>内部装修维护情况</v>
      </c>
      <c r="R43" s="3429" t="s">
        <v>3460</v>
      </c>
      <c r="S43" s="3430">
        <f t="shared" si="12"/>
        <v>100</v>
      </c>
      <c r="T43" s="3429" t="s">
        <v>3460</v>
      </c>
      <c r="U43" s="3430">
        <f t="shared" si="13"/>
        <v>100</v>
      </c>
      <c r="V43" s="3429" t="s">
        <v>3460</v>
      </c>
      <c r="W43" s="3430">
        <f t="shared" si="14"/>
        <v>100</v>
      </c>
      <c r="X43" s="3355"/>
      <c r="Y43" s="4454"/>
      <c r="Z43" s="3431" t="str">
        <f t="shared" si="15"/>
        <v>内部装修维护情况</v>
      </c>
      <c r="AA43" s="3432">
        <f t="shared" si="3"/>
        <v>1</v>
      </c>
      <c r="AB43" s="3432">
        <f t="shared" si="4"/>
        <v>1</v>
      </c>
      <c r="AC43" s="3432">
        <f t="shared" si="5"/>
        <v>1</v>
      </c>
    </row>
    <row r="44" spans="1:29" s="3376" customFormat="1" ht="15">
      <c r="A44" s="3497"/>
      <c r="B44" s="3473">
        <v>111</v>
      </c>
      <c r="C44" s="3502"/>
      <c r="D44" s="3393">
        <v>100</v>
      </c>
      <c r="E44" s="3502"/>
      <c r="F44" s="3395">
        <f>SUMIF(126:126,E44,127:127)-SUMIF(126:126,C44,127:127)+100</f>
        <v>100</v>
      </c>
      <c r="G44" s="3502"/>
      <c r="H44" s="3393">
        <f>SUMIF(126:126,G44,127:127)-SUMIF(126:126,C44,127:127)+100</f>
        <v>100</v>
      </c>
      <c r="I44" s="3502"/>
      <c r="J44" s="3393">
        <f>SUMIF(126:126,I44,127:127)-SUMIF(126:126,C44,127:127)+100</f>
        <v>100</v>
      </c>
      <c r="K44" s="3411"/>
      <c r="L44" s="3370"/>
      <c r="M44" s="3371"/>
      <c r="N44" s="3371"/>
      <c r="O44" s="3388"/>
      <c r="P44" s="4454"/>
      <c r="Q44" s="3389">
        <f t="shared" si="11"/>
        <v>111</v>
      </c>
      <c r="R44" s="3372" t="s">
        <v>3460</v>
      </c>
      <c r="S44" s="3373">
        <f t="shared" si="12"/>
        <v>100</v>
      </c>
      <c r="T44" s="3372" t="s">
        <v>3460</v>
      </c>
      <c r="U44" s="3373">
        <f t="shared" si="13"/>
        <v>100</v>
      </c>
      <c r="V44" s="3372" t="s">
        <v>3460</v>
      </c>
      <c r="W44" s="3373">
        <f t="shared" si="14"/>
        <v>100</v>
      </c>
      <c r="X44" s="3374"/>
      <c r="Y44" s="4454"/>
      <c r="Z44" s="3390">
        <f t="shared" si="15"/>
        <v>111</v>
      </c>
      <c r="AA44" s="3375">
        <f t="shared" si="3"/>
        <v>1</v>
      </c>
      <c r="AB44" s="3375">
        <f t="shared" si="4"/>
        <v>1</v>
      </c>
      <c r="AC44" s="3375">
        <f t="shared" si="5"/>
        <v>1</v>
      </c>
    </row>
    <row r="45" spans="1:29" ht="15">
      <c r="A45" s="3494"/>
      <c r="B45" s="3473">
        <v>111</v>
      </c>
      <c r="C45" s="3412"/>
      <c r="D45" s="3413">
        <v>100</v>
      </c>
      <c r="E45" s="3412"/>
      <c r="F45" s="3463">
        <f>SUMIF(128:128,E45,129:129)-SUMIF(128:128,C45,129:129)+100</f>
        <v>100</v>
      </c>
      <c r="G45" s="3412"/>
      <c r="H45" s="3413">
        <f>SUMIF(128:128,G45,129:129)-SUMIF(128:128,C45,129:129)+100</f>
        <v>100</v>
      </c>
      <c r="I45" s="3412"/>
      <c r="J45" s="3413">
        <f>SUMIF(128:128,I45,129:129)-SUMIF(128:128,C45,129:129)+100</f>
        <v>100</v>
      </c>
      <c r="K45" s="3411"/>
      <c r="L45" s="3414"/>
      <c r="M45" s="3354"/>
      <c r="N45" s="3354"/>
      <c r="O45" s="3406"/>
      <c r="P45" s="4454"/>
      <c r="Q45" s="3428">
        <f t="shared" si="11"/>
        <v>111</v>
      </c>
      <c r="R45" s="3429" t="s">
        <v>3460</v>
      </c>
      <c r="S45" s="3430">
        <f t="shared" si="12"/>
        <v>100</v>
      </c>
      <c r="T45" s="3429" t="s">
        <v>3460</v>
      </c>
      <c r="U45" s="3430">
        <f t="shared" si="13"/>
        <v>100</v>
      </c>
      <c r="V45" s="3429" t="s">
        <v>3460</v>
      </c>
      <c r="W45" s="3430">
        <f t="shared" si="14"/>
        <v>100</v>
      </c>
      <c r="X45" s="3355"/>
      <c r="Y45" s="4454"/>
      <c r="Z45" s="3431">
        <f t="shared" si="15"/>
        <v>111</v>
      </c>
      <c r="AA45" s="3432">
        <f t="shared" si="3"/>
        <v>1</v>
      </c>
      <c r="AB45" s="3432">
        <f t="shared" si="4"/>
        <v>1</v>
      </c>
      <c r="AC45" s="3432">
        <f t="shared" si="5"/>
        <v>1</v>
      </c>
    </row>
    <row r="46" spans="1:29" ht="15.75" thickBot="1">
      <c r="A46" s="3503"/>
      <c r="B46" s="3504">
        <v>111</v>
      </c>
      <c r="C46" s="3417"/>
      <c r="D46" s="3418">
        <v>100</v>
      </c>
      <c r="E46" s="3417"/>
      <c r="F46" s="3419">
        <f>SUMIF(130:130,E46,131:131)-SUMIF(130:130,C46,131:131)+100</f>
        <v>100</v>
      </c>
      <c r="G46" s="3417"/>
      <c r="H46" s="3418">
        <f>SUMIF(130:130,G46,131:131)-SUMIF(130:130,C46,131:131)+100</f>
        <v>100</v>
      </c>
      <c r="I46" s="3417"/>
      <c r="J46" s="3418">
        <f>SUMIF(130:130,I46,131:131)-SUMIF(130:130,C46,131:131)+100</f>
        <v>100</v>
      </c>
      <c r="K46" s="3411"/>
      <c r="L46" s="3414"/>
      <c r="M46" s="3354"/>
      <c r="N46" s="3354"/>
      <c r="O46" s="3406"/>
      <c r="P46" s="4455"/>
      <c r="Q46" s="3428">
        <f t="shared" si="11"/>
        <v>111</v>
      </c>
      <c r="R46" s="3429" t="s">
        <v>3460</v>
      </c>
      <c r="S46" s="3430">
        <f t="shared" si="12"/>
        <v>100</v>
      </c>
      <c r="T46" s="3429" t="s">
        <v>3460</v>
      </c>
      <c r="U46" s="3430">
        <f t="shared" si="13"/>
        <v>100</v>
      </c>
      <c r="V46" s="3429" t="s">
        <v>3460</v>
      </c>
      <c r="W46" s="3430">
        <f t="shared" si="14"/>
        <v>100</v>
      </c>
      <c r="X46" s="3355"/>
      <c r="Y46" s="4455"/>
      <c r="Z46" s="3431">
        <f t="shared" si="15"/>
        <v>111</v>
      </c>
      <c r="AA46" s="3432">
        <f t="shared" si="3"/>
        <v>1</v>
      </c>
      <c r="AB46" s="3432">
        <f t="shared" si="4"/>
        <v>1</v>
      </c>
      <c r="AC46" s="3432">
        <f t="shared" si="5"/>
        <v>1</v>
      </c>
    </row>
    <row r="47" spans="1:29" ht="15">
      <c r="A47" s="3505" t="s">
        <v>3500</v>
      </c>
      <c r="B47" s="3506"/>
      <c r="C47" s="3507" t="s">
        <v>1764</v>
      </c>
      <c r="D47" s="3508"/>
      <c r="E47" s="3509">
        <v>13000</v>
      </c>
      <c r="F47" s="3510"/>
      <c r="G47" s="3511">
        <v>13500</v>
      </c>
      <c r="H47" s="3512"/>
      <c r="I47" s="3509">
        <v>15000</v>
      </c>
      <c r="J47" s="3512"/>
      <c r="K47" s="3513"/>
      <c r="L47" s="3514"/>
      <c r="M47" s="3515"/>
      <c r="N47" s="3354"/>
      <c r="O47" s="3515"/>
      <c r="P47" s="4449" t="str">
        <f>A47</f>
        <v>成交单价（元/平方米）</v>
      </c>
      <c r="Q47" s="4449"/>
      <c r="R47" s="4456">
        <f>E47</f>
        <v>13000</v>
      </c>
      <c r="S47" s="4456"/>
      <c r="T47" s="4456">
        <f>G47</f>
        <v>13500</v>
      </c>
      <c r="U47" s="4456"/>
      <c r="V47" s="4456">
        <f>I47</f>
        <v>15000</v>
      </c>
      <c r="W47" s="4456"/>
      <c r="X47" s="3516"/>
      <c r="Y47" s="3517"/>
      <c r="Z47" s="3516"/>
      <c r="AA47" s="3516"/>
      <c r="AB47" s="3516"/>
      <c r="AC47" s="3516"/>
    </row>
    <row r="48" spans="1:29" ht="15.75" thickBot="1">
      <c r="A48" s="3518" t="s">
        <v>3501</v>
      </c>
      <c r="B48" s="3519"/>
      <c r="C48" s="3520">
        <f>R49</f>
        <v>14325</v>
      </c>
      <c r="D48" s="3521"/>
      <c r="E48" s="3522">
        <f>R48</f>
        <v>13676</v>
      </c>
      <c r="F48" s="3522"/>
      <c r="G48" s="3520">
        <f>T48</f>
        <v>13510</v>
      </c>
      <c r="H48" s="3521"/>
      <c r="I48" s="3522">
        <f>V48</f>
        <v>15789</v>
      </c>
      <c r="J48" s="3521"/>
      <c r="K48" s="3523"/>
      <c r="L48" s="3514"/>
      <c r="M48" s="3515"/>
      <c r="N48" s="3515"/>
      <c r="O48" s="3515"/>
      <c r="P48" s="4449" t="str">
        <f>A48</f>
        <v>比较价格（元/平方米）</v>
      </c>
      <c r="Q48" s="4449"/>
      <c r="R48" s="4456">
        <f>IF(F1="售价",ROUND(PRODUCT(R47,AA7:AA46),0),ROUND(PRODUCT(R47,AA7:AA46),1))</f>
        <v>13676</v>
      </c>
      <c r="S48" s="4456"/>
      <c r="T48" s="4456">
        <f>IF(F1="售价",ROUND(PRODUCT(T47,AB7:AB46),0),ROUND(PRODUCT(T47,AB7:AB46),1))</f>
        <v>13510</v>
      </c>
      <c r="U48" s="4456"/>
      <c r="V48" s="4456">
        <f>IF(F1="售价",ROUND(PRODUCT(V47,AC7:AC46),0),ROUND(PRODUCT(V47,AC7:AC46),1))</f>
        <v>15789</v>
      </c>
      <c r="W48" s="4456"/>
      <c r="X48" s="3516"/>
      <c r="Y48" s="3516"/>
      <c r="Z48" s="3516"/>
      <c r="AA48" s="3516"/>
      <c r="AB48" s="3516"/>
      <c r="AC48" s="3516"/>
    </row>
    <row r="49" spans="1:29" ht="15.75" thickBot="1">
      <c r="A49" s="3524" t="s">
        <v>3502</v>
      </c>
      <c r="B49" s="3525"/>
      <c r="C49" s="3526">
        <f>R49</f>
        <v>14325</v>
      </c>
      <c r="D49" s="3526"/>
      <c r="E49" s="3526"/>
      <c r="F49" s="3526"/>
      <c r="G49" s="3526"/>
      <c r="H49" s="3526"/>
      <c r="I49" s="3526"/>
      <c r="J49" s="3526"/>
      <c r="K49" s="3527"/>
      <c r="L49" s="3514"/>
      <c r="M49" s="3515"/>
      <c r="N49" s="3515"/>
      <c r="O49" s="3515"/>
      <c r="P49" s="4457" t="str">
        <f>A49</f>
        <v>估价对象XX用房的比较价格（楼面单价，元/平方米）</v>
      </c>
      <c r="Q49" s="4458"/>
      <c r="R49" s="4459">
        <f>IF(F1="售价",ROUND(AVERAGE(R48:V48),0),ROUND(AVERAGE(R48:V48),1))</f>
        <v>14325</v>
      </c>
      <c r="S49" s="4459"/>
      <c r="T49" s="4459"/>
      <c r="U49" s="4459"/>
      <c r="V49" s="4459"/>
      <c r="W49" s="4459"/>
      <c r="X49" s="3516"/>
      <c r="Y49" s="3516"/>
      <c r="Z49" s="3516"/>
      <c r="AA49" s="3516"/>
      <c r="AB49" s="3516"/>
      <c r="AC49" s="3516"/>
    </row>
    <row r="50" spans="1:29">
      <c r="A50" s="3515"/>
      <c r="B50" s="3515"/>
      <c r="C50" s="3515"/>
      <c r="D50" s="3515"/>
      <c r="E50" s="3515"/>
      <c r="F50" s="3515"/>
      <c r="G50" s="3528"/>
      <c r="H50" s="3515"/>
      <c r="I50" s="3515"/>
      <c r="J50" s="3515"/>
      <c r="K50" s="3529"/>
      <c r="L50" s="3530"/>
      <c r="M50" s="3515"/>
      <c r="N50" s="3515"/>
      <c r="O50" s="3515"/>
      <c r="P50" s="3515"/>
      <c r="Q50" s="3515"/>
      <c r="R50" s="3515"/>
      <c r="S50" s="3515"/>
      <c r="T50" s="3515"/>
      <c r="U50" s="3515"/>
      <c r="V50" s="3515"/>
      <c r="W50" s="3515"/>
      <c r="X50" s="3515"/>
      <c r="Y50" s="3515"/>
      <c r="Z50" s="3515"/>
      <c r="AA50" s="3515"/>
      <c r="AB50" s="3515"/>
      <c r="AC50" s="3515"/>
    </row>
    <row r="51" spans="1:29">
      <c r="A51" s="3515"/>
      <c r="B51" s="3515"/>
      <c r="C51" s="3515"/>
      <c r="D51" s="3515"/>
      <c r="E51" s="3515"/>
      <c r="F51" s="3515"/>
      <c r="G51" s="3515"/>
      <c r="H51" s="3515"/>
      <c r="I51" s="3515"/>
      <c r="J51" s="3515"/>
      <c r="K51" s="3529"/>
      <c r="L51" s="3530"/>
      <c r="M51" s="3515"/>
      <c r="N51" s="3515"/>
      <c r="O51" s="3515"/>
      <c r="P51" s="3515"/>
      <c r="Q51" s="3515"/>
      <c r="R51" s="3515"/>
      <c r="S51" s="3515"/>
      <c r="T51" s="3515"/>
      <c r="U51" s="3515"/>
      <c r="V51" s="3515"/>
      <c r="W51" s="3515"/>
      <c r="X51" s="3515"/>
      <c r="Y51" s="3515"/>
      <c r="Z51" s="3515"/>
      <c r="AA51" s="3515"/>
      <c r="AB51" s="3515"/>
      <c r="AC51" s="3515"/>
    </row>
    <row r="52" spans="1:29" ht="13.5" customHeight="1">
      <c r="A52" s="3515"/>
      <c r="B52" s="3515"/>
      <c r="C52" s="3531" t="s">
        <v>3503</v>
      </c>
      <c r="D52" s="3532"/>
      <c r="E52" s="3533">
        <f>IF(E47&lt;E48,E48/E47-1,E47/E48-1)</f>
        <v>5.2000000000000046E-2</v>
      </c>
      <c r="F52" s="3534" t="str">
        <f>IF(OR(E52&gt;=0.3,E52&lt;=-0.3),"超过30%","")</f>
        <v/>
      </c>
      <c r="G52" s="3533">
        <f>IF(G47&lt;G48,G48/G47-1,G47/G48-1)</f>
        <v>7.407407407407085E-4</v>
      </c>
      <c r="H52" s="3534" t="str">
        <f>IF(OR(G52&gt;=0.3,G52&lt;=-0.3),"超过30%","")</f>
        <v/>
      </c>
      <c r="I52" s="3533">
        <f>IF(I47&lt;I48,I48/I47-1,I47/I48-1)</f>
        <v>5.259999999999998E-2</v>
      </c>
      <c r="J52" s="3534" t="str">
        <f>IF(OR(I52&gt;=0.3,I52&lt;=-0.3),"超过30%","")</f>
        <v/>
      </c>
      <c r="K52" s="3529"/>
      <c r="L52" s="3530"/>
      <c r="M52" s="3515"/>
      <c r="N52" s="3515"/>
      <c r="O52" s="3515"/>
      <c r="P52" s="3515"/>
      <c r="Q52" s="3515"/>
      <c r="R52" s="3515"/>
      <c r="S52" s="3515"/>
      <c r="T52" s="3515"/>
      <c r="U52" s="3515"/>
      <c r="V52" s="3515"/>
      <c r="W52" s="3515"/>
      <c r="X52" s="3515"/>
      <c r="Y52" s="3515"/>
      <c r="Z52" s="3515"/>
      <c r="AA52" s="3515"/>
      <c r="AB52" s="3515"/>
      <c r="AC52" s="3515"/>
    </row>
    <row r="53" spans="1:29" ht="13.5" customHeight="1">
      <c r="A53" s="3515"/>
      <c r="B53" s="3515"/>
      <c r="C53" s="3531" t="s">
        <v>3504</v>
      </c>
      <c r="D53" s="3535"/>
      <c r="E53" s="3533">
        <f>IF(E48&lt;G48,G48/E48-1,E48/G48-1)</f>
        <v>1.2287194670614454E-2</v>
      </c>
      <c r="F53" s="3534" t="str">
        <f>IF(OR(E53&gt;=0.2,E53&lt;=-0.2),"超过20%","")</f>
        <v/>
      </c>
      <c r="G53" s="3533">
        <f>IF(G48&lt;I48,I48/G48-1,G48/I48-1)</f>
        <v>0.1686898593634345</v>
      </c>
      <c r="H53" s="3534" t="str">
        <f>IF(OR(G53&gt;=0.2,G53&lt;=-0.2),"超过20%","")</f>
        <v/>
      </c>
      <c r="I53" s="3533">
        <f>IF(I48&lt;E48,E48/I48-1,I48/E48-1)</f>
        <v>0.15450424100614213</v>
      </c>
      <c r="J53" s="3534" t="str">
        <f>IF(OR(I53&gt;=0.2,I53&lt;=-0.2),"超过20%","")</f>
        <v/>
      </c>
      <c r="K53" s="3529"/>
      <c r="L53" s="3530"/>
      <c r="M53" s="3515"/>
      <c r="N53" s="3515"/>
      <c r="O53" s="3515"/>
      <c r="P53" s="3515"/>
      <c r="Q53" s="3515"/>
      <c r="R53" s="3515"/>
      <c r="S53" s="3515"/>
      <c r="T53" s="3515"/>
      <c r="U53" s="3515"/>
      <c r="V53" s="3515"/>
      <c r="W53" s="3515"/>
      <c r="X53" s="3515"/>
      <c r="Y53" s="3515"/>
      <c r="Z53" s="3515"/>
      <c r="AA53" s="3515"/>
      <c r="AB53" s="3515"/>
      <c r="AC53" s="3515"/>
    </row>
    <row r="54" spans="1:29" s="3539" customFormat="1" ht="13.5" customHeight="1">
      <c r="A54" s="3536"/>
      <c r="B54" s="3536"/>
      <c r="C54" s="3531" t="s">
        <v>3505</v>
      </c>
      <c r="D54" s="3535"/>
      <c r="E54" s="3533">
        <f>IF(E47&lt;G47,G47/E47-1,E47/G47-1)</f>
        <v>3.8461538461538547E-2</v>
      </c>
      <c r="F54" s="3534" t="str">
        <f>IF(OR(E54&gt;=0.3,E54&lt;=-0.3),"超过30%","")</f>
        <v/>
      </c>
      <c r="G54" s="3533">
        <f>IF(G47&lt;I47,I47/G47-1,G47/I47-1)</f>
        <v>0.11111111111111116</v>
      </c>
      <c r="H54" s="3534" t="str">
        <f>IF(OR(G54&gt;=0.3,G54&lt;=-0.3),"超过30%","")</f>
        <v/>
      </c>
      <c r="I54" s="3533">
        <f>IF(I47&lt;E47,E47/I47-1,I47/E47-1)</f>
        <v>0.15384615384615374</v>
      </c>
      <c r="J54" s="3534" t="str">
        <f>IF(OR(I54&gt;=0.3,I54&lt;=-0.3),"超过30%","")</f>
        <v/>
      </c>
      <c r="K54" s="3537"/>
      <c r="L54" s="3538"/>
      <c r="M54" s="3536"/>
      <c r="N54" s="3536"/>
      <c r="O54" s="3536"/>
      <c r="P54" s="3536"/>
      <c r="Q54" s="3536"/>
      <c r="R54" s="3536"/>
      <c r="S54" s="3536"/>
      <c r="T54" s="3536"/>
      <c r="U54" s="3536"/>
      <c r="V54" s="3536"/>
      <c r="W54" s="3536"/>
      <c r="X54" s="3536"/>
      <c r="Y54" s="3536"/>
      <c r="Z54" s="3536"/>
      <c r="AA54" s="3536"/>
      <c r="AB54" s="3536"/>
      <c r="AC54" s="3536"/>
    </row>
    <row r="55" spans="1:29" s="3539" customFormat="1">
      <c r="A55" s="3536"/>
      <c r="B55" s="3540"/>
      <c r="C55" s="3541"/>
      <c r="D55" s="3536"/>
      <c r="E55" s="3536"/>
      <c r="F55" s="3536"/>
      <c r="G55" s="3536"/>
      <c r="H55" s="3536"/>
      <c r="I55" s="3536"/>
      <c r="J55" s="3536"/>
      <c r="K55" s="3537"/>
      <c r="L55" s="3538"/>
      <c r="M55" s="3536"/>
      <c r="N55" s="3536"/>
      <c r="O55" s="3536"/>
      <c r="P55" s="3536"/>
      <c r="Q55" s="3536"/>
      <c r="R55" s="3536"/>
      <c r="S55" s="3536"/>
      <c r="T55" s="3536"/>
      <c r="U55" s="3536"/>
      <c r="V55" s="3536"/>
      <c r="W55" s="3536"/>
      <c r="X55" s="3536"/>
      <c r="Y55" s="3536"/>
      <c r="Z55" s="3536"/>
      <c r="AA55" s="3536"/>
      <c r="AB55" s="3536"/>
      <c r="AC55" s="3536"/>
    </row>
    <row r="56" spans="1:29">
      <c r="A56" s="3515"/>
      <c r="B56" s="3540"/>
      <c r="C56" s="3541"/>
      <c r="D56" s="3540"/>
      <c r="E56" s="3540"/>
      <c r="F56" s="3540"/>
      <c r="G56" s="3540"/>
      <c r="H56" s="3540"/>
      <c r="I56" s="3540"/>
      <c r="J56" s="3540"/>
      <c r="K56" s="3540"/>
      <c r="L56" s="3540"/>
      <c r="M56" s="3540"/>
      <c r="N56" s="3540"/>
      <c r="O56" s="3540"/>
      <c r="P56" s="3515"/>
      <c r="Q56" s="3515"/>
      <c r="R56" s="3515"/>
      <c r="S56" s="3515"/>
      <c r="T56" s="3515"/>
      <c r="U56" s="3515"/>
      <c r="V56" s="3515"/>
      <c r="W56" s="3515"/>
      <c r="X56" s="3515"/>
      <c r="Y56" s="3515"/>
      <c r="Z56" s="3515"/>
      <c r="AA56" s="3515"/>
      <c r="AB56" s="3515"/>
      <c r="AC56" s="3515"/>
    </row>
    <row r="57" spans="1:29" ht="21.75" thickBot="1">
      <c r="A57" s="3542" t="s">
        <v>3506</v>
      </c>
      <c r="B57" s="3516"/>
      <c r="C57" s="3543"/>
      <c r="D57" s="3543"/>
      <c r="E57" s="3543"/>
      <c r="F57" s="3544"/>
      <c r="G57" s="3544"/>
      <c r="H57" s="3543"/>
      <c r="I57" s="3543"/>
      <c r="J57" s="3543"/>
      <c r="K57" s="3545"/>
      <c r="L57" s="3546"/>
      <c r="M57" s="3543"/>
      <c r="N57" s="3543"/>
      <c r="O57" s="3543"/>
      <c r="P57" s="3547"/>
      <c r="Q57" s="3548"/>
      <c r="R57" s="3515"/>
      <c r="S57" s="3515"/>
      <c r="T57" s="3515"/>
      <c r="U57" s="3515"/>
      <c r="V57" s="3515"/>
      <c r="W57" s="3515"/>
      <c r="X57" s="3515"/>
      <c r="Y57" s="3515"/>
      <c r="Z57" s="3515"/>
      <c r="AA57" s="3515"/>
      <c r="AB57" s="3515"/>
      <c r="AC57" s="3515"/>
    </row>
    <row r="58" spans="1:29" s="3554" customFormat="1" ht="15">
      <c r="A58" s="3549" t="s">
        <v>3507</v>
      </c>
      <c r="B58" s="3550"/>
      <c r="C58" s="3551" t="str">
        <f>YEAR(C7)&amp;"-"&amp;MONTH(C7)</f>
        <v>2019-7</v>
      </c>
      <c r="D58" s="3551">
        <f>EDATE(C58,-1)</f>
        <v>43617</v>
      </c>
      <c r="E58" s="3551">
        <f t="shared" ref="E58:O58" si="16">EDATE(D58,-1)</f>
        <v>43586</v>
      </c>
      <c r="F58" s="3551">
        <f t="shared" si="16"/>
        <v>43556</v>
      </c>
      <c r="G58" s="3551">
        <f t="shared" si="16"/>
        <v>43525</v>
      </c>
      <c r="H58" s="3551">
        <f t="shared" si="16"/>
        <v>43497</v>
      </c>
      <c r="I58" s="3551">
        <f t="shared" si="16"/>
        <v>43466</v>
      </c>
      <c r="J58" s="3551">
        <f t="shared" si="16"/>
        <v>43435</v>
      </c>
      <c r="K58" s="3551">
        <f t="shared" si="16"/>
        <v>43405</v>
      </c>
      <c r="L58" s="3551">
        <f t="shared" si="16"/>
        <v>43374</v>
      </c>
      <c r="M58" s="3551">
        <f t="shared" si="16"/>
        <v>43344</v>
      </c>
      <c r="N58" s="3551">
        <f t="shared" si="16"/>
        <v>43313</v>
      </c>
      <c r="O58" s="3551">
        <f t="shared" si="16"/>
        <v>43282</v>
      </c>
      <c r="P58" s="3552"/>
      <c r="Q58" s="3553"/>
      <c r="R58" s="3553"/>
      <c r="S58" s="3553"/>
      <c r="T58" s="3553"/>
      <c r="U58" s="3553"/>
      <c r="V58" s="3553"/>
      <c r="W58" s="3553"/>
      <c r="X58" s="3553"/>
      <c r="Y58" s="3553"/>
      <c r="Z58" s="3553"/>
      <c r="AA58" s="3553"/>
      <c r="AB58" s="3553"/>
      <c r="AC58" s="3553"/>
    </row>
    <row r="59" spans="1:29" s="3376" customFormat="1" ht="15">
      <c r="A59" s="3555"/>
      <c r="B59" s="3556"/>
      <c r="C59" s="3557">
        <v>100</v>
      </c>
      <c r="D59" s="3558"/>
      <c r="E59" s="3558"/>
      <c r="F59" s="3558"/>
      <c r="G59" s="3558"/>
      <c r="H59" s="3558"/>
      <c r="I59" s="3558"/>
      <c r="J59" s="3558"/>
      <c r="K59" s="3558"/>
      <c r="L59" s="3558"/>
      <c r="M59" s="3558"/>
      <c r="N59" s="3558"/>
      <c r="O59" s="3558"/>
      <c r="P59" s="3548"/>
      <c r="Q59" s="3559"/>
      <c r="R59" s="3559"/>
      <c r="S59" s="3559"/>
      <c r="T59" s="3559"/>
      <c r="U59" s="3559"/>
      <c r="V59" s="3559"/>
      <c r="W59" s="3559"/>
      <c r="X59" s="3559"/>
      <c r="Y59" s="3559"/>
      <c r="Z59" s="3559"/>
      <c r="AA59" s="3559"/>
      <c r="AB59" s="3559"/>
      <c r="AC59" s="3559"/>
    </row>
    <row r="60" spans="1:29" s="3376" customFormat="1" ht="15.75" thickBot="1">
      <c r="A60" s="3560" t="s">
        <v>3508</v>
      </c>
      <c r="B60" s="3561"/>
      <c r="C60" s="3562"/>
      <c r="D60" s="3563"/>
      <c r="E60" s="3563"/>
      <c r="F60" s="3563"/>
      <c r="G60" s="3563"/>
      <c r="H60" s="3563"/>
      <c r="I60" s="3563"/>
      <c r="J60" s="3563"/>
      <c r="K60" s="3563"/>
      <c r="L60" s="3563"/>
      <c r="M60" s="3564"/>
      <c r="N60" s="3563"/>
      <c r="O60" s="3565"/>
      <c r="P60" s="3548"/>
      <c r="Q60" s="3548"/>
      <c r="R60" s="3559"/>
      <c r="S60" s="3559"/>
      <c r="T60" s="3559"/>
      <c r="U60" s="3559"/>
      <c r="V60" s="3559"/>
      <c r="W60" s="3559"/>
      <c r="X60" s="3559"/>
      <c r="Y60" s="3559"/>
      <c r="Z60" s="3559"/>
      <c r="AA60" s="3559"/>
      <c r="AB60" s="3559"/>
      <c r="AC60" s="3559"/>
    </row>
    <row r="61" spans="1:29" s="3376" customFormat="1" ht="15">
      <c r="A61" s="3566" t="s">
        <v>3509</v>
      </c>
      <c r="B61" s="3556"/>
      <c r="C61" s="3567" t="s">
        <v>3510</v>
      </c>
      <c r="D61" s="3568"/>
      <c r="E61" s="3568"/>
      <c r="F61" s="3568"/>
      <c r="G61" s="3568"/>
      <c r="H61" s="3568"/>
      <c r="I61" s="3568"/>
      <c r="J61" s="3568"/>
      <c r="K61" s="3568"/>
      <c r="L61" s="3569"/>
      <c r="M61" s="3570"/>
      <c r="N61" s="3571"/>
      <c r="O61" s="3571"/>
      <c r="P61" s="3572"/>
      <c r="Q61" s="3548"/>
      <c r="R61" s="3559"/>
      <c r="S61" s="3559"/>
      <c r="T61" s="3559"/>
      <c r="U61" s="3559"/>
      <c r="V61" s="3559"/>
      <c r="W61" s="3559"/>
      <c r="X61" s="3559"/>
      <c r="Y61" s="3559"/>
      <c r="Z61" s="3559"/>
      <c r="AA61" s="3559"/>
      <c r="AB61" s="3559"/>
      <c r="AC61" s="3559"/>
    </row>
    <row r="62" spans="1:29" s="3376" customFormat="1" ht="15.75" thickBot="1">
      <c r="A62" s="3566"/>
      <c r="B62" s="3556"/>
      <c r="C62" s="3573">
        <v>100</v>
      </c>
      <c r="D62" s="3558"/>
      <c r="E62" s="3558"/>
      <c r="F62" s="3558"/>
      <c r="G62" s="3558"/>
      <c r="H62" s="3558"/>
      <c r="I62" s="3558"/>
      <c r="J62" s="3558"/>
      <c r="K62" s="3558"/>
      <c r="L62" s="3558"/>
      <c r="M62" s="3574"/>
      <c r="N62" s="3571"/>
      <c r="O62" s="3571"/>
      <c r="P62" s="3548"/>
      <c r="Q62" s="3548"/>
      <c r="R62" s="3559"/>
      <c r="S62" s="3559"/>
      <c r="T62" s="3559"/>
      <c r="U62" s="3559"/>
      <c r="V62" s="3559"/>
      <c r="W62" s="3559"/>
      <c r="X62" s="3559"/>
      <c r="Y62" s="3559"/>
      <c r="Z62" s="3559"/>
      <c r="AA62" s="3559"/>
      <c r="AB62" s="3559"/>
      <c r="AC62" s="3559"/>
    </row>
    <row r="63" spans="1:29">
      <c r="A63" s="3575" t="s">
        <v>3511</v>
      </c>
      <c r="B63" s="3576" t="s">
        <v>3512</v>
      </c>
      <c r="C63" s="3577" t="str">
        <f>C9</f>
        <v>住宅</v>
      </c>
      <c r="D63" s="3578"/>
      <c r="E63" s="3578"/>
      <c r="F63" s="3578"/>
      <c r="G63" s="3578"/>
      <c r="H63" s="3578"/>
      <c r="I63" s="3578"/>
      <c r="J63" s="3578"/>
      <c r="K63" s="3579"/>
      <c r="L63" s="3580"/>
      <c r="M63" s="3581"/>
      <c r="N63" s="3582"/>
      <c r="O63" s="3582"/>
      <c r="P63" s="3583"/>
      <c r="Q63" s="3548"/>
      <c r="R63" s="3515"/>
      <c r="S63" s="3515"/>
      <c r="T63" s="3515"/>
      <c r="U63" s="3515"/>
      <c r="V63" s="3515"/>
      <c r="W63" s="3515"/>
      <c r="X63" s="3515"/>
      <c r="Y63" s="3515"/>
      <c r="Z63" s="3515"/>
      <c r="AA63" s="3515"/>
      <c r="AB63" s="3515"/>
      <c r="AC63" s="3515"/>
    </row>
    <row r="64" spans="1:29" ht="15.75" thickBot="1">
      <c r="A64" s="3584"/>
      <c r="B64" s="3585"/>
      <c r="C64" s="3586">
        <v>100</v>
      </c>
      <c r="D64" s="3586"/>
      <c r="E64" s="3587"/>
      <c r="F64" s="3587"/>
      <c r="G64" s="3587"/>
      <c r="H64" s="3587"/>
      <c r="I64" s="3587"/>
      <c r="J64" s="3587"/>
      <c r="K64" s="3587"/>
      <c r="L64" s="3587"/>
      <c r="M64" s="3588"/>
      <c r="N64" s="3589"/>
      <c r="O64" s="3589"/>
      <c r="P64" s="3583"/>
      <c r="Q64" s="3548"/>
      <c r="R64" s="3515"/>
      <c r="S64" s="3515"/>
      <c r="T64" s="3515"/>
      <c r="U64" s="3515"/>
      <c r="V64" s="3515"/>
      <c r="W64" s="3515"/>
      <c r="X64" s="3515"/>
      <c r="Y64" s="3515"/>
      <c r="Z64" s="3515"/>
      <c r="AA64" s="3515"/>
      <c r="AB64" s="3515"/>
      <c r="AC64" s="3515"/>
    </row>
    <row r="65" spans="1:29" ht="27.75" thickTop="1">
      <c r="A65" s="3584"/>
      <c r="B65" s="3590" t="s">
        <v>3513</v>
      </c>
      <c r="C65" s="3591" t="s">
        <v>3514</v>
      </c>
      <c r="D65" s="3591" t="s">
        <v>3515</v>
      </c>
      <c r="E65" s="3591" t="s">
        <v>3516</v>
      </c>
      <c r="F65" s="3591" t="s">
        <v>3517</v>
      </c>
      <c r="G65" s="3591" t="s">
        <v>3518</v>
      </c>
      <c r="H65" s="3591" t="s">
        <v>3519</v>
      </c>
      <c r="I65" s="3591" t="s">
        <v>3520</v>
      </c>
      <c r="J65" s="3591"/>
      <c r="K65" s="3592"/>
      <c r="L65" s="3593"/>
      <c r="M65" s="3594"/>
      <c r="N65" s="3582"/>
      <c r="O65" s="3582"/>
      <c r="P65" s="3583"/>
      <c r="Q65" s="3548"/>
      <c r="R65" s="3515"/>
      <c r="S65" s="3515"/>
      <c r="T65" s="3515"/>
      <c r="U65" s="3515"/>
      <c r="V65" s="3515"/>
      <c r="W65" s="3515"/>
      <c r="X65" s="3515"/>
      <c r="Y65" s="3515"/>
      <c r="Z65" s="3515"/>
      <c r="AA65" s="3515"/>
      <c r="AB65" s="3515"/>
      <c r="AC65" s="3515"/>
    </row>
    <row r="66" spans="1:29" ht="15.75" thickBot="1">
      <c r="A66" s="3584"/>
      <c r="B66" s="3595"/>
      <c r="C66" s="3596">
        <v>100</v>
      </c>
      <c r="D66" s="3596">
        <f t="shared" ref="D66:I66" si="17">C66-$K10</f>
        <v>98</v>
      </c>
      <c r="E66" s="3596">
        <f t="shared" si="17"/>
        <v>96</v>
      </c>
      <c r="F66" s="3596">
        <f t="shared" si="17"/>
        <v>94</v>
      </c>
      <c r="G66" s="3596">
        <f t="shared" si="17"/>
        <v>92</v>
      </c>
      <c r="H66" s="3596">
        <f t="shared" si="17"/>
        <v>90</v>
      </c>
      <c r="I66" s="3596">
        <f t="shared" si="17"/>
        <v>88</v>
      </c>
      <c r="J66" s="3596"/>
      <c r="K66" s="3596"/>
      <c r="L66" s="3596"/>
      <c r="M66" s="3597"/>
      <c r="N66" s="3589"/>
      <c r="O66" s="3589"/>
      <c r="P66" s="3583"/>
      <c r="Q66" s="3548"/>
      <c r="R66" s="3515"/>
      <c r="S66" s="3515"/>
      <c r="T66" s="3515"/>
      <c r="U66" s="3515"/>
      <c r="V66" s="3515"/>
      <c r="W66" s="3515"/>
      <c r="X66" s="3515"/>
      <c r="Y66" s="3515"/>
      <c r="Z66" s="3515"/>
      <c r="AA66" s="3515"/>
      <c r="AB66" s="3515"/>
      <c r="AC66" s="3515"/>
    </row>
    <row r="67" spans="1:29" ht="15.75" thickTop="1">
      <c r="A67" s="3584"/>
      <c r="B67" s="3598" t="s">
        <v>3521</v>
      </c>
      <c r="C67" s="3599" t="str">
        <f>C68&amp;"（含）"&amp;"-"&amp;D68</f>
        <v>0（含）-1</v>
      </c>
      <c r="D67" s="3599" t="str">
        <f t="shared" ref="D67:L67" si="18">D68&amp;"（含）"&amp;"-"&amp;E68</f>
        <v>1（含）-2</v>
      </c>
      <c r="E67" s="3599" t="str">
        <f t="shared" si="18"/>
        <v>2（含）-3</v>
      </c>
      <c r="F67" s="3599" t="str">
        <f t="shared" si="18"/>
        <v>3（含）-4</v>
      </c>
      <c r="G67" s="3599" t="str">
        <f t="shared" si="18"/>
        <v>4（含）-5</v>
      </c>
      <c r="H67" s="3599" t="str">
        <f t="shared" si="18"/>
        <v>5（含）-</v>
      </c>
      <c r="I67" s="3599" t="str">
        <f t="shared" si="18"/>
        <v>（含）-</v>
      </c>
      <c r="J67" s="3599" t="str">
        <f t="shared" si="18"/>
        <v>（含）-</v>
      </c>
      <c r="K67" s="3599" t="str">
        <f t="shared" si="18"/>
        <v>（含）-</v>
      </c>
      <c r="L67" s="3599" t="str">
        <f t="shared" si="18"/>
        <v>（含）-</v>
      </c>
      <c r="M67" s="3436" t="str">
        <f>M68&amp;"（含）"&amp;"-"&amp;P68</f>
        <v>（含）-</v>
      </c>
      <c r="N67" s="3589"/>
      <c r="O67" s="3589"/>
      <c r="P67" s="3583"/>
      <c r="Q67" s="3548"/>
      <c r="R67" s="3515"/>
      <c r="S67" s="3515"/>
      <c r="T67" s="3515"/>
      <c r="U67" s="3515"/>
      <c r="V67" s="3515"/>
      <c r="W67" s="3515"/>
      <c r="X67" s="3515"/>
      <c r="Y67" s="3515"/>
      <c r="Z67" s="3515"/>
      <c r="AA67" s="3515"/>
      <c r="AB67" s="3515"/>
      <c r="AC67" s="3515"/>
    </row>
    <row r="68" spans="1:29" ht="15">
      <c r="A68" s="3584"/>
      <c r="B68" s="3600"/>
      <c r="C68" s="3601">
        <v>0</v>
      </c>
      <c r="D68" s="3601">
        <v>1</v>
      </c>
      <c r="E68" s="3601">
        <v>2</v>
      </c>
      <c r="F68" s="3601">
        <v>3</v>
      </c>
      <c r="G68" s="3601">
        <v>4</v>
      </c>
      <c r="H68" s="3601">
        <v>5</v>
      </c>
      <c r="I68" s="3601"/>
      <c r="J68" s="3601"/>
      <c r="K68" s="3602"/>
      <c r="L68" s="3603"/>
      <c r="M68" s="3604"/>
      <c r="N68" s="3582"/>
      <c r="O68" s="3582"/>
      <c r="P68" s="3583"/>
      <c r="Q68" s="3548"/>
      <c r="R68" s="3515"/>
      <c r="S68" s="3515"/>
      <c r="T68" s="3515"/>
      <c r="U68" s="3515"/>
      <c r="V68" s="3515"/>
      <c r="W68" s="3515"/>
      <c r="X68" s="3515"/>
      <c r="Y68" s="3515"/>
      <c r="Z68" s="3515"/>
      <c r="AA68" s="3515"/>
      <c r="AB68" s="3515"/>
      <c r="AC68" s="3515"/>
    </row>
    <row r="69" spans="1:29" ht="15.75" thickBot="1">
      <c r="A69" s="3584"/>
      <c r="B69" s="3585"/>
      <c r="C69" s="3596">
        <v>100</v>
      </c>
      <c r="D69" s="3596">
        <f t="shared" ref="D69:M69" si="19">C69-$K11</f>
        <v>99</v>
      </c>
      <c r="E69" s="3596">
        <f t="shared" si="19"/>
        <v>98</v>
      </c>
      <c r="F69" s="3596">
        <f t="shared" si="19"/>
        <v>97</v>
      </c>
      <c r="G69" s="3596">
        <f t="shared" si="19"/>
        <v>96</v>
      </c>
      <c r="H69" s="3596">
        <f t="shared" si="19"/>
        <v>95</v>
      </c>
      <c r="I69" s="3596">
        <f t="shared" si="19"/>
        <v>94</v>
      </c>
      <c r="J69" s="3596">
        <f t="shared" si="19"/>
        <v>93</v>
      </c>
      <c r="K69" s="3596">
        <f t="shared" si="19"/>
        <v>92</v>
      </c>
      <c r="L69" s="3596">
        <f t="shared" si="19"/>
        <v>91</v>
      </c>
      <c r="M69" s="3597">
        <f t="shared" si="19"/>
        <v>90</v>
      </c>
      <c r="N69" s="3589"/>
      <c r="O69" s="3589"/>
      <c r="P69" s="3583"/>
      <c r="Q69" s="3548"/>
      <c r="R69" s="3515"/>
      <c r="S69" s="3515"/>
      <c r="T69" s="3515"/>
      <c r="U69" s="3515"/>
      <c r="V69" s="3515"/>
      <c r="W69" s="3515"/>
      <c r="X69" s="3515"/>
      <c r="Y69" s="3515"/>
      <c r="Z69" s="3515"/>
      <c r="AA69" s="3515"/>
      <c r="AB69" s="3515"/>
      <c r="AC69" s="3515"/>
    </row>
    <row r="70" spans="1:29" s="3493" customFormat="1" ht="15.75" thickTop="1">
      <c r="A70" s="3605"/>
      <c r="B70" s="3590">
        <f>B12</f>
        <v>111</v>
      </c>
      <c r="C70" s="3606"/>
      <c r="D70" s="3606"/>
      <c r="E70" s="3606"/>
      <c r="F70" s="3606"/>
      <c r="G70" s="3606"/>
      <c r="H70" s="3607"/>
      <c r="I70" s="3607"/>
      <c r="J70" s="3607"/>
      <c r="K70" s="3607"/>
      <c r="L70" s="3608"/>
      <c r="M70" s="3609"/>
      <c r="N70" s="3610"/>
      <c r="O70" s="3610"/>
      <c r="P70" s="3611"/>
      <c r="Q70" s="3612"/>
      <c r="R70" s="3613"/>
      <c r="S70" s="3613"/>
      <c r="T70" s="3613"/>
      <c r="U70" s="3613"/>
      <c r="V70" s="3613"/>
      <c r="W70" s="3613"/>
      <c r="X70" s="3613"/>
      <c r="Y70" s="3613"/>
      <c r="Z70" s="3613"/>
      <c r="AA70" s="3613"/>
      <c r="AB70" s="3613"/>
      <c r="AC70" s="3613"/>
    </row>
    <row r="71" spans="1:29" s="3493" customFormat="1" ht="15.75" thickBot="1">
      <c r="A71" s="3605"/>
      <c r="B71" s="3595"/>
      <c r="C71" s="3614"/>
      <c r="D71" s="3586"/>
      <c r="E71" s="3586"/>
      <c r="F71" s="3586"/>
      <c r="G71" s="3586"/>
      <c r="H71" s="3586"/>
      <c r="I71" s="3586"/>
      <c r="J71" s="3586"/>
      <c r="K71" s="3586"/>
      <c r="L71" s="3586"/>
      <c r="M71" s="3615"/>
      <c r="N71" s="3589"/>
      <c r="O71" s="3589"/>
      <c r="P71" s="3611"/>
      <c r="Q71" s="3612"/>
      <c r="R71" s="3613"/>
      <c r="S71" s="3613"/>
      <c r="T71" s="3613"/>
      <c r="U71" s="3613"/>
      <c r="V71" s="3613"/>
      <c r="W71" s="3613"/>
      <c r="X71" s="3613"/>
      <c r="Y71" s="3613"/>
      <c r="Z71" s="3613"/>
      <c r="AA71" s="3613"/>
      <c r="AB71" s="3613"/>
      <c r="AC71" s="3613"/>
    </row>
    <row r="72" spans="1:29" s="3493" customFormat="1" ht="15.75" thickTop="1">
      <c r="A72" s="3605"/>
      <c r="B72" s="3590">
        <f>B13</f>
        <v>111</v>
      </c>
      <c r="C72" s="3606"/>
      <c r="D72" s="3606"/>
      <c r="E72" s="3606"/>
      <c r="F72" s="3606"/>
      <c r="G72" s="3606"/>
      <c r="H72" s="3607"/>
      <c r="I72" s="3607"/>
      <c r="J72" s="3607"/>
      <c r="K72" s="3607"/>
      <c r="L72" s="3608"/>
      <c r="M72" s="3609"/>
      <c r="N72" s="3610"/>
      <c r="O72" s="3610"/>
      <c r="P72" s="3486"/>
      <c r="Q72" s="3616"/>
      <c r="R72" s="3613"/>
      <c r="S72" s="3613"/>
      <c r="T72" s="3613"/>
      <c r="U72" s="3613"/>
      <c r="V72" s="3613"/>
      <c r="W72" s="3613"/>
      <c r="X72" s="3613"/>
      <c r="Y72" s="3613"/>
      <c r="Z72" s="3613"/>
      <c r="AA72" s="3613"/>
      <c r="AB72" s="3613"/>
      <c r="AC72" s="3613"/>
    </row>
    <row r="73" spans="1:29" s="3493" customFormat="1" ht="15.75" thickBot="1">
      <c r="A73" s="3605"/>
      <c r="B73" s="3595"/>
      <c r="C73" s="3614"/>
      <c r="D73" s="3614"/>
      <c r="E73" s="3614"/>
      <c r="F73" s="3614"/>
      <c r="G73" s="3614"/>
      <c r="H73" s="3617"/>
      <c r="I73" s="3617"/>
      <c r="J73" s="3617"/>
      <c r="K73" s="3617"/>
      <c r="L73" s="3617"/>
      <c r="M73" s="3618"/>
      <c r="N73" s="3610"/>
      <c r="O73" s="3610"/>
      <c r="P73" s="3611"/>
      <c r="Q73" s="3612"/>
      <c r="R73" s="3613"/>
      <c r="S73" s="3613"/>
      <c r="T73" s="3613"/>
      <c r="U73" s="3613"/>
      <c r="V73" s="3613"/>
      <c r="W73" s="3613"/>
      <c r="X73" s="3613"/>
      <c r="Y73" s="3613"/>
      <c r="Z73" s="3613"/>
      <c r="AA73" s="3613"/>
      <c r="AB73" s="3613"/>
      <c r="AC73" s="3613"/>
    </row>
    <row r="74" spans="1:29" s="3493" customFormat="1" ht="15.75" thickTop="1">
      <c r="A74" s="3605"/>
      <c r="B74" s="3598">
        <f>B14</f>
        <v>111</v>
      </c>
      <c r="C74" s="3606"/>
      <c r="D74" s="3606"/>
      <c r="E74" s="3606"/>
      <c r="F74" s="3606"/>
      <c r="G74" s="3568"/>
      <c r="H74" s="3619"/>
      <c r="I74" s="3619"/>
      <c r="J74" s="3619"/>
      <c r="K74" s="3619"/>
      <c r="L74" s="3620"/>
      <c r="M74" s="3621"/>
      <c r="N74" s="3610"/>
      <c r="O74" s="3610"/>
      <c r="P74" s="3622"/>
      <c r="Q74" s="3612"/>
      <c r="R74" s="3613"/>
      <c r="S74" s="3613"/>
      <c r="T74" s="3613"/>
      <c r="U74" s="3613"/>
      <c r="V74" s="3613"/>
      <c r="W74" s="3613"/>
      <c r="X74" s="3613"/>
      <c r="Y74" s="3613"/>
      <c r="Z74" s="3613"/>
      <c r="AA74" s="3613"/>
      <c r="AB74" s="3613"/>
      <c r="AC74" s="3613"/>
    </row>
    <row r="75" spans="1:29" s="3493" customFormat="1" ht="15.75" thickBot="1">
      <c r="A75" s="3623"/>
      <c r="B75" s="3624"/>
      <c r="C75" s="3625"/>
      <c r="D75" s="3625"/>
      <c r="E75" s="3625"/>
      <c r="F75" s="3625"/>
      <c r="G75" s="3625"/>
      <c r="H75" s="3626"/>
      <c r="I75" s="3626"/>
      <c r="J75" s="3626"/>
      <c r="K75" s="3626"/>
      <c r="L75" s="3626"/>
      <c r="M75" s="3627"/>
      <c r="N75" s="3610"/>
      <c r="O75" s="3610"/>
      <c r="P75" s="3611"/>
      <c r="Q75" s="3612"/>
      <c r="R75" s="3613"/>
      <c r="S75" s="3613"/>
      <c r="T75" s="3613"/>
      <c r="U75" s="3613"/>
      <c r="V75" s="3613"/>
      <c r="W75" s="3613"/>
      <c r="X75" s="3613"/>
      <c r="Y75" s="3613"/>
      <c r="Z75" s="3613"/>
      <c r="AA75" s="3613"/>
      <c r="AB75" s="3613"/>
      <c r="AC75" s="3613"/>
    </row>
    <row r="76" spans="1:29">
      <c r="A76" s="3575" t="s">
        <v>3522</v>
      </c>
      <c r="B76" s="3576" t="s">
        <v>3523</v>
      </c>
      <c r="C76" s="3628" t="s">
        <v>3524</v>
      </c>
      <c r="D76" s="3628" t="s">
        <v>3525</v>
      </c>
      <c r="E76" s="3628" t="s">
        <v>3526</v>
      </c>
      <c r="F76" s="3628" t="s">
        <v>3527</v>
      </c>
      <c r="G76" s="3628" t="s">
        <v>3528</v>
      </c>
      <c r="H76" s="3577"/>
      <c r="I76" s="3577"/>
      <c r="J76" s="3577"/>
      <c r="K76" s="3629"/>
      <c r="L76" s="3630"/>
      <c r="M76" s="3631"/>
      <c r="N76" s="3582"/>
      <c r="O76" s="3582"/>
      <c r="P76" s="3632"/>
      <c r="Q76" s="3548"/>
      <c r="R76" s="3515"/>
      <c r="S76" s="3515"/>
      <c r="T76" s="3515"/>
      <c r="U76" s="3515"/>
      <c r="V76" s="3515"/>
      <c r="W76" s="3515"/>
      <c r="X76" s="3515"/>
      <c r="Y76" s="3515"/>
      <c r="Z76" s="3515"/>
      <c r="AA76" s="3515"/>
      <c r="AB76" s="3515"/>
      <c r="AC76" s="3515"/>
    </row>
    <row r="77" spans="1:29" ht="15.75" thickBot="1">
      <c r="A77" s="3584"/>
      <c r="B77" s="3595"/>
      <c r="C77" s="3596">
        <v>100</v>
      </c>
      <c r="D77" s="3596">
        <f>C77-$K15</f>
        <v>98</v>
      </c>
      <c r="E77" s="3596">
        <f>D77-$K15</f>
        <v>96</v>
      </c>
      <c r="F77" s="3596">
        <f>E77-$K15</f>
        <v>94</v>
      </c>
      <c r="G77" s="3596">
        <f>F77-$K15</f>
        <v>92</v>
      </c>
      <c r="H77" s="3596"/>
      <c r="I77" s="3596"/>
      <c r="J77" s="3596"/>
      <c r="K77" s="3596"/>
      <c r="L77" s="3596"/>
      <c r="M77" s="3597"/>
      <c r="N77" s="3589"/>
      <c r="O77" s="3589"/>
      <c r="P77" s="3583"/>
      <c r="Q77" s="3548"/>
      <c r="R77" s="3515"/>
      <c r="S77" s="3515"/>
      <c r="T77" s="3515"/>
      <c r="U77" s="3515"/>
      <c r="V77" s="3515"/>
      <c r="W77" s="3515"/>
      <c r="X77" s="3515"/>
      <c r="Y77" s="3515"/>
      <c r="Z77" s="3515"/>
      <c r="AA77" s="3515"/>
      <c r="AB77" s="3515"/>
      <c r="AC77" s="3515"/>
    </row>
    <row r="78" spans="1:29" ht="15.75" thickTop="1">
      <c r="A78" s="3584"/>
      <c r="B78" s="3590" t="s">
        <v>3529</v>
      </c>
      <c r="C78" s="3633" t="s">
        <v>3524</v>
      </c>
      <c r="D78" s="3633" t="s">
        <v>3525</v>
      </c>
      <c r="E78" s="3633" t="s">
        <v>3526</v>
      </c>
      <c r="F78" s="3633" t="s">
        <v>3527</v>
      </c>
      <c r="G78" s="3633" t="s">
        <v>3528</v>
      </c>
      <c r="H78" s="3591"/>
      <c r="I78" s="3591"/>
      <c r="J78" s="3591"/>
      <c r="K78" s="3592"/>
      <c r="L78" s="3593"/>
      <c r="M78" s="3594"/>
      <c r="N78" s="3582"/>
      <c r="O78" s="3582"/>
      <c r="P78" s="3583"/>
      <c r="Q78" s="3548"/>
      <c r="R78" s="3515"/>
      <c r="S78" s="3515"/>
      <c r="T78" s="3515"/>
      <c r="U78" s="3515"/>
      <c r="V78" s="3515"/>
      <c r="W78" s="3515"/>
      <c r="X78" s="3515"/>
      <c r="Y78" s="3515"/>
      <c r="Z78" s="3515"/>
      <c r="AA78" s="3515"/>
      <c r="AB78" s="3515"/>
      <c r="AC78" s="3515"/>
    </row>
    <row r="79" spans="1:29" ht="15.75" thickBot="1">
      <c r="A79" s="3584"/>
      <c r="B79" s="3595"/>
      <c r="C79" s="3596">
        <v>100</v>
      </c>
      <c r="D79" s="3596">
        <f>C79-$K17</f>
        <v>98</v>
      </c>
      <c r="E79" s="3596">
        <f>D79-$K17</f>
        <v>96</v>
      </c>
      <c r="F79" s="3596">
        <f>E79-$K17</f>
        <v>94</v>
      </c>
      <c r="G79" s="3596">
        <f>F79-$K17</f>
        <v>92</v>
      </c>
      <c r="H79" s="3596"/>
      <c r="I79" s="3596"/>
      <c r="J79" s="3596"/>
      <c r="K79" s="3596"/>
      <c r="L79" s="3596"/>
      <c r="M79" s="3597"/>
      <c r="N79" s="3589"/>
      <c r="O79" s="3589"/>
      <c r="P79" s="3583"/>
      <c r="Q79" s="3548"/>
      <c r="R79" s="3515"/>
      <c r="S79" s="3515"/>
      <c r="T79" s="3515"/>
      <c r="U79" s="3515"/>
      <c r="V79" s="3515"/>
      <c r="W79" s="3515"/>
      <c r="X79" s="3515"/>
      <c r="Y79" s="3515"/>
      <c r="Z79" s="3515"/>
      <c r="AA79" s="3515"/>
      <c r="AB79" s="3515"/>
      <c r="AC79" s="3515"/>
    </row>
    <row r="80" spans="1:29" ht="15.75" thickTop="1">
      <c r="A80" s="3584"/>
      <c r="B80" s="3634" t="s">
        <v>3473</v>
      </c>
      <c r="C80" s="3633" t="s">
        <v>3524</v>
      </c>
      <c r="D80" s="3633" t="s">
        <v>3525</v>
      </c>
      <c r="E80" s="3633" t="s">
        <v>3526</v>
      </c>
      <c r="F80" s="3633" t="s">
        <v>3527</v>
      </c>
      <c r="G80" s="3633" t="s">
        <v>3528</v>
      </c>
      <c r="H80" s="3591"/>
      <c r="I80" s="3591"/>
      <c r="J80" s="3591"/>
      <c r="K80" s="3592"/>
      <c r="L80" s="3593"/>
      <c r="M80" s="3594"/>
      <c r="N80" s="3582"/>
      <c r="O80" s="3582"/>
      <c r="P80" s="3583"/>
      <c r="Q80" s="3548"/>
      <c r="R80" s="3515"/>
      <c r="S80" s="3515"/>
      <c r="T80" s="3515"/>
      <c r="U80" s="3515"/>
      <c r="V80" s="3515"/>
      <c r="W80" s="3515"/>
      <c r="X80" s="3515"/>
      <c r="Y80" s="3515"/>
      <c r="Z80" s="3515"/>
      <c r="AA80" s="3515"/>
      <c r="AB80" s="3515"/>
      <c r="AC80" s="3515"/>
    </row>
    <row r="81" spans="1:29" ht="15.75" thickBot="1">
      <c r="A81" s="3584"/>
      <c r="B81" s="3595"/>
      <c r="C81" s="3596">
        <v>100</v>
      </c>
      <c r="D81" s="3596">
        <f>C81-$K19</f>
        <v>98</v>
      </c>
      <c r="E81" s="3596">
        <f>D81-$K19</f>
        <v>96</v>
      </c>
      <c r="F81" s="3596">
        <f>E81-$K19</f>
        <v>94</v>
      </c>
      <c r="G81" s="3596">
        <f>F81-$K19</f>
        <v>92</v>
      </c>
      <c r="H81" s="3596"/>
      <c r="I81" s="3596"/>
      <c r="J81" s="3596"/>
      <c r="K81" s="3596"/>
      <c r="L81" s="3596"/>
      <c r="M81" s="3597"/>
      <c r="N81" s="3589"/>
      <c r="O81" s="3589"/>
      <c r="P81" s="3583"/>
      <c r="Q81" s="3548"/>
      <c r="R81" s="3515"/>
      <c r="S81" s="3515"/>
      <c r="T81" s="3515"/>
      <c r="U81" s="3515"/>
      <c r="V81" s="3515"/>
      <c r="W81" s="3515"/>
      <c r="X81" s="3515"/>
      <c r="Y81" s="3515"/>
      <c r="Z81" s="3515"/>
      <c r="AA81" s="3515"/>
      <c r="AB81" s="3515"/>
      <c r="AC81" s="3515"/>
    </row>
    <row r="82" spans="1:29" ht="15.75" thickTop="1">
      <c r="A82" s="3584"/>
      <c r="B82" s="3635" t="s">
        <v>3478</v>
      </c>
      <c r="C82" s="3636" t="s">
        <v>3530</v>
      </c>
      <c r="D82" s="3636" t="s">
        <v>3531</v>
      </c>
      <c r="E82" s="3636" t="s">
        <v>3532</v>
      </c>
      <c r="F82" s="3636" t="s">
        <v>3533</v>
      </c>
      <c r="G82" s="3636" t="s">
        <v>1980</v>
      </c>
      <c r="H82" s="3591"/>
      <c r="I82" s="3591"/>
      <c r="J82" s="3591"/>
      <c r="K82" s="3591"/>
      <c r="L82" s="3591"/>
      <c r="M82" s="3637"/>
      <c r="N82" s="3589"/>
      <c r="O82" s="3589"/>
      <c r="P82" s="3583"/>
      <c r="Q82" s="3548"/>
      <c r="R82" s="3515"/>
      <c r="S82" s="3515"/>
      <c r="T82" s="3515"/>
      <c r="U82" s="3515"/>
      <c r="V82" s="3515"/>
      <c r="W82" s="3515"/>
      <c r="X82" s="3515"/>
      <c r="Y82" s="3515"/>
      <c r="Z82" s="3515"/>
      <c r="AA82" s="3515"/>
      <c r="AB82" s="3515"/>
      <c r="AC82" s="3515"/>
    </row>
    <row r="83" spans="1:29" ht="15.75" thickBot="1">
      <c r="A83" s="3584"/>
      <c r="B83" s="3598"/>
      <c r="C83" s="3596">
        <v>100</v>
      </c>
      <c r="D83" s="3596">
        <f>C83-$K21</f>
        <v>99</v>
      </c>
      <c r="E83" s="3596">
        <f>D83-$K21</f>
        <v>98</v>
      </c>
      <c r="F83" s="3596">
        <f>E83-$K21</f>
        <v>97</v>
      </c>
      <c r="G83" s="3596">
        <f>F83-$K21</f>
        <v>96</v>
      </c>
      <c r="H83" s="3638"/>
      <c r="I83" s="3638"/>
      <c r="J83" s="3638"/>
      <c r="K83" s="3638"/>
      <c r="L83" s="3638"/>
      <c r="M83" s="3440"/>
      <c r="N83" s="3589"/>
      <c r="O83" s="3589"/>
      <c r="P83" s="3583"/>
      <c r="Q83" s="3548"/>
      <c r="R83" s="3515"/>
      <c r="S83" s="3515"/>
      <c r="T83" s="3515"/>
      <c r="U83" s="3515"/>
      <c r="V83" s="3515"/>
      <c r="W83" s="3515"/>
      <c r="X83" s="3515"/>
      <c r="Y83" s="3515"/>
      <c r="Z83" s="3515"/>
      <c r="AA83" s="3515"/>
      <c r="AB83" s="3515"/>
      <c r="AC83" s="3515"/>
    </row>
    <row r="84" spans="1:29" ht="15.75" thickTop="1">
      <c r="A84" s="3584"/>
      <c r="B84" s="3590" t="s">
        <v>3534</v>
      </c>
      <c r="C84" s="3633" t="s">
        <v>3535</v>
      </c>
      <c r="D84" s="3633" t="s">
        <v>3536</v>
      </c>
      <c r="E84" s="3633" t="s">
        <v>3537</v>
      </c>
      <c r="F84" s="3633" t="s">
        <v>3538</v>
      </c>
      <c r="G84" s="3633" t="s">
        <v>3539</v>
      </c>
      <c r="H84" s="3591"/>
      <c r="I84" s="3591"/>
      <c r="J84" s="3591"/>
      <c r="K84" s="3592"/>
      <c r="L84" s="3593"/>
      <c r="M84" s="3594"/>
      <c r="N84" s="3582"/>
      <c r="O84" s="3582"/>
      <c r="P84" s="3583"/>
      <c r="Q84" s="3548"/>
      <c r="R84" s="3515"/>
      <c r="S84" s="3515"/>
      <c r="T84" s="3515"/>
      <c r="U84" s="3515"/>
      <c r="V84" s="3515"/>
      <c r="W84" s="3515"/>
      <c r="X84" s="3515"/>
      <c r="Y84" s="3515"/>
      <c r="Z84" s="3515"/>
      <c r="AA84" s="3515"/>
      <c r="AB84" s="3515"/>
      <c r="AC84" s="3515"/>
    </row>
    <row r="85" spans="1:29" ht="15.75" thickBot="1">
      <c r="A85" s="3584"/>
      <c r="B85" s="3595"/>
      <c r="C85" s="3596">
        <v>100</v>
      </c>
      <c r="D85" s="3596">
        <f>C85-$K23</f>
        <v>98</v>
      </c>
      <c r="E85" s="3596">
        <f>D85-$K23</f>
        <v>96</v>
      </c>
      <c r="F85" s="3596">
        <f>E85-$K23</f>
        <v>94</v>
      </c>
      <c r="G85" s="3596">
        <f>F85-$K23</f>
        <v>92</v>
      </c>
      <c r="H85" s="3596"/>
      <c r="I85" s="3596"/>
      <c r="J85" s="3596"/>
      <c r="K85" s="3596"/>
      <c r="L85" s="3596"/>
      <c r="M85" s="3597"/>
      <c r="N85" s="3589"/>
      <c r="O85" s="3589"/>
      <c r="P85" s="3583"/>
      <c r="Q85" s="3548"/>
      <c r="R85" s="3515"/>
      <c r="S85" s="3515"/>
      <c r="T85" s="3515"/>
      <c r="U85" s="3515"/>
      <c r="V85" s="3515"/>
      <c r="W85" s="3515"/>
      <c r="X85" s="3515"/>
      <c r="Y85" s="3515"/>
      <c r="Z85" s="3515"/>
      <c r="AA85" s="3515"/>
      <c r="AB85" s="3515"/>
      <c r="AC85" s="3515"/>
    </row>
    <row r="86" spans="1:29" s="3376" customFormat="1" ht="15.75" thickTop="1">
      <c r="A86" s="3639"/>
      <c r="B86" s="3634" t="s">
        <v>3540</v>
      </c>
      <c r="C86" s="3606">
        <v>1</v>
      </c>
      <c r="D86" s="3606"/>
      <c r="E86" s="3606"/>
      <c r="F86" s="3606"/>
      <c r="G86" s="3606"/>
      <c r="H86" s="3606"/>
      <c r="I86" s="3606"/>
      <c r="J86" s="3606"/>
      <c r="K86" s="3606"/>
      <c r="L86" s="3640"/>
      <c r="M86" s="3641"/>
      <c r="N86" s="3571"/>
      <c r="O86" s="3571"/>
      <c r="P86" s="3583"/>
      <c r="Q86" s="3548"/>
      <c r="R86" s="3559"/>
      <c r="S86" s="3559"/>
      <c r="T86" s="3559"/>
      <c r="U86" s="3559"/>
      <c r="V86" s="3559"/>
      <c r="W86" s="3559"/>
      <c r="X86" s="3559"/>
      <c r="Y86" s="3559"/>
      <c r="Z86" s="3559"/>
      <c r="AA86" s="3559"/>
      <c r="AB86" s="3559"/>
      <c r="AC86" s="3559"/>
    </row>
    <row r="87" spans="1:29" s="3376" customFormat="1" ht="15.75" thickBot="1">
      <c r="A87" s="3639"/>
      <c r="B87" s="3595"/>
      <c r="C87" s="3642">
        <v>100</v>
      </c>
      <c r="D87" s="3596">
        <f>$C$87-($C$86-D86)*$K$25</f>
        <v>100</v>
      </c>
      <c r="E87" s="3596">
        <f t="shared" ref="E87:M87" si="20">$C$87-($C$86-E86)*$K$25</f>
        <v>100</v>
      </c>
      <c r="F87" s="3596">
        <f t="shared" si="20"/>
        <v>100</v>
      </c>
      <c r="G87" s="3596">
        <f t="shared" si="20"/>
        <v>100</v>
      </c>
      <c r="H87" s="3596">
        <f t="shared" si="20"/>
        <v>100</v>
      </c>
      <c r="I87" s="3596">
        <f t="shared" si="20"/>
        <v>100</v>
      </c>
      <c r="J87" s="3596">
        <f t="shared" si="20"/>
        <v>100</v>
      </c>
      <c r="K87" s="3596">
        <f t="shared" si="20"/>
        <v>100</v>
      </c>
      <c r="L87" s="3596">
        <f t="shared" si="20"/>
        <v>100</v>
      </c>
      <c r="M87" s="3596">
        <f t="shared" si="20"/>
        <v>100</v>
      </c>
      <c r="N87" s="3589"/>
      <c r="O87" s="3589"/>
      <c r="P87" s="3583"/>
      <c r="Q87" s="3548"/>
      <c r="R87" s="3559"/>
      <c r="S87" s="3559"/>
      <c r="T87" s="3559"/>
      <c r="U87" s="3559"/>
      <c r="V87" s="3559"/>
      <c r="W87" s="3559"/>
      <c r="X87" s="3559"/>
      <c r="Y87" s="3559"/>
      <c r="Z87" s="3559"/>
      <c r="AA87" s="3559"/>
      <c r="AB87" s="3559"/>
      <c r="AC87" s="3559"/>
    </row>
    <row r="88" spans="1:29" s="3376" customFormat="1" ht="15.75" thickTop="1">
      <c r="A88" s="3639"/>
      <c r="B88" s="3590" t="s">
        <v>3541</v>
      </c>
      <c r="C88" s="3606"/>
      <c r="D88" s="3606"/>
      <c r="E88" s="3606"/>
      <c r="F88" s="3643"/>
      <c r="G88" s="3606"/>
      <c r="H88" s="3606"/>
      <c r="I88" s="3606"/>
      <c r="J88" s="3606"/>
      <c r="K88" s="3606"/>
      <c r="L88" s="3606"/>
      <c r="M88" s="3641"/>
      <c r="N88" s="3571"/>
      <c r="O88" s="3571"/>
      <c r="P88" s="3583"/>
      <c r="Q88" s="3548"/>
      <c r="R88" s="3559"/>
      <c r="S88" s="3559"/>
      <c r="T88" s="3559"/>
      <c r="U88" s="3559"/>
      <c r="V88" s="3559"/>
      <c r="W88" s="3559"/>
      <c r="X88" s="3559"/>
      <c r="Y88" s="3559"/>
      <c r="Z88" s="3559"/>
      <c r="AA88" s="3559"/>
      <c r="AB88" s="3559"/>
      <c r="AC88" s="3559"/>
    </row>
    <row r="89" spans="1:29" s="3376" customFormat="1" ht="15.75" thickBot="1">
      <c r="A89" s="3639"/>
      <c r="B89" s="3595"/>
      <c r="C89" s="3642">
        <v>100</v>
      </c>
      <c r="D89" s="3596">
        <f t="shared" ref="D89:M89" si="21">C89-$K26</f>
        <v>100</v>
      </c>
      <c r="E89" s="3596">
        <f t="shared" si="21"/>
        <v>100</v>
      </c>
      <c r="F89" s="3596">
        <f t="shared" si="21"/>
        <v>100</v>
      </c>
      <c r="G89" s="3596">
        <f t="shared" si="21"/>
        <v>100</v>
      </c>
      <c r="H89" s="3596">
        <f t="shared" si="21"/>
        <v>100</v>
      </c>
      <c r="I89" s="3596">
        <f t="shared" si="21"/>
        <v>100</v>
      </c>
      <c r="J89" s="3596">
        <f t="shared" si="21"/>
        <v>100</v>
      </c>
      <c r="K89" s="3596">
        <f t="shared" si="21"/>
        <v>100</v>
      </c>
      <c r="L89" s="3596">
        <f t="shared" si="21"/>
        <v>100</v>
      </c>
      <c r="M89" s="3596">
        <f t="shared" si="21"/>
        <v>100</v>
      </c>
      <c r="N89" s="3589"/>
      <c r="O89" s="3589"/>
      <c r="P89" s="3583"/>
      <c r="Q89" s="3548"/>
      <c r="R89" s="3559"/>
      <c r="S89" s="3559"/>
      <c r="T89" s="3559"/>
      <c r="U89" s="3559"/>
      <c r="V89" s="3559"/>
      <c r="W89" s="3559"/>
      <c r="X89" s="3559"/>
      <c r="Y89" s="3559"/>
      <c r="Z89" s="3559"/>
      <c r="AA89" s="3559"/>
      <c r="AB89" s="3559"/>
      <c r="AC89" s="3559"/>
    </row>
    <row r="90" spans="1:29" s="3493" customFormat="1" ht="15.75" thickTop="1">
      <c r="A90" s="3605"/>
      <c r="B90" s="3590" t="str">
        <f>B27</f>
        <v>道路级别</v>
      </c>
      <c r="C90" s="3644" t="s">
        <v>3542</v>
      </c>
      <c r="D90" s="3644" t="s">
        <v>3543</v>
      </c>
      <c r="E90" s="3644" t="s">
        <v>3544</v>
      </c>
      <c r="F90" s="3644" t="s">
        <v>3545</v>
      </c>
      <c r="G90" s="3644" t="s">
        <v>3546</v>
      </c>
      <c r="H90" s="3607"/>
      <c r="I90" s="3607"/>
      <c r="J90" s="3607"/>
      <c r="K90" s="3607"/>
      <c r="L90" s="3608"/>
      <c r="M90" s="3609"/>
      <c r="N90" s="3610"/>
      <c r="O90" s="3610"/>
      <c r="P90" s="3611"/>
      <c r="Q90" s="3612"/>
      <c r="R90" s="3613"/>
      <c r="S90" s="3613"/>
      <c r="T90" s="3613"/>
      <c r="U90" s="3613"/>
      <c r="V90" s="3613"/>
      <c r="W90" s="3613"/>
      <c r="X90" s="3613"/>
      <c r="Y90" s="3613"/>
      <c r="Z90" s="3613"/>
      <c r="AA90" s="3613"/>
      <c r="AB90" s="3613"/>
      <c r="AC90" s="3613"/>
    </row>
    <row r="91" spans="1:29" s="3493" customFormat="1" ht="15.75" thickBot="1">
      <c r="A91" s="3605"/>
      <c r="B91" s="3595"/>
      <c r="C91" s="3614">
        <v>100</v>
      </c>
      <c r="D91" s="3614">
        <v>99</v>
      </c>
      <c r="E91" s="3614">
        <v>98</v>
      </c>
      <c r="F91" s="3614">
        <v>97</v>
      </c>
      <c r="G91" s="3614">
        <v>96</v>
      </c>
      <c r="H91" s="3617"/>
      <c r="I91" s="3617"/>
      <c r="J91" s="3617"/>
      <c r="K91" s="3617"/>
      <c r="L91" s="3617"/>
      <c r="M91" s="3618"/>
      <c r="N91" s="3610"/>
      <c r="O91" s="3610"/>
      <c r="P91" s="3611"/>
      <c r="Q91" s="3612"/>
      <c r="R91" s="3613"/>
      <c r="S91" s="3613"/>
      <c r="T91" s="3613"/>
      <c r="U91" s="3613"/>
      <c r="V91" s="3613"/>
      <c r="W91" s="3613"/>
      <c r="X91" s="3613"/>
      <c r="Y91" s="3613"/>
      <c r="Z91" s="3613"/>
      <c r="AA91" s="3613"/>
      <c r="AB91" s="3613"/>
      <c r="AC91" s="3613"/>
    </row>
    <row r="92" spans="1:29" ht="15.75" thickTop="1">
      <c r="A92" s="3584"/>
      <c r="B92" s="3590">
        <f>B28</f>
        <v>111</v>
      </c>
      <c r="C92" s="3606"/>
      <c r="D92" s="3606"/>
      <c r="E92" s="3606"/>
      <c r="F92" s="3606"/>
      <c r="G92" s="3645"/>
      <c r="H92" s="3645"/>
      <c r="I92" s="3645"/>
      <c r="J92" s="3645"/>
      <c r="K92" s="3646"/>
      <c r="L92" s="3647"/>
      <c r="M92" s="3648"/>
      <c r="N92" s="3582"/>
      <c r="O92" s="3582"/>
      <c r="P92" s="3583"/>
      <c r="Q92" s="3548"/>
      <c r="R92" s="3515"/>
      <c r="S92" s="3515"/>
      <c r="T92" s="3515"/>
      <c r="U92" s="3515"/>
      <c r="V92" s="3515"/>
      <c r="W92" s="3515"/>
      <c r="X92" s="3515"/>
      <c r="Y92" s="3515"/>
      <c r="Z92" s="3515"/>
      <c r="AA92" s="3515"/>
      <c r="AB92" s="3515"/>
      <c r="AC92" s="3515"/>
    </row>
    <row r="93" spans="1:29" ht="15.75" thickBot="1">
      <c r="A93" s="3584"/>
      <c r="B93" s="3595"/>
      <c r="C93" s="3614"/>
      <c r="D93" s="3586"/>
      <c r="E93" s="3586"/>
      <c r="F93" s="3586"/>
      <c r="G93" s="3586"/>
      <c r="H93" s="3586"/>
      <c r="I93" s="3586"/>
      <c r="J93" s="3586"/>
      <c r="K93" s="3586"/>
      <c r="L93" s="3586"/>
      <c r="M93" s="3615"/>
      <c r="N93" s="3589"/>
      <c r="O93" s="3589"/>
      <c r="P93" s="3583"/>
      <c r="Q93" s="3548"/>
      <c r="R93" s="3515"/>
      <c r="S93" s="3515"/>
      <c r="T93" s="3515"/>
      <c r="U93" s="3515"/>
      <c r="V93" s="3515"/>
      <c r="W93" s="3515"/>
      <c r="X93" s="3515"/>
      <c r="Y93" s="3515"/>
      <c r="Z93" s="3515"/>
      <c r="AA93" s="3515"/>
      <c r="AB93" s="3515"/>
      <c r="AC93" s="3515"/>
    </row>
    <row r="94" spans="1:29" ht="15.75" thickTop="1">
      <c r="A94" s="3584"/>
      <c r="B94" s="3590">
        <f>B29</f>
        <v>111</v>
      </c>
      <c r="C94" s="3606"/>
      <c r="D94" s="3606"/>
      <c r="E94" s="3606"/>
      <c r="F94" s="3606"/>
      <c r="G94" s="3645"/>
      <c r="H94" s="3645"/>
      <c r="I94" s="3645"/>
      <c r="J94" s="3645"/>
      <c r="K94" s="3646"/>
      <c r="L94" s="3647"/>
      <c r="M94" s="3648"/>
      <c r="N94" s="3582"/>
      <c r="O94" s="3582"/>
      <c r="P94" s="3583"/>
      <c r="Q94" s="3548"/>
      <c r="R94" s="3515"/>
      <c r="S94" s="3515"/>
      <c r="T94" s="3515"/>
      <c r="U94" s="3515"/>
      <c r="V94" s="3515"/>
      <c r="W94" s="3515"/>
      <c r="X94" s="3515"/>
      <c r="Y94" s="3515"/>
      <c r="Z94" s="3515"/>
      <c r="AA94" s="3515"/>
      <c r="AB94" s="3515"/>
      <c r="AC94" s="3515"/>
    </row>
    <row r="95" spans="1:29" ht="15.75" thickBot="1">
      <c r="A95" s="3584"/>
      <c r="B95" s="3595"/>
      <c r="C95" s="3614"/>
      <c r="D95" s="3614"/>
      <c r="E95" s="3614"/>
      <c r="F95" s="3614"/>
      <c r="G95" s="3586"/>
      <c r="H95" s="3586"/>
      <c r="I95" s="3586"/>
      <c r="J95" s="3586"/>
      <c r="K95" s="3586"/>
      <c r="L95" s="3586"/>
      <c r="M95" s="3615"/>
      <c r="N95" s="3589"/>
      <c r="O95" s="3589"/>
      <c r="P95" s="3583"/>
      <c r="Q95" s="3548"/>
      <c r="R95" s="3515"/>
      <c r="S95" s="3515"/>
      <c r="T95" s="3515"/>
      <c r="U95" s="3515"/>
      <c r="V95" s="3515"/>
      <c r="W95" s="3515"/>
      <c r="X95" s="3515"/>
      <c r="Y95" s="3515"/>
      <c r="Z95" s="3515"/>
      <c r="AA95" s="3515"/>
      <c r="AB95" s="3515"/>
      <c r="AC95" s="3515"/>
    </row>
    <row r="96" spans="1:29" ht="15.75" thickTop="1">
      <c r="A96" s="3584"/>
      <c r="B96" s="3590">
        <f>B30</f>
        <v>111</v>
      </c>
      <c r="C96" s="3606"/>
      <c r="D96" s="3606"/>
      <c r="E96" s="3606"/>
      <c r="F96" s="3606"/>
      <c r="G96" s="3645"/>
      <c r="H96" s="3645"/>
      <c r="I96" s="3645"/>
      <c r="J96" s="3645"/>
      <c r="K96" s="3646"/>
      <c r="L96" s="3647"/>
      <c r="M96" s="3648"/>
      <c r="N96" s="3582"/>
      <c r="O96" s="3582"/>
      <c r="P96" s="3583"/>
      <c r="Q96" s="3548"/>
      <c r="R96" s="3515"/>
      <c r="S96" s="3515"/>
      <c r="T96" s="3515"/>
      <c r="U96" s="3515"/>
      <c r="V96" s="3515"/>
      <c r="W96" s="3515"/>
      <c r="X96" s="3515"/>
      <c r="Y96" s="3515"/>
      <c r="Z96" s="3515"/>
      <c r="AA96" s="3515"/>
      <c r="AB96" s="3515"/>
      <c r="AC96" s="3515"/>
    </row>
    <row r="97" spans="1:29" ht="15.75" thickBot="1">
      <c r="A97" s="3584"/>
      <c r="B97" s="3595"/>
      <c r="C97" s="3625"/>
      <c r="D97" s="3625"/>
      <c r="E97" s="3625"/>
      <c r="F97" s="3625"/>
      <c r="G97" s="3586"/>
      <c r="H97" s="3586"/>
      <c r="I97" s="3586"/>
      <c r="J97" s="3586"/>
      <c r="K97" s="3586"/>
      <c r="L97" s="3586"/>
      <c r="M97" s="3615"/>
      <c r="N97" s="3589"/>
      <c r="O97" s="3589"/>
      <c r="P97" s="3583"/>
      <c r="Q97" s="3548"/>
      <c r="R97" s="3515"/>
      <c r="S97" s="3515"/>
      <c r="T97" s="3515"/>
      <c r="U97" s="3515"/>
      <c r="V97" s="3515"/>
      <c r="W97" s="3515"/>
      <c r="X97" s="3515"/>
      <c r="Y97" s="3515"/>
      <c r="Z97" s="3515"/>
      <c r="AA97" s="3515"/>
      <c r="AB97" s="3515"/>
      <c r="AC97" s="3515"/>
    </row>
    <row r="98" spans="1:29" ht="15.75" thickTop="1">
      <c r="A98" s="3584"/>
      <c r="B98" s="3598">
        <f>B31</f>
        <v>111</v>
      </c>
      <c r="C98" s="3649"/>
      <c r="D98" s="3649"/>
      <c r="E98" s="3649"/>
      <c r="F98" s="3649"/>
      <c r="G98" s="3649"/>
      <c r="H98" s="3649"/>
      <c r="I98" s="3649"/>
      <c r="J98" s="3649"/>
      <c r="K98" s="3650"/>
      <c r="L98" s="3651"/>
      <c r="M98" s="3652"/>
      <c r="N98" s="3582"/>
      <c r="O98" s="3582"/>
      <c r="P98" s="3583"/>
      <c r="Q98" s="3548"/>
      <c r="R98" s="3515"/>
      <c r="S98" s="3515"/>
      <c r="T98" s="3515"/>
      <c r="U98" s="3515"/>
      <c r="V98" s="3515"/>
      <c r="W98" s="3515"/>
      <c r="X98" s="3515"/>
      <c r="Y98" s="3515"/>
      <c r="Z98" s="3515"/>
      <c r="AA98" s="3515"/>
      <c r="AB98" s="3515"/>
      <c r="AC98" s="3515"/>
    </row>
    <row r="99" spans="1:29" ht="15.75" thickBot="1">
      <c r="A99" s="3653"/>
      <c r="B99" s="3624"/>
      <c r="C99" s="3654"/>
      <c r="D99" s="3654"/>
      <c r="E99" s="3654"/>
      <c r="F99" s="3654"/>
      <c r="G99" s="3654"/>
      <c r="H99" s="3654"/>
      <c r="I99" s="3654"/>
      <c r="J99" s="3654"/>
      <c r="K99" s="3654"/>
      <c r="L99" s="3654"/>
      <c r="M99" s="3655"/>
      <c r="N99" s="3589"/>
      <c r="O99" s="3589"/>
      <c r="P99" s="3583"/>
      <c r="Q99" s="3548"/>
      <c r="R99" s="3515"/>
      <c r="S99" s="3515"/>
      <c r="T99" s="3515"/>
      <c r="U99" s="3515"/>
      <c r="V99" s="3515"/>
      <c r="W99" s="3515"/>
      <c r="X99" s="3515"/>
      <c r="Y99" s="3515"/>
      <c r="Z99" s="3515"/>
      <c r="AA99" s="3515"/>
      <c r="AB99" s="3515"/>
      <c r="AC99" s="3515"/>
    </row>
    <row r="100" spans="1:29">
      <c r="A100" s="3575" t="s">
        <v>3547</v>
      </c>
      <c r="B100" s="3576" t="s">
        <v>3548</v>
      </c>
      <c r="C100" s="3656" t="s">
        <v>3549</v>
      </c>
      <c r="D100" s="3656" t="s">
        <v>3550</v>
      </c>
      <c r="E100" s="3656" t="s">
        <v>3551</v>
      </c>
      <c r="F100" s="3656"/>
      <c r="G100" s="3578"/>
      <c r="H100" s="3578"/>
      <c r="I100" s="3578"/>
      <c r="J100" s="3578"/>
      <c r="K100" s="3579"/>
      <c r="L100" s="3580"/>
      <c r="M100" s="3581"/>
      <c r="N100" s="3582"/>
      <c r="O100" s="3582"/>
      <c r="P100" s="3583"/>
      <c r="Q100" s="3548"/>
      <c r="R100" s="3515"/>
      <c r="S100" s="3515"/>
      <c r="T100" s="3515"/>
      <c r="U100" s="3515"/>
      <c r="V100" s="3515"/>
      <c r="W100" s="3515"/>
      <c r="X100" s="3515"/>
      <c r="Y100" s="3515"/>
      <c r="Z100" s="3515"/>
      <c r="AA100" s="3515"/>
      <c r="AB100" s="3515"/>
      <c r="AC100" s="3515"/>
    </row>
    <row r="101" spans="1:29" ht="15.75" thickBot="1">
      <c r="A101" s="3584"/>
      <c r="B101" s="3595"/>
      <c r="C101" s="3596">
        <v>100</v>
      </c>
      <c r="D101" s="3596">
        <f t="shared" ref="D101:M101" si="22">C101-$K32</f>
        <v>95</v>
      </c>
      <c r="E101" s="3596">
        <f t="shared" si="22"/>
        <v>90</v>
      </c>
      <c r="F101" s="3596">
        <f t="shared" si="22"/>
        <v>85</v>
      </c>
      <c r="G101" s="3596">
        <f t="shared" si="22"/>
        <v>80</v>
      </c>
      <c r="H101" s="3596">
        <f t="shared" si="22"/>
        <v>75</v>
      </c>
      <c r="I101" s="3596">
        <f t="shared" si="22"/>
        <v>70</v>
      </c>
      <c r="J101" s="3596">
        <f t="shared" si="22"/>
        <v>65</v>
      </c>
      <c r="K101" s="3596">
        <f t="shared" si="22"/>
        <v>60</v>
      </c>
      <c r="L101" s="3596">
        <f t="shared" si="22"/>
        <v>55</v>
      </c>
      <c r="M101" s="3596">
        <f t="shared" si="22"/>
        <v>50</v>
      </c>
      <c r="N101" s="3589"/>
      <c r="O101" s="3589"/>
      <c r="P101" s="3583"/>
      <c r="Q101" s="3548"/>
      <c r="R101" s="3515"/>
      <c r="S101" s="3515"/>
      <c r="T101" s="3515"/>
      <c r="U101" s="3515"/>
      <c r="V101" s="3515"/>
      <c r="W101" s="3515"/>
      <c r="X101" s="3515"/>
      <c r="Y101" s="3515"/>
      <c r="Z101" s="3515"/>
      <c r="AA101" s="3515"/>
      <c r="AB101" s="3515"/>
      <c r="AC101" s="3515"/>
    </row>
    <row r="102" spans="1:29" ht="15.75" thickTop="1">
      <c r="A102" s="3584"/>
      <c r="B102" s="3590" t="s">
        <v>3552</v>
      </c>
      <c r="C102" s="3633" t="str">
        <f>C103&amp;"(含)"&amp;"-"&amp;D103</f>
        <v>1(含)-1</v>
      </c>
      <c r="D102" s="3633" t="str">
        <f t="shared" ref="D102:L102" si="23">D103&amp;"(含)"&amp;"-"&amp;E103</f>
        <v>1(含)-1</v>
      </c>
      <c r="E102" s="3633" t="str">
        <f t="shared" si="23"/>
        <v>1(含)-</v>
      </c>
      <c r="F102" s="3633" t="str">
        <f t="shared" si="23"/>
        <v>(含)-</v>
      </c>
      <c r="G102" s="3633" t="str">
        <f t="shared" si="23"/>
        <v>(含)-</v>
      </c>
      <c r="H102" s="3633" t="str">
        <f t="shared" si="23"/>
        <v>(含)-</v>
      </c>
      <c r="I102" s="3633" t="str">
        <f t="shared" si="23"/>
        <v>(含)-</v>
      </c>
      <c r="J102" s="3633" t="str">
        <f t="shared" si="23"/>
        <v>(含)-</v>
      </c>
      <c r="K102" s="3633" t="str">
        <f t="shared" si="23"/>
        <v>(含)-</v>
      </c>
      <c r="L102" s="3633" t="str">
        <f t="shared" si="23"/>
        <v>(含)-</v>
      </c>
      <c r="M102" s="3633" t="str">
        <f>M103&amp;"(含)"&amp;"-"&amp;P103</f>
        <v>(含)-</v>
      </c>
      <c r="N102" s="3571"/>
      <c r="O102" s="3571"/>
      <c r="P102" s="3583"/>
      <c r="Q102" s="3548"/>
      <c r="R102" s="3515"/>
      <c r="S102" s="3515"/>
      <c r="T102" s="3515"/>
      <c r="U102" s="3515"/>
      <c r="V102" s="3515"/>
      <c r="W102" s="3515"/>
      <c r="X102" s="3515"/>
      <c r="Y102" s="3515"/>
      <c r="Z102" s="3515"/>
      <c r="AA102" s="3515"/>
      <c r="AB102" s="3515"/>
      <c r="AC102" s="3515"/>
    </row>
    <row r="103" spans="1:29" s="3493" customFormat="1">
      <c r="A103" s="3657"/>
      <c r="B103" s="3658"/>
      <c r="C103" s="3659">
        <v>1</v>
      </c>
      <c r="D103" s="3659">
        <v>1</v>
      </c>
      <c r="E103" s="3659">
        <v>1</v>
      </c>
      <c r="F103" s="3660"/>
      <c r="G103" s="3660"/>
      <c r="H103" s="3660"/>
      <c r="I103" s="3660"/>
      <c r="J103" s="3661"/>
      <c r="K103" s="3661"/>
      <c r="L103" s="3662"/>
      <c r="M103" s="3663"/>
      <c r="N103" s="3610"/>
      <c r="O103" s="3610"/>
      <c r="P103" s="3611"/>
      <c r="Q103" s="3612"/>
      <c r="R103" s="3613"/>
      <c r="S103" s="3613"/>
      <c r="T103" s="3613"/>
      <c r="U103" s="3613"/>
      <c r="V103" s="3613"/>
      <c r="W103" s="3613"/>
      <c r="X103" s="3613"/>
      <c r="Y103" s="3613"/>
      <c r="Z103" s="3613"/>
      <c r="AA103" s="3613"/>
      <c r="AB103" s="3613"/>
      <c r="AC103" s="3613"/>
    </row>
    <row r="104" spans="1:29" s="3493" customFormat="1" ht="15.75" thickBot="1">
      <c r="A104" s="3605"/>
      <c r="B104" s="3595"/>
      <c r="C104" s="3614">
        <v>100</v>
      </c>
      <c r="D104" s="3586">
        <v>97</v>
      </c>
      <c r="E104" s="3586">
        <v>94</v>
      </c>
      <c r="F104" s="3586"/>
      <c r="G104" s="3586"/>
      <c r="H104" s="3586"/>
      <c r="I104" s="3586"/>
      <c r="J104" s="3586"/>
      <c r="K104" s="3586"/>
      <c r="L104" s="3586"/>
      <c r="M104" s="3586"/>
      <c r="N104" s="3589"/>
      <c r="O104" s="3589"/>
      <c r="P104" s="3611"/>
      <c r="Q104" s="3612"/>
      <c r="R104" s="3613"/>
      <c r="S104" s="3613"/>
      <c r="T104" s="3613"/>
      <c r="U104" s="3613"/>
      <c r="V104" s="3613"/>
      <c r="W104" s="3613"/>
      <c r="X104" s="3613"/>
      <c r="Y104" s="3613"/>
      <c r="Z104" s="3613"/>
      <c r="AA104" s="3613"/>
      <c r="AB104" s="3613"/>
      <c r="AC104" s="3613"/>
    </row>
    <row r="105" spans="1:29" ht="15" thickTop="1">
      <c r="A105" s="3664"/>
      <c r="B105" s="3590" t="s">
        <v>3553</v>
      </c>
      <c r="C105" s="3644" t="s">
        <v>3554</v>
      </c>
      <c r="D105" s="3606"/>
      <c r="E105" s="3645"/>
      <c r="F105" s="3645"/>
      <c r="G105" s="3645"/>
      <c r="H105" s="3645"/>
      <c r="I105" s="3645"/>
      <c r="J105" s="3645"/>
      <c r="K105" s="3646"/>
      <c r="L105" s="3647"/>
      <c r="M105" s="3648"/>
      <c r="N105" s="3582"/>
      <c r="O105" s="3582"/>
      <c r="P105" s="3583"/>
      <c r="Q105" s="3548"/>
      <c r="R105" s="3515"/>
      <c r="S105" s="3515"/>
      <c r="T105" s="3515"/>
      <c r="U105" s="3515"/>
      <c r="V105" s="3515"/>
      <c r="W105" s="3515"/>
      <c r="X105" s="3515"/>
      <c r="Y105" s="3515"/>
      <c r="Z105" s="3515"/>
      <c r="AA105" s="3515"/>
      <c r="AB105" s="3515"/>
      <c r="AC105" s="3515"/>
    </row>
    <row r="106" spans="1:29" ht="15.75" thickBot="1">
      <c r="A106" s="3584"/>
      <c r="B106" s="3595"/>
      <c r="C106" s="3596">
        <v>100</v>
      </c>
      <c r="D106" s="3596">
        <f t="shared" ref="D106:M106" si="24">C106-$K34</f>
        <v>98</v>
      </c>
      <c r="E106" s="3596">
        <f t="shared" si="24"/>
        <v>96</v>
      </c>
      <c r="F106" s="3596">
        <f t="shared" si="24"/>
        <v>94</v>
      </c>
      <c r="G106" s="3596">
        <f t="shared" si="24"/>
        <v>92</v>
      </c>
      <c r="H106" s="3596">
        <f t="shared" si="24"/>
        <v>90</v>
      </c>
      <c r="I106" s="3596">
        <f t="shared" si="24"/>
        <v>88</v>
      </c>
      <c r="J106" s="3596">
        <f t="shared" si="24"/>
        <v>86</v>
      </c>
      <c r="K106" s="3596">
        <f t="shared" si="24"/>
        <v>84</v>
      </c>
      <c r="L106" s="3596">
        <f t="shared" si="24"/>
        <v>82</v>
      </c>
      <c r="M106" s="3596">
        <f t="shared" si="24"/>
        <v>80</v>
      </c>
      <c r="N106" s="3589"/>
      <c r="O106" s="3589"/>
      <c r="P106" s="3583"/>
      <c r="Q106" s="3548"/>
      <c r="R106" s="3515"/>
      <c r="S106" s="3515"/>
      <c r="T106" s="3515"/>
      <c r="U106" s="3515"/>
      <c r="V106" s="3515"/>
      <c r="W106" s="3515"/>
      <c r="X106" s="3515"/>
      <c r="Y106" s="3515"/>
      <c r="Z106" s="3515"/>
      <c r="AA106" s="3515"/>
      <c r="AB106" s="3515"/>
      <c r="AC106" s="3515"/>
    </row>
    <row r="107" spans="1:29" ht="15" thickTop="1">
      <c r="A107" s="3664"/>
      <c r="B107" s="3590" t="s">
        <v>3555</v>
      </c>
      <c r="C107" s="3665" t="s">
        <v>3556</v>
      </c>
      <c r="D107" s="3665" t="s">
        <v>3557</v>
      </c>
      <c r="E107" s="3665" t="s">
        <v>3558</v>
      </c>
      <c r="F107" s="3645"/>
      <c r="G107" s="3645"/>
      <c r="H107" s="3645"/>
      <c r="I107" s="3645"/>
      <c r="J107" s="3645"/>
      <c r="K107" s="3646"/>
      <c r="L107" s="3647"/>
      <c r="M107" s="3648"/>
      <c r="N107" s="3582"/>
      <c r="O107" s="3582"/>
      <c r="P107" s="3583"/>
      <c r="Q107" s="3548"/>
      <c r="R107" s="3515"/>
      <c r="S107" s="3515"/>
      <c r="T107" s="3515"/>
      <c r="U107" s="3515"/>
      <c r="V107" s="3515"/>
      <c r="W107" s="3515"/>
      <c r="X107" s="3515"/>
      <c r="Y107" s="3515"/>
      <c r="Z107" s="3515"/>
      <c r="AA107" s="3515"/>
      <c r="AB107" s="3515"/>
      <c r="AC107" s="3515"/>
    </row>
    <row r="108" spans="1:29" ht="15.75" thickBot="1">
      <c r="A108" s="3584"/>
      <c r="B108" s="3595"/>
      <c r="C108" s="3596">
        <v>100</v>
      </c>
      <c r="D108" s="3596">
        <f t="shared" ref="D108:M108" si="25">C108-$K35</f>
        <v>95</v>
      </c>
      <c r="E108" s="3596">
        <f t="shared" si="25"/>
        <v>90</v>
      </c>
      <c r="F108" s="3596">
        <f t="shared" si="25"/>
        <v>85</v>
      </c>
      <c r="G108" s="3596">
        <f t="shared" si="25"/>
        <v>80</v>
      </c>
      <c r="H108" s="3596">
        <f t="shared" si="25"/>
        <v>75</v>
      </c>
      <c r="I108" s="3596">
        <f t="shared" si="25"/>
        <v>70</v>
      </c>
      <c r="J108" s="3596">
        <f t="shared" si="25"/>
        <v>65</v>
      </c>
      <c r="K108" s="3596">
        <f t="shared" si="25"/>
        <v>60</v>
      </c>
      <c r="L108" s="3596">
        <f t="shared" si="25"/>
        <v>55</v>
      </c>
      <c r="M108" s="3596">
        <f t="shared" si="25"/>
        <v>50</v>
      </c>
      <c r="N108" s="3589"/>
      <c r="O108" s="3589"/>
      <c r="P108" s="3583"/>
      <c r="Q108" s="3548"/>
      <c r="R108" s="3515"/>
      <c r="S108" s="3515"/>
      <c r="T108" s="3515"/>
      <c r="U108" s="3515"/>
      <c r="V108" s="3515"/>
      <c r="W108" s="3515"/>
      <c r="X108" s="3515"/>
      <c r="Y108" s="3515"/>
      <c r="Z108" s="3515"/>
      <c r="AA108" s="3515"/>
      <c r="AB108" s="3515"/>
      <c r="AC108" s="3515"/>
    </row>
    <row r="109" spans="1:29" ht="15" thickTop="1">
      <c r="A109" s="3664"/>
      <c r="B109" s="3590" t="s">
        <v>3559</v>
      </c>
      <c r="C109" s="3644" t="s">
        <v>3560</v>
      </c>
      <c r="D109" s="3606"/>
      <c r="E109" s="3606"/>
      <c r="F109" s="3645"/>
      <c r="G109" s="3645"/>
      <c r="H109" s="3645"/>
      <c r="I109" s="3645"/>
      <c r="J109" s="3645"/>
      <c r="K109" s="3646"/>
      <c r="L109" s="3647"/>
      <c r="M109" s="3648"/>
      <c r="N109" s="3582"/>
      <c r="O109" s="3582"/>
      <c r="P109" s="3583"/>
      <c r="Q109" s="3548"/>
      <c r="R109" s="3515"/>
      <c r="S109" s="3515"/>
      <c r="T109" s="3515"/>
      <c r="U109" s="3515"/>
      <c r="V109" s="3515"/>
      <c r="W109" s="3515"/>
      <c r="X109" s="3515"/>
      <c r="Y109" s="3515"/>
      <c r="Z109" s="3515"/>
      <c r="AA109" s="3515"/>
      <c r="AB109" s="3515"/>
      <c r="AC109" s="3515"/>
    </row>
    <row r="110" spans="1:29" ht="15.75" thickBot="1">
      <c r="A110" s="3584"/>
      <c r="B110" s="3595"/>
      <c r="C110" s="3596">
        <v>100</v>
      </c>
      <c r="D110" s="3596">
        <f t="shared" ref="D110:M110" si="26">C110-$K36</f>
        <v>99</v>
      </c>
      <c r="E110" s="3596">
        <f t="shared" si="26"/>
        <v>98</v>
      </c>
      <c r="F110" s="3596">
        <f t="shared" si="26"/>
        <v>97</v>
      </c>
      <c r="G110" s="3596">
        <f t="shared" si="26"/>
        <v>96</v>
      </c>
      <c r="H110" s="3596">
        <f t="shared" si="26"/>
        <v>95</v>
      </c>
      <c r="I110" s="3596">
        <f t="shared" si="26"/>
        <v>94</v>
      </c>
      <c r="J110" s="3596">
        <f t="shared" si="26"/>
        <v>93</v>
      </c>
      <c r="K110" s="3596">
        <f t="shared" si="26"/>
        <v>92</v>
      </c>
      <c r="L110" s="3596">
        <f t="shared" si="26"/>
        <v>91</v>
      </c>
      <c r="M110" s="3596">
        <f t="shared" si="26"/>
        <v>90</v>
      </c>
      <c r="N110" s="3589"/>
      <c r="O110" s="3589"/>
      <c r="P110" s="3583"/>
      <c r="Q110" s="3548"/>
      <c r="R110" s="3515"/>
      <c r="S110" s="3515"/>
      <c r="T110" s="3515"/>
      <c r="U110" s="3515"/>
      <c r="V110" s="3515"/>
      <c r="W110" s="3515"/>
      <c r="X110" s="3515"/>
      <c r="Y110" s="3515"/>
      <c r="Z110" s="3515"/>
      <c r="AA110" s="3515"/>
      <c r="AB110" s="3515"/>
      <c r="AC110" s="3515"/>
    </row>
    <row r="111" spans="1:29" s="3493" customFormat="1" ht="15" thickTop="1">
      <c r="A111" s="3657"/>
      <c r="B111" s="3590" t="s">
        <v>3561</v>
      </c>
      <c r="C111" s="3633" t="str">
        <f>C112&amp;"(含)"&amp;"-"&amp;D112</f>
        <v>0.5(含)-0.6</v>
      </c>
      <c r="D111" s="3633" t="str">
        <f>D112&amp;"(含)"&amp;"-"&amp;E112</f>
        <v>0.6(含)-0.7</v>
      </c>
      <c r="E111" s="3633" t="str">
        <f>E112&amp;"(含)"&amp;"-"&amp;F112</f>
        <v>0.7(含)-0.8</v>
      </c>
      <c r="F111" s="3633" t="str">
        <f>F112&amp;"(含)"&amp;"-"&amp;G112</f>
        <v>0.8(含)-0.9</v>
      </c>
      <c r="G111" s="3633" t="str">
        <f>G112&amp;"(含)"&amp;"-"&amp;ROUND(H112,0)</f>
        <v>0.9(含)-1</v>
      </c>
      <c r="H111" s="3633" t="str">
        <f>ROUND(H112,0)&amp;"(含)"&amp;"-"&amp;I112</f>
        <v>1(含)-</v>
      </c>
      <c r="I111" s="3633"/>
      <c r="J111" s="3666"/>
      <c r="K111" s="3666"/>
      <c r="L111" s="3667"/>
      <c r="M111" s="3668"/>
      <c r="N111" s="3610"/>
      <c r="O111" s="3610"/>
      <c r="P111" s="3611"/>
      <c r="Q111" s="3612"/>
      <c r="R111" s="3613"/>
      <c r="S111" s="3613"/>
      <c r="T111" s="3613"/>
      <c r="U111" s="3613"/>
      <c r="V111" s="3613"/>
      <c r="W111" s="3613"/>
      <c r="X111" s="3613"/>
      <c r="Y111" s="3613"/>
      <c r="Z111" s="3613"/>
      <c r="AA111" s="3613"/>
      <c r="AB111" s="3613"/>
      <c r="AC111" s="3613"/>
    </row>
    <row r="112" spans="1:29" s="3493" customFormat="1">
      <c r="A112" s="3657"/>
      <c r="B112" s="3598"/>
      <c r="C112" s="3669">
        <v>0.5</v>
      </c>
      <c r="D112" s="3669">
        <v>0.6</v>
      </c>
      <c r="E112" s="3669">
        <v>0.7</v>
      </c>
      <c r="F112" s="3669">
        <v>0.8</v>
      </c>
      <c r="G112" s="3669">
        <v>0.9</v>
      </c>
      <c r="H112" s="3669">
        <v>1.0001</v>
      </c>
      <c r="I112" s="3669"/>
      <c r="J112" s="3670"/>
      <c r="K112" s="3670"/>
      <c r="L112" s="3671"/>
      <c r="M112" s="3672"/>
      <c r="N112" s="3610"/>
      <c r="O112" s="3610"/>
      <c r="P112" s="3611"/>
      <c r="Q112" s="3612"/>
      <c r="R112" s="3613"/>
      <c r="S112" s="3613"/>
      <c r="T112" s="3613"/>
      <c r="U112" s="3613"/>
      <c r="V112" s="3613"/>
      <c r="W112" s="3613"/>
      <c r="X112" s="3613"/>
      <c r="Y112" s="3613"/>
      <c r="Z112" s="3613"/>
      <c r="AA112" s="3613"/>
      <c r="AB112" s="3613"/>
      <c r="AC112" s="3613"/>
    </row>
    <row r="113" spans="1:29" s="3493" customFormat="1" ht="15.75" thickBot="1">
      <c r="A113" s="3605"/>
      <c r="B113" s="3595"/>
      <c r="C113" s="3642">
        <v>100</v>
      </c>
      <c r="D113" s="3596">
        <f>C113+$K37</f>
        <v>101</v>
      </c>
      <c r="E113" s="3596">
        <f>D113+$K37</f>
        <v>102</v>
      </c>
      <c r="F113" s="3596">
        <f>E113+$K37</f>
        <v>103</v>
      </c>
      <c r="G113" s="3596">
        <f>F113+$K37</f>
        <v>104</v>
      </c>
      <c r="H113" s="3596">
        <f>G113+$K37</f>
        <v>105</v>
      </c>
      <c r="I113" s="3642"/>
      <c r="J113" s="3673"/>
      <c r="K113" s="3673"/>
      <c r="L113" s="3673"/>
      <c r="M113" s="3674"/>
      <c r="N113" s="3610"/>
      <c r="O113" s="3610"/>
      <c r="P113" s="3611"/>
      <c r="Q113" s="3612"/>
      <c r="R113" s="3613"/>
      <c r="S113" s="3613"/>
      <c r="T113" s="3613"/>
      <c r="U113" s="3613"/>
      <c r="V113" s="3613"/>
      <c r="W113" s="3613"/>
      <c r="X113" s="3613"/>
      <c r="Y113" s="3613"/>
      <c r="Z113" s="3613"/>
      <c r="AA113" s="3613"/>
      <c r="AB113" s="3613"/>
      <c r="AC113" s="3613"/>
    </row>
    <row r="114" spans="1:29" ht="15" thickTop="1">
      <c r="A114" s="3664"/>
      <c r="B114" s="3590" t="s">
        <v>3562</v>
      </c>
      <c r="C114" s="3644" t="s">
        <v>3563</v>
      </c>
      <c r="D114" s="3606"/>
      <c r="E114" s="3645"/>
      <c r="F114" s="3645"/>
      <c r="G114" s="3645"/>
      <c r="H114" s="3645"/>
      <c r="I114" s="3645"/>
      <c r="J114" s="3645"/>
      <c r="K114" s="3646"/>
      <c r="L114" s="3647"/>
      <c r="M114" s="3648"/>
      <c r="N114" s="3582"/>
      <c r="O114" s="3582"/>
      <c r="P114" s="3583"/>
      <c r="Q114" s="3548"/>
      <c r="R114" s="3515"/>
      <c r="S114" s="3515"/>
      <c r="T114" s="3515"/>
      <c r="U114" s="3515"/>
      <c r="V114" s="3515"/>
      <c r="W114" s="3515"/>
      <c r="X114" s="3515"/>
      <c r="Y114" s="3515"/>
      <c r="Z114" s="3515"/>
      <c r="AA114" s="3515"/>
      <c r="AB114" s="3515"/>
      <c r="AC114" s="3515"/>
    </row>
    <row r="115" spans="1:29" ht="15.75" thickBot="1">
      <c r="A115" s="3584"/>
      <c r="B115" s="3595"/>
      <c r="C115" s="3596">
        <v>100</v>
      </c>
      <c r="D115" s="3596">
        <f t="shared" ref="D115:M115" si="27">C115-$K38</f>
        <v>97</v>
      </c>
      <c r="E115" s="3596">
        <f t="shared" si="27"/>
        <v>94</v>
      </c>
      <c r="F115" s="3596">
        <f t="shared" si="27"/>
        <v>91</v>
      </c>
      <c r="G115" s="3596">
        <f t="shared" si="27"/>
        <v>88</v>
      </c>
      <c r="H115" s="3596">
        <f t="shared" si="27"/>
        <v>85</v>
      </c>
      <c r="I115" s="3596">
        <f t="shared" si="27"/>
        <v>82</v>
      </c>
      <c r="J115" s="3596">
        <f t="shared" si="27"/>
        <v>79</v>
      </c>
      <c r="K115" s="3596">
        <f t="shared" si="27"/>
        <v>76</v>
      </c>
      <c r="L115" s="3596">
        <f t="shared" si="27"/>
        <v>73</v>
      </c>
      <c r="M115" s="3596">
        <f t="shared" si="27"/>
        <v>70</v>
      </c>
      <c r="N115" s="3589"/>
      <c r="O115" s="3589"/>
      <c r="P115" s="3583"/>
      <c r="Q115" s="3548"/>
      <c r="R115" s="3515"/>
      <c r="S115" s="3515"/>
      <c r="T115" s="3515"/>
      <c r="U115" s="3515"/>
      <c r="V115" s="3515"/>
      <c r="W115" s="3515"/>
      <c r="X115" s="3515"/>
      <c r="Y115" s="3515"/>
      <c r="Z115" s="3515"/>
      <c r="AA115" s="3515"/>
      <c r="AB115" s="3515"/>
      <c r="AC115" s="3515"/>
    </row>
    <row r="116" spans="1:29" ht="15" thickTop="1">
      <c r="A116" s="3664"/>
      <c r="B116" s="3634" t="s">
        <v>3564</v>
      </c>
      <c r="C116" s="3644" t="s">
        <v>1984</v>
      </c>
      <c r="D116" s="3644" t="s">
        <v>1983</v>
      </c>
      <c r="E116" s="3644" t="s">
        <v>1982</v>
      </c>
      <c r="F116" s="3606"/>
      <c r="G116" s="3606"/>
      <c r="H116" s="3645"/>
      <c r="I116" s="3645"/>
      <c r="J116" s="3645"/>
      <c r="K116" s="3646"/>
      <c r="L116" s="3647"/>
      <c r="M116" s="3648"/>
      <c r="N116" s="3582"/>
      <c r="O116" s="3582"/>
      <c r="P116" s="3583"/>
      <c r="Q116" s="3548"/>
      <c r="R116" s="3515"/>
      <c r="S116" s="3515"/>
      <c r="T116" s="3515"/>
      <c r="U116" s="3515"/>
      <c r="V116" s="3515"/>
      <c r="W116" s="3515"/>
      <c r="X116" s="3515"/>
      <c r="Y116" s="3515"/>
      <c r="Z116" s="3515"/>
      <c r="AA116" s="3515"/>
      <c r="AB116" s="3515"/>
      <c r="AC116" s="3515"/>
    </row>
    <row r="117" spans="1:29" ht="15.75" thickBot="1">
      <c r="A117" s="3584"/>
      <c r="B117" s="3595"/>
      <c r="C117" s="3596">
        <v>100</v>
      </c>
      <c r="D117" s="3596">
        <f>C117-$K39</f>
        <v>99</v>
      </c>
      <c r="E117" s="3596">
        <f>D117-$K39</f>
        <v>98</v>
      </c>
      <c r="F117" s="3596">
        <f>E117-$K39</f>
        <v>97</v>
      </c>
      <c r="G117" s="3596">
        <f>F117-$K39</f>
        <v>96</v>
      </c>
      <c r="H117" s="3596"/>
      <c r="I117" s="3596"/>
      <c r="J117" s="3596"/>
      <c r="K117" s="3596"/>
      <c r="L117" s="3596"/>
      <c r="M117" s="3597"/>
      <c r="N117" s="3589"/>
      <c r="O117" s="3589"/>
      <c r="P117" s="3583"/>
      <c r="Q117" s="3548"/>
      <c r="R117" s="3515"/>
      <c r="S117" s="3515"/>
      <c r="T117" s="3515"/>
      <c r="U117" s="3515"/>
      <c r="V117" s="3515"/>
      <c r="W117" s="3515"/>
      <c r="X117" s="3515"/>
      <c r="Y117" s="3515"/>
      <c r="Z117" s="3515"/>
      <c r="AA117" s="3515"/>
      <c r="AB117" s="3515"/>
      <c r="AC117" s="3515"/>
    </row>
    <row r="118" spans="1:29" ht="15" thickTop="1">
      <c r="A118" s="3664"/>
      <c r="B118" s="3590" t="s">
        <v>3565</v>
      </c>
      <c r="C118" s="3645"/>
      <c r="D118" s="3645"/>
      <c r="E118" s="3645"/>
      <c r="F118" s="3645"/>
      <c r="G118" s="3645"/>
      <c r="H118" s="3645"/>
      <c r="I118" s="3645"/>
      <c r="J118" s="3645"/>
      <c r="K118" s="3646"/>
      <c r="L118" s="3647"/>
      <c r="M118" s="3648"/>
      <c r="N118" s="3582"/>
      <c r="O118" s="3582"/>
      <c r="P118" s="3583"/>
      <c r="Q118" s="3548"/>
      <c r="R118" s="3515"/>
      <c r="S118" s="3515"/>
      <c r="T118" s="3515"/>
      <c r="U118" s="3515"/>
      <c r="V118" s="3515"/>
      <c r="W118" s="3515"/>
      <c r="X118" s="3515"/>
      <c r="Y118" s="3515"/>
      <c r="Z118" s="3515"/>
      <c r="AA118" s="3515"/>
      <c r="AB118" s="3515"/>
      <c r="AC118" s="3515"/>
    </row>
    <row r="119" spans="1:29" ht="15.75" thickBot="1">
      <c r="A119" s="3584"/>
      <c r="B119" s="3595"/>
      <c r="C119" s="3596">
        <v>100</v>
      </c>
      <c r="D119" s="3596">
        <f t="shared" ref="D119:M119" si="28">C119-$K40</f>
        <v>100</v>
      </c>
      <c r="E119" s="3596">
        <f t="shared" si="28"/>
        <v>100</v>
      </c>
      <c r="F119" s="3596">
        <f t="shared" si="28"/>
        <v>100</v>
      </c>
      <c r="G119" s="3596">
        <f t="shared" si="28"/>
        <v>100</v>
      </c>
      <c r="H119" s="3596">
        <f t="shared" si="28"/>
        <v>100</v>
      </c>
      <c r="I119" s="3596">
        <f t="shared" si="28"/>
        <v>100</v>
      </c>
      <c r="J119" s="3596">
        <f t="shared" si="28"/>
        <v>100</v>
      </c>
      <c r="K119" s="3596">
        <f t="shared" si="28"/>
        <v>100</v>
      </c>
      <c r="L119" s="3596">
        <f t="shared" si="28"/>
        <v>100</v>
      </c>
      <c r="M119" s="3596">
        <f t="shared" si="28"/>
        <v>100</v>
      </c>
      <c r="N119" s="3589"/>
      <c r="O119" s="3589"/>
      <c r="P119" s="3583"/>
      <c r="Q119" s="3548"/>
      <c r="R119" s="3515"/>
      <c r="S119" s="3515"/>
      <c r="T119" s="3515"/>
      <c r="U119" s="3515"/>
      <c r="V119" s="3515"/>
      <c r="W119" s="3515"/>
      <c r="X119" s="3515"/>
      <c r="Y119" s="3515"/>
      <c r="Z119" s="3515"/>
      <c r="AA119" s="3515"/>
      <c r="AB119" s="3515"/>
      <c r="AC119" s="3515"/>
    </row>
    <row r="120" spans="1:29" s="3493" customFormat="1" ht="28.5" thickTop="1">
      <c r="A120" s="3657"/>
      <c r="B120" s="3590" t="s">
        <v>3566</v>
      </c>
      <c r="C120" s="3606" t="s">
        <v>3040</v>
      </c>
      <c r="D120" s="3606" t="s">
        <v>3041</v>
      </c>
      <c r="E120" s="3606" t="s">
        <v>3043</v>
      </c>
      <c r="F120" s="3606"/>
      <c r="G120" s="3606"/>
      <c r="H120" s="3606"/>
      <c r="I120" s="3606"/>
      <c r="J120" s="3606"/>
      <c r="K120" s="3606"/>
      <c r="L120" s="3640"/>
      <c r="M120" s="3641"/>
      <c r="N120" s="3610"/>
      <c r="O120" s="3610"/>
      <c r="P120" s="3611"/>
      <c r="Q120" s="3612"/>
      <c r="R120" s="3613"/>
      <c r="S120" s="3613"/>
      <c r="T120" s="3613"/>
      <c r="U120" s="3613"/>
      <c r="V120" s="3613"/>
      <c r="W120" s="3613"/>
      <c r="X120" s="3613"/>
      <c r="Y120" s="3613"/>
      <c r="Z120" s="3613"/>
      <c r="AA120" s="3613"/>
      <c r="AB120" s="3613"/>
      <c r="AC120" s="3613"/>
    </row>
    <row r="121" spans="1:29" s="3493" customFormat="1" ht="15.75" thickBot="1">
      <c r="A121" s="3605"/>
      <c r="B121" s="3585"/>
      <c r="C121" s="3614">
        <v>100</v>
      </c>
      <c r="D121" s="3586">
        <v>98</v>
      </c>
      <c r="E121" s="3586">
        <v>96</v>
      </c>
      <c r="F121" s="3586"/>
      <c r="G121" s="3586"/>
      <c r="H121" s="3586"/>
      <c r="I121" s="3586"/>
      <c r="J121" s="3586"/>
      <c r="K121" s="3586"/>
      <c r="L121" s="3586"/>
      <c r="M121" s="3586"/>
      <c r="N121" s="3610"/>
      <c r="O121" s="3610"/>
      <c r="P121" s="3611"/>
      <c r="Q121" s="3612"/>
      <c r="R121" s="3613"/>
      <c r="S121" s="3613"/>
      <c r="T121" s="3613"/>
      <c r="U121" s="3613"/>
      <c r="V121" s="3613"/>
      <c r="W121" s="3613"/>
      <c r="X121" s="3613"/>
      <c r="Y121" s="3613"/>
      <c r="Z121" s="3613"/>
      <c r="AA121" s="3613"/>
      <c r="AB121" s="3613"/>
      <c r="AC121" s="3613"/>
    </row>
    <row r="122" spans="1:29" ht="15" thickTop="1">
      <c r="A122" s="3664"/>
      <c r="B122" s="3590" t="s">
        <v>3567</v>
      </c>
      <c r="C122" s="3644" t="s">
        <v>3568</v>
      </c>
      <c r="D122" s="3606"/>
      <c r="E122" s="3606"/>
      <c r="F122" s="3645"/>
      <c r="G122" s="3645"/>
      <c r="H122" s="3645"/>
      <c r="I122" s="3645"/>
      <c r="J122" s="3645"/>
      <c r="K122" s="3646"/>
      <c r="L122" s="3647"/>
      <c r="M122" s="3648"/>
      <c r="N122" s="3582"/>
      <c r="O122" s="3582"/>
      <c r="P122" s="3583"/>
      <c r="Q122" s="3548"/>
      <c r="R122" s="3515"/>
      <c r="S122" s="3515"/>
      <c r="T122" s="3515"/>
      <c r="U122" s="3515"/>
      <c r="V122" s="3515"/>
      <c r="W122" s="3515"/>
      <c r="X122" s="3515"/>
      <c r="Y122" s="3515"/>
      <c r="Z122" s="3515"/>
      <c r="AA122" s="3515"/>
      <c r="AB122" s="3515"/>
      <c r="AC122" s="3515"/>
    </row>
    <row r="123" spans="1:29" ht="15.75" thickBot="1">
      <c r="A123" s="3584"/>
      <c r="B123" s="3595"/>
      <c r="C123" s="3596">
        <v>100</v>
      </c>
      <c r="D123" s="3596">
        <f t="shared" ref="D123:M123" si="29">C123-$K42</f>
        <v>99</v>
      </c>
      <c r="E123" s="3596">
        <f t="shared" si="29"/>
        <v>98</v>
      </c>
      <c r="F123" s="3596">
        <f t="shared" si="29"/>
        <v>97</v>
      </c>
      <c r="G123" s="3596">
        <f t="shared" si="29"/>
        <v>96</v>
      </c>
      <c r="H123" s="3596">
        <f t="shared" si="29"/>
        <v>95</v>
      </c>
      <c r="I123" s="3596">
        <f t="shared" si="29"/>
        <v>94</v>
      </c>
      <c r="J123" s="3596">
        <f t="shared" si="29"/>
        <v>93</v>
      </c>
      <c r="K123" s="3596">
        <f t="shared" si="29"/>
        <v>92</v>
      </c>
      <c r="L123" s="3596">
        <f t="shared" si="29"/>
        <v>91</v>
      </c>
      <c r="M123" s="3596">
        <f t="shared" si="29"/>
        <v>90</v>
      </c>
      <c r="N123" s="3589"/>
      <c r="O123" s="3589"/>
      <c r="P123" s="3583"/>
      <c r="Q123" s="3548"/>
      <c r="R123" s="3515"/>
      <c r="S123" s="3515"/>
      <c r="T123" s="3515"/>
      <c r="U123" s="3515"/>
      <c r="V123" s="3515"/>
      <c r="W123" s="3515"/>
      <c r="X123" s="3515"/>
      <c r="Y123" s="3515"/>
      <c r="Z123" s="3515"/>
      <c r="AA123" s="3515"/>
      <c r="AB123" s="3515"/>
      <c r="AC123" s="3515"/>
    </row>
    <row r="124" spans="1:29" ht="27.75" thickTop="1">
      <c r="A124" s="3664"/>
      <c r="B124" s="3590" t="s">
        <v>3569</v>
      </c>
      <c r="C124" s="3633" t="s">
        <v>3570</v>
      </c>
      <c r="D124" s="3633" t="s">
        <v>3571</v>
      </c>
      <c r="E124" s="3633" t="s">
        <v>3572</v>
      </c>
      <c r="F124" s="3633" t="s">
        <v>3573</v>
      </c>
      <c r="G124" s="3633" t="s">
        <v>3574</v>
      </c>
      <c r="H124" s="3591"/>
      <c r="I124" s="3591"/>
      <c r="J124" s="3591"/>
      <c r="K124" s="3592"/>
      <c r="L124" s="3593"/>
      <c r="M124" s="3594"/>
      <c r="N124" s="3582"/>
      <c r="O124" s="3582"/>
      <c r="P124" s="3611"/>
      <c r="Q124" s="3548"/>
      <c r="R124" s="3515"/>
      <c r="S124" s="3515"/>
      <c r="T124" s="3515"/>
      <c r="U124" s="3515"/>
      <c r="V124" s="3515"/>
      <c r="W124" s="3515"/>
      <c r="X124" s="3515"/>
      <c r="Y124" s="3515"/>
      <c r="Z124" s="3515"/>
      <c r="AA124" s="3515"/>
      <c r="AB124" s="3515"/>
      <c r="AC124" s="3515"/>
    </row>
    <row r="125" spans="1:29" ht="15.75" thickBot="1">
      <c r="A125" s="3584"/>
      <c r="B125" s="3595"/>
      <c r="C125" s="3596">
        <v>100</v>
      </c>
      <c r="D125" s="3596">
        <f>C125-$K43</f>
        <v>98</v>
      </c>
      <c r="E125" s="3596">
        <f>D125-$K43</f>
        <v>96</v>
      </c>
      <c r="F125" s="3596">
        <f>E125-$K43</f>
        <v>94</v>
      </c>
      <c r="G125" s="3596">
        <f>F125-$K43</f>
        <v>92</v>
      </c>
      <c r="H125" s="3596"/>
      <c r="I125" s="3596"/>
      <c r="J125" s="3596"/>
      <c r="K125" s="3596"/>
      <c r="L125" s="3596"/>
      <c r="M125" s="3597"/>
      <c r="N125" s="3589"/>
      <c r="O125" s="3589"/>
      <c r="P125" s="3583"/>
      <c r="Q125" s="3548"/>
      <c r="R125" s="3515"/>
      <c r="S125" s="3515"/>
      <c r="T125" s="3515"/>
      <c r="U125" s="3515"/>
      <c r="V125" s="3515"/>
      <c r="W125" s="3515"/>
      <c r="X125" s="3515"/>
      <c r="Y125" s="3515"/>
      <c r="Z125" s="3515"/>
      <c r="AA125" s="3515"/>
      <c r="AB125" s="3515"/>
      <c r="AC125" s="3515"/>
    </row>
    <row r="126" spans="1:29" s="3493" customFormat="1" ht="15" thickTop="1">
      <c r="A126" s="3657"/>
      <c r="B126" s="3590">
        <f>B44</f>
        <v>111</v>
      </c>
      <c r="C126" s="3606"/>
      <c r="D126" s="3606"/>
      <c r="E126" s="3606"/>
      <c r="F126" s="3606"/>
      <c r="G126" s="3606"/>
      <c r="H126" s="3607"/>
      <c r="I126" s="3607"/>
      <c r="J126" s="3607"/>
      <c r="K126" s="3607"/>
      <c r="L126" s="3608"/>
      <c r="M126" s="3609"/>
      <c r="N126" s="3610"/>
      <c r="O126" s="3610"/>
      <c r="P126" s="3611"/>
      <c r="Q126" s="3612"/>
      <c r="R126" s="3613"/>
      <c r="S126" s="3613"/>
      <c r="T126" s="3613"/>
      <c r="U126" s="3613"/>
      <c r="V126" s="3613"/>
      <c r="W126" s="3613"/>
      <c r="X126" s="3613"/>
      <c r="Y126" s="3613"/>
      <c r="Z126" s="3613"/>
      <c r="AA126" s="3613"/>
      <c r="AB126" s="3613"/>
      <c r="AC126" s="3613"/>
    </row>
    <row r="127" spans="1:29" s="3493" customFormat="1" ht="15.75" thickBot="1">
      <c r="A127" s="3605"/>
      <c r="B127" s="3595"/>
      <c r="C127" s="3614"/>
      <c r="D127" s="3586"/>
      <c r="E127" s="3586"/>
      <c r="F127" s="3586"/>
      <c r="G127" s="3614"/>
      <c r="H127" s="3617"/>
      <c r="I127" s="3617"/>
      <c r="J127" s="3617"/>
      <c r="K127" s="3617"/>
      <c r="L127" s="3617"/>
      <c r="M127" s="3618"/>
      <c r="N127" s="3610"/>
      <c r="O127" s="3610"/>
      <c r="P127" s="3611"/>
      <c r="Q127" s="3612"/>
      <c r="R127" s="3613"/>
      <c r="S127" s="3613"/>
      <c r="T127" s="3613"/>
      <c r="U127" s="3613"/>
      <c r="V127" s="3613"/>
      <c r="W127" s="3613"/>
      <c r="X127" s="3613"/>
      <c r="Y127" s="3613"/>
      <c r="Z127" s="3613"/>
      <c r="AA127" s="3613"/>
      <c r="AB127" s="3613"/>
      <c r="AC127" s="3613"/>
    </row>
    <row r="128" spans="1:29" ht="15" thickTop="1">
      <c r="A128" s="3664"/>
      <c r="B128" s="3590">
        <f>B45</f>
        <v>111</v>
      </c>
      <c r="C128" s="3606"/>
      <c r="D128" s="3606"/>
      <c r="E128" s="3606"/>
      <c r="F128" s="3606"/>
      <c r="G128" s="3645"/>
      <c r="H128" s="3645"/>
      <c r="I128" s="3645"/>
      <c r="J128" s="3645"/>
      <c r="K128" s="3646"/>
      <c r="L128" s="3647"/>
      <c r="M128" s="3648"/>
      <c r="N128" s="3582"/>
      <c r="O128" s="3582"/>
      <c r="P128" s="3583"/>
      <c r="Q128" s="3548"/>
      <c r="R128" s="3515"/>
      <c r="S128" s="3515"/>
      <c r="T128" s="3515"/>
      <c r="U128" s="3515"/>
      <c r="V128" s="3515"/>
      <c r="W128" s="3515"/>
      <c r="X128" s="3515"/>
      <c r="Y128" s="3515"/>
      <c r="Z128" s="3515"/>
      <c r="AA128" s="3515"/>
      <c r="AB128" s="3515"/>
      <c r="AC128" s="3515"/>
    </row>
    <row r="129" spans="1:29" ht="15.75" thickBot="1">
      <c r="A129" s="3584"/>
      <c r="B129" s="3595"/>
      <c r="C129" s="3614"/>
      <c r="D129" s="3614"/>
      <c r="E129" s="3614"/>
      <c r="F129" s="3614"/>
      <c r="G129" s="3586"/>
      <c r="H129" s="3586"/>
      <c r="I129" s="3586"/>
      <c r="J129" s="3586"/>
      <c r="K129" s="3586"/>
      <c r="L129" s="3586"/>
      <c r="M129" s="3615"/>
      <c r="N129" s="3589"/>
      <c r="O129" s="3589"/>
      <c r="P129" s="3583"/>
      <c r="Q129" s="3548"/>
      <c r="R129" s="3515"/>
      <c r="S129" s="3515"/>
      <c r="T129" s="3515"/>
      <c r="U129" s="3515"/>
      <c r="V129" s="3515"/>
      <c r="W129" s="3515"/>
      <c r="X129" s="3515"/>
      <c r="Y129" s="3515"/>
      <c r="Z129" s="3515"/>
      <c r="AA129" s="3515"/>
      <c r="AB129" s="3515"/>
      <c r="AC129" s="3515"/>
    </row>
    <row r="130" spans="1:29" ht="15" thickTop="1">
      <c r="A130" s="3664"/>
      <c r="B130" s="3598">
        <f>B46</f>
        <v>111</v>
      </c>
      <c r="C130" s="3606"/>
      <c r="D130" s="3606"/>
      <c r="E130" s="3606"/>
      <c r="F130" s="3606"/>
      <c r="G130" s="3649"/>
      <c r="H130" s="3649"/>
      <c r="I130" s="3649"/>
      <c r="J130" s="3649"/>
      <c r="K130" s="3568"/>
      <c r="L130" s="3569"/>
      <c r="M130" s="3652"/>
      <c r="N130" s="3582"/>
      <c r="O130" s="3582"/>
      <c r="P130" s="3583"/>
      <c r="Q130" s="3548"/>
      <c r="R130" s="3515"/>
      <c r="S130" s="3515"/>
      <c r="T130" s="3515"/>
      <c r="U130" s="3515"/>
      <c r="V130" s="3515"/>
      <c r="W130" s="3515"/>
      <c r="X130" s="3515"/>
      <c r="Y130" s="3515"/>
      <c r="Z130" s="3515"/>
      <c r="AA130" s="3515"/>
      <c r="AB130" s="3515"/>
      <c r="AC130" s="3515"/>
    </row>
    <row r="131" spans="1:29" ht="15.75" thickBot="1">
      <c r="A131" s="3653"/>
      <c r="B131" s="3624"/>
      <c r="C131" s="3625"/>
      <c r="D131" s="3625"/>
      <c r="E131" s="3625"/>
      <c r="F131" s="3625"/>
      <c r="G131" s="3654"/>
      <c r="H131" s="3654"/>
      <c r="I131" s="3654"/>
      <c r="J131" s="3654"/>
      <c r="K131" s="3654"/>
      <c r="L131" s="3654"/>
      <c r="M131" s="3655"/>
      <c r="N131" s="3589"/>
      <c r="O131" s="3589"/>
      <c r="P131" s="3583"/>
      <c r="Q131" s="3548"/>
      <c r="R131" s="3515"/>
      <c r="S131" s="3515"/>
      <c r="T131" s="3515"/>
      <c r="U131" s="3515"/>
      <c r="V131" s="3515"/>
      <c r="W131" s="3515"/>
      <c r="X131" s="3515"/>
      <c r="Y131" s="3515"/>
      <c r="Z131" s="3515"/>
      <c r="AA131" s="3515"/>
      <c r="AB131" s="3515"/>
      <c r="AC131" s="3515"/>
    </row>
    <row r="132" spans="1:29">
      <c r="A132" s="3675"/>
      <c r="B132" s="3675"/>
      <c r="C132" s="3675"/>
      <c r="D132" s="3675"/>
      <c r="E132" s="3675"/>
      <c r="F132" s="3675"/>
      <c r="G132" s="3675"/>
      <c r="H132" s="3675"/>
      <c r="I132" s="3675"/>
      <c r="J132" s="3675"/>
      <c r="K132" s="3676"/>
      <c r="L132" s="3677"/>
      <c r="M132" s="3675"/>
      <c r="N132" s="3675"/>
      <c r="O132" s="3675"/>
      <c r="P132" s="3675"/>
      <c r="Q132" s="3675"/>
      <c r="R132" s="3675"/>
      <c r="S132" s="3675"/>
      <c r="T132" s="3675"/>
      <c r="U132" s="3675"/>
      <c r="V132" s="3675"/>
      <c r="W132" s="3675"/>
      <c r="X132" s="3675"/>
      <c r="Y132" s="3675"/>
      <c r="Z132" s="3675"/>
      <c r="AA132" s="3675"/>
      <c r="AB132" s="3675"/>
      <c r="AC132" s="3675"/>
    </row>
    <row r="133" spans="1:29">
      <c r="A133" s="3675"/>
      <c r="B133" s="3675"/>
      <c r="C133" s="3675"/>
      <c r="D133" s="3675"/>
      <c r="E133" s="3675"/>
      <c r="F133" s="3675"/>
      <c r="G133" s="3675"/>
      <c r="H133" s="3675"/>
      <c r="I133" s="3675"/>
      <c r="J133" s="3675"/>
      <c r="K133" s="3676"/>
      <c r="L133" s="3677"/>
      <c r="M133" s="3675"/>
      <c r="N133" s="3675"/>
      <c r="O133" s="3675"/>
      <c r="P133" s="3675"/>
      <c r="Q133" s="3675"/>
      <c r="R133" s="3675"/>
      <c r="S133" s="3675"/>
      <c r="T133" s="3675"/>
      <c r="U133" s="3675"/>
      <c r="V133" s="3675"/>
      <c r="W133" s="3675"/>
      <c r="X133" s="3675"/>
      <c r="Y133" s="3675"/>
      <c r="Z133" s="3675"/>
      <c r="AA133" s="3675"/>
      <c r="AB133" s="3675"/>
      <c r="AC133" s="3675"/>
    </row>
    <row r="134" spans="1:29">
      <c r="A134" s="3675"/>
      <c r="B134" s="3675"/>
      <c r="C134" s="3675"/>
      <c r="D134" s="3675"/>
      <c r="E134" s="3675"/>
      <c r="F134" s="3675"/>
      <c r="G134" s="3675"/>
      <c r="H134" s="3675"/>
      <c r="I134" s="3675"/>
      <c r="J134" s="3675"/>
      <c r="K134" s="3676"/>
      <c r="L134" s="3677"/>
      <c r="M134" s="3675"/>
      <c r="N134" s="3675"/>
      <c r="O134" s="3675"/>
      <c r="P134" s="3675"/>
      <c r="Q134" s="3675"/>
      <c r="R134" s="3675"/>
      <c r="S134" s="3675"/>
      <c r="T134" s="3675"/>
      <c r="U134" s="3675"/>
      <c r="V134" s="3675"/>
      <c r="W134" s="3675"/>
      <c r="X134" s="3675"/>
      <c r="Y134" s="3675"/>
      <c r="Z134" s="3675"/>
      <c r="AA134" s="3675"/>
      <c r="AB134" s="3675"/>
      <c r="AC134" s="3675"/>
    </row>
    <row r="135" spans="1:29">
      <c r="A135" s="3675"/>
      <c r="B135" s="3675"/>
      <c r="C135" s="3675"/>
      <c r="D135" s="3675"/>
      <c r="E135" s="3675"/>
      <c r="F135" s="3675"/>
      <c r="G135" s="3675"/>
      <c r="H135" s="3675"/>
      <c r="I135" s="3675"/>
      <c r="J135" s="3675"/>
      <c r="K135" s="3676"/>
      <c r="L135" s="3677"/>
      <c r="M135" s="3675"/>
      <c r="N135" s="3675"/>
      <c r="O135" s="3675"/>
      <c r="P135" s="3675"/>
      <c r="Q135" s="3675"/>
      <c r="R135" s="3675"/>
      <c r="S135" s="3675"/>
      <c r="T135" s="3675"/>
      <c r="U135" s="3675"/>
      <c r="V135" s="3675"/>
      <c r="W135" s="3675"/>
      <c r="X135" s="3675"/>
      <c r="Y135" s="3675"/>
      <c r="Z135" s="3675"/>
      <c r="AA135" s="3675"/>
      <c r="AB135" s="3675"/>
      <c r="AC135" s="3675"/>
    </row>
    <row r="136" spans="1:29" ht="15" thickBot="1">
      <c r="A136" s="3675"/>
      <c r="B136" s="3678" t="s">
        <v>3575</v>
      </c>
      <c r="C136" s="3679"/>
      <c r="D136" s="3679"/>
      <c r="E136" s="3679"/>
      <c r="F136" s="3679"/>
      <c r="G136" s="3679"/>
      <c r="H136" s="3679"/>
      <c r="I136" s="3679"/>
      <c r="J136" s="3679"/>
      <c r="K136" s="3680"/>
      <c r="L136" s="3677"/>
      <c r="M136" s="3675"/>
      <c r="N136" s="3675"/>
      <c r="O136" s="3675"/>
      <c r="P136" s="3675"/>
      <c r="Q136" s="3675"/>
      <c r="R136" s="3675"/>
      <c r="S136" s="3675"/>
      <c r="T136" s="3675"/>
      <c r="U136" s="3675"/>
      <c r="V136" s="3675"/>
      <c r="W136" s="3675"/>
      <c r="X136" s="3675"/>
      <c r="Y136" s="3675"/>
      <c r="Z136" s="3675"/>
      <c r="AA136" s="3675"/>
      <c r="AB136" s="3675"/>
      <c r="AC136" s="3675"/>
    </row>
    <row r="137" spans="1:29">
      <c r="A137" s="3675"/>
      <c r="B137" s="3681" t="s">
        <v>3576</v>
      </c>
      <c r="C137" s="3682"/>
      <c r="D137" s="3682"/>
      <c r="E137" s="3682"/>
      <c r="F137" s="3682"/>
      <c r="G137" s="3683"/>
      <c r="H137" s="3684"/>
      <c r="I137" s="3685" t="s">
        <v>3577</v>
      </c>
      <c r="J137" s="3682"/>
      <c r="K137" s="3686"/>
      <c r="L137" s="3677"/>
      <c r="M137" s="3675"/>
      <c r="N137" s="3675"/>
      <c r="O137" s="3675"/>
      <c r="P137" s="3675"/>
      <c r="Q137" s="3675"/>
      <c r="R137" s="3675"/>
      <c r="S137" s="3675"/>
      <c r="T137" s="3675"/>
      <c r="U137" s="3675"/>
      <c r="V137" s="3675"/>
      <c r="W137" s="3675"/>
      <c r="X137" s="3675"/>
      <c r="Y137" s="3675"/>
      <c r="Z137" s="3675"/>
      <c r="AA137" s="3675"/>
      <c r="AB137" s="3675"/>
      <c r="AC137" s="3675"/>
    </row>
    <row r="138" spans="1:29">
      <c r="A138" s="3675"/>
      <c r="B138" s="3687"/>
      <c r="C138" s="3688" t="s">
        <v>3578</v>
      </c>
      <c r="D138" s="3688" t="s">
        <v>3579</v>
      </c>
      <c r="E138" s="3689" t="s">
        <v>3580</v>
      </c>
      <c r="F138" s="3690" t="s">
        <v>3581</v>
      </c>
      <c r="G138" s="3688" t="s">
        <v>3582</v>
      </c>
      <c r="H138" s="3691" t="s">
        <v>3580</v>
      </c>
      <c r="I138" s="3692"/>
      <c r="J138" s="3688" t="s">
        <v>3583</v>
      </c>
      <c r="K138" s="3691" t="s">
        <v>3584</v>
      </c>
      <c r="L138" s="3677"/>
      <c r="M138" s="3675"/>
      <c r="N138" s="3675"/>
      <c r="O138" s="3675"/>
      <c r="P138" s="3675"/>
      <c r="Q138" s="3675"/>
      <c r="R138" s="3675"/>
      <c r="S138" s="3675"/>
      <c r="T138" s="3675"/>
      <c r="U138" s="3675"/>
      <c r="V138" s="3675"/>
      <c r="W138" s="3675"/>
      <c r="X138" s="3675"/>
      <c r="Y138" s="3675"/>
      <c r="Z138" s="3675"/>
      <c r="AA138" s="3675"/>
      <c r="AB138" s="3675"/>
      <c r="AC138" s="3675"/>
    </row>
    <row r="139" spans="1:29" ht="15">
      <c r="A139" s="3675"/>
      <c r="B139" s="3693">
        <v>6</v>
      </c>
      <c r="C139" s="3694">
        <v>96</v>
      </c>
      <c r="D139" s="3695" t="s">
        <v>3585</v>
      </c>
      <c r="E139" s="3696">
        <v>100</v>
      </c>
      <c r="F139" s="3697">
        <v>102.5</v>
      </c>
      <c r="G139" s="3695" t="s">
        <v>3585</v>
      </c>
      <c r="H139" s="3698">
        <v>105</v>
      </c>
      <c r="I139" s="3699" t="s">
        <v>3586</v>
      </c>
      <c r="J139" s="3694">
        <v>20</v>
      </c>
      <c r="K139" s="3700">
        <f>C145/(J139-2)</f>
        <v>4.0555555555555553E-3</v>
      </c>
      <c r="L139" s="3677"/>
      <c r="M139" s="3675"/>
      <c r="N139" s="3675"/>
      <c r="O139" s="3675"/>
      <c r="P139" s="3675"/>
      <c r="Q139" s="3675"/>
      <c r="R139" s="3675"/>
      <c r="S139" s="3675"/>
      <c r="T139" s="3675"/>
      <c r="U139" s="3675"/>
      <c r="V139" s="3675"/>
      <c r="W139" s="3675"/>
      <c r="X139" s="3675"/>
      <c r="Y139" s="3675"/>
      <c r="Z139" s="3675"/>
      <c r="AA139" s="3675"/>
      <c r="AB139" s="3675"/>
      <c r="AC139" s="3675"/>
    </row>
    <row r="140" spans="1:29" ht="15">
      <c r="A140" s="3675"/>
      <c r="B140" s="3701">
        <v>5</v>
      </c>
      <c r="C140" s="3702">
        <v>100</v>
      </c>
      <c r="D140" s="3703"/>
      <c r="E140" s="3704"/>
      <c r="F140" s="3705">
        <v>102</v>
      </c>
      <c r="G140" s="3703"/>
      <c r="H140" s="3706"/>
      <c r="I140" s="3707" t="s">
        <v>3587</v>
      </c>
      <c r="J140" s="3708">
        <f>ROUNDUP((J139-1)/2,0)</f>
        <v>10</v>
      </c>
      <c r="K140" s="3709">
        <v>100</v>
      </c>
      <c r="L140" s="3677"/>
      <c r="M140" s="3675"/>
      <c r="N140" s="3675"/>
      <c r="O140" s="3675"/>
      <c r="P140" s="3675"/>
      <c r="Q140" s="3675"/>
      <c r="R140" s="3675"/>
      <c r="S140" s="3675"/>
      <c r="T140" s="3675"/>
      <c r="U140" s="3675"/>
      <c r="V140" s="3675"/>
      <c r="W140" s="3675"/>
      <c r="X140" s="3675"/>
      <c r="Y140" s="3675"/>
      <c r="Z140" s="3675"/>
      <c r="AA140" s="3675"/>
      <c r="AB140" s="3675"/>
      <c r="AC140" s="3675"/>
    </row>
    <row r="141" spans="1:29" ht="15">
      <c r="A141" s="3675"/>
      <c r="B141" s="3701">
        <v>4</v>
      </c>
      <c r="C141" s="3702">
        <v>102</v>
      </c>
      <c r="D141" s="3703"/>
      <c r="E141" s="3704"/>
      <c r="F141" s="3705">
        <v>101.5</v>
      </c>
      <c r="G141" s="3703"/>
      <c r="H141" s="3706"/>
      <c r="I141" s="3707" t="s">
        <v>3588</v>
      </c>
      <c r="J141" s="3708">
        <v>1</v>
      </c>
      <c r="K141" s="3710">
        <f>ROUND(100+(J141-J140)*K139*100,1)</f>
        <v>96.4</v>
      </c>
      <c r="L141" s="3677"/>
      <c r="M141" s="3675"/>
      <c r="N141" s="3675"/>
      <c r="O141" s="3675"/>
      <c r="P141" s="3675"/>
      <c r="Q141" s="3675"/>
      <c r="R141" s="3675"/>
      <c r="S141" s="3675"/>
      <c r="T141" s="3675"/>
      <c r="U141" s="3675"/>
      <c r="V141" s="3675"/>
      <c r="W141" s="3675"/>
      <c r="X141" s="3675"/>
      <c r="Y141" s="3675"/>
      <c r="Z141" s="3675"/>
      <c r="AA141" s="3675"/>
      <c r="AB141" s="3675"/>
      <c r="AC141" s="3675"/>
    </row>
    <row r="142" spans="1:29" ht="15">
      <c r="A142" s="3675"/>
      <c r="B142" s="3701">
        <v>3</v>
      </c>
      <c r="C142" s="3702">
        <v>103</v>
      </c>
      <c r="D142" s="3703"/>
      <c r="E142" s="3704"/>
      <c r="F142" s="3705">
        <v>101</v>
      </c>
      <c r="G142" s="3703"/>
      <c r="H142" s="3706"/>
      <c r="I142" s="3707" t="s">
        <v>3589</v>
      </c>
      <c r="J142" s="3708">
        <f>J139</f>
        <v>20</v>
      </c>
      <c r="K142" s="3711">
        <v>95</v>
      </c>
      <c r="L142" s="3677"/>
      <c r="M142" s="3675"/>
      <c r="N142" s="3675"/>
      <c r="O142" s="3675"/>
      <c r="P142" s="3675"/>
      <c r="Q142" s="3675"/>
      <c r="R142" s="3675"/>
      <c r="S142" s="3675"/>
      <c r="T142" s="3675"/>
      <c r="U142" s="3675"/>
      <c r="V142" s="3675"/>
      <c r="W142" s="3675"/>
      <c r="X142" s="3675"/>
      <c r="Y142" s="3675"/>
      <c r="Z142" s="3675"/>
      <c r="AA142" s="3675"/>
      <c r="AB142" s="3675"/>
      <c r="AC142" s="3675"/>
    </row>
    <row r="143" spans="1:29" ht="15">
      <c r="A143" s="3675"/>
      <c r="B143" s="3701">
        <v>2</v>
      </c>
      <c r="C143" s="3702">
        <v>100</v>
      </c>
      <c r="D143" s="3703"/>
      <c r="E143" s="3704"/>
      <c r="F143" s="3705">
        <v>100.5</v>
      </c>
      <c r="G143" s="3703"/>
      <c r="H143" s="3706"/>
      <c r="I143" s="3707" t="s">
        <v>3590</v>
      </c>
      <c r="J143" s="3702">
        <v>15</v>
      </c>
      <c r="K143" s="3710">
        <f>ROUND(100+(J143-J140)*K139*100,1)</f>
        <v>102</v>
      </c>
      <c r="L143" s="3677"/>
      <c r="M143" s="3675"/>
      <c r="N143" s="3675"/>
      <c r="O143" s="3675"/>
      <c r="P143" s="3675"/>
      <c r="Q143" s="3675"/>
      <c r="R143" s="3675"/>
      <c r="S143" s="3675"/>
      <c r="T143" s="3675"/>
      <c r="U143" s="3675"/>
      <c r="V143" s="3675"/>
      <c r="W143" s="3675"/>
      <c r="X143" s="3675"/>
      <c r="Y143" s="3675"/>
      <c r="Z143" s="3675"/>
      <c r="AA143" s="3675"/>
      <c r="AB143" s="3675"/>
      <c r="AC143" s="3675"/>
    </row>
    <row r="144" spans="1:29" ht="15">
      <c r="A144" s="3675"/>
      <c r="B144" s="3701">
        <v>1</v>
      </c>
      <c r="C144" s="3702">
        <v>98</v>
      </c>
      <c r="D144" s="3712" t="s">
        <v>3591</v>
      </c>
      <c r="E144" s="3704">
        <v>102</v>
      </c>
      <c r="F144" s="3713">
        <v>100</v>
      </c>
      <c r="G144" s="3712" t="s">
        <v>3591</v>
      </c>
      <c r="H144" s="3706">
        <v>105</v>
      </c>
      <c r="I144" s="3707" t="s">
        <v>3590</v>
      </c>
      <c r="J144" s="3702">
        <v>18</v>
      </c>
      <c r="K144" s="3710">
        <f>ROUND(100+(J144-J140)*K139*100,1)</f>
        <v>103.2</v>
      </c>
      <c r="L144" s="3677"/>
      <c r="M144" s="3675"/>
      <c r="N144" s="3675"/>
      <c r="O144" s="3675"/>
      <c r="P144" s="3675"/>
      <c r="Q144" s="3675"/>
      <c r="R144" s="3675"/>
      <c r="S144" s="3675"/>
      <c r="T144" s="3675"/>
      <c r="U144" s="3675"/>
      <c r="V144" s="3675"/>
      <c r="W144" s="3675"/>
      <c r="X144" s="3675"/>
      <c r="Y144" s="3675"/>
      <c r="Z144" s="3675"/>
      <c r="AA144" s="3675"/>
      <c r="AB144" s="3675"/>
      <c r="AC144" s="3675"/>
    </row>
    <row r="145" spans="1:29" ht="15.75" thickBot="1">
      <c r="A145" s="3675"/>
      <c r="B145" s="3714" t="s">
        <v>3592</v>
      </c>
      <c r="C145" s="3715">
        <f>ROUND(MAX(C139:C144)/MIN(C139:C144)-1,3)</f>
        <v>7.2999999999999995E-2</v>
      </c>
      <c r="D145" s="3716"/>
      <c r="E145" s="3716"/>
      <c r="F145" s="3717" t="s">
        <v>3593</v>
      </c>
      <c r="G145" s="3718"/>
      <c r="H145" s="3719"/>
      <c r="I145" s="3720" t="s">
        <v>3590</v>
      </c>
      <c r="J145" s="3721">
        <v>8</v>
      </c>
      <c r="K145" s="3722">
        <f>ROUND(100+(J145-J140)*K139*100,1)</f>
        <v>99.2</v>
      </c>
      <c r="L145" s="3677"/>
      <c r="M145" s="3675"/>
      <c r="N145" s="3675"/>
      <c r="O145" s="3675"/>
      <c r="P145" s="3675"/>
      <c r="Q145" s="3675"/>
      <c r="R145" s="3675"/>
      <c r="S145" s="3675"/>
      <c r="T145" s="3675"/>
      <c r="U145" s="3675"/>
      <c r="V145" s="3675"/>
      <c r="W145" s="3675"/>
      <c r="X145" s="3675"/>
      <c r="Y145" s="3675"/>
      <c r="Z145" s="3675"/>
      <c r="AA145" s="3675"/>
      <c r="AB145" s="3675"/>
      <c r="AC145" s="3675"/>
    </row>
    <row r="146" spans="1:29">
      <c r="A146" s="3675"/>
      <c r="B146" s="3675"/>
      <c r="C146" s="3675"/>
      <c r="D146" s="3675"/>
      <c r="E146" s="3675"/>
      <c r="F146" s="3675"/>
      <c r="G146" s="3675"/>
      <c r="H146" s="3675"/>
      <c r="I146" s="3675"/>
      <c r="J146" s="3675"/>
      <c r="K146" s="3676"/>
      <c r="L146" s="3677"/>
      <c r="M146" s="3675"/>
      <c r="N146" s="3675"/>
      <c r="O146" s="3675"/>
      <c r="P146" s="3675"/>
      <c r="Q146" s="3675"/>
      <c r="R146" s="3675"/>
      <c r="S146" s="3675"/>
      <c r="T146" s="3675"/>
      <c r="U146" s="3675"/>
      <c r="V146" s="3675"/>
      <c r="W146" s="3675"/>
      <c r="X146" s="3675"/>
      <c r="Y146" s="3675"/>
      <c r="Z146" s="3675"/>
      <c r="AA146" s="3675"/>
      <c r="AB146" s="3675"/>
      <c r="AC146" s="3675"/>
    </row>
    <row r="147" spans="1:29">
      <c r="A147" s="3675"/>
      <c r="B147" s="3723" t="s">
        <v>3594</v>
      </c>
      <c r="L147" s="3677"/>
      <c r="M147" s="3675"/>
      <c r="N147" s="3675"/>
      <c r="O147" s="3675"/>
      <c r="P147" s="3675"/>
      <c r="Q147" s="3675"/>
      <c r="R147" s="3675"/>
      <c r="S147" s="3675"/>
      <c r="T147" s="3675"/>
      <c r="U147" s="3675"/>
      <c r="V147" s="3675"/>
      <c r="W147" s="3675"/>
      <c r="X147" s="3675"/>
      <c r="Y147" s="3675"/>
      <c r="Z147" s="3675"/>
      <c r="AA147" s="3675"/>
      <c r="AB147" s="3675"/>
      <c r="AC147" s="3675"/>
    </row>
    <row r="148" spans="1:29">
      <c r="A148" s="3675"/>
      <c r="B148" s="3723" t="s">
        <v>3595</v>
      </c>
      <c r="L148" s="3677"/>
      <c r="M148" s="3675"/>
      <c r="N148" s="3675"/>
      <c r="O148" s="3675"/>
      <c r="P148" s="3675"/>
      <c r="Q148" s="3675"/>
      <c r="R148" s="3675"/>
      <c r="S148" s="3675"/>
      <c r="T148" s="3675"/>
      <c r="U148" s="3675"/>
      <c r="V148" s="3675"/>
      <c r="W148" s="3675"/>
      <c r="X148" s="3675"/>
      <c r="Y148" s="3675"/>
      <c r="Z148" s="3675"/>
      <c r="AA148" s="3675"/>
      <c r="AB148" s="3675"/>
      <c r="AC148" s="3675"/>
    </row>
    <row r="149" spans="1:29">
      <c r="A149" s="3675"/>
      <c r="B149" s="3675"/>
      <c r="C149" s="3675"/>
      <c r="D149" s="3675"/>
      <c r="E149" s="3675"/>
      <c r="F149" s="3675"/>
      <c r="G149" s="3675"/>
      <c r="H149" s="3675"/>
      <c r="I149" s="3675"/>
      <c r="J149" s="3675"/>
      <c r="K149" s="3676"/>
      <c r="L149" s="3677"/>
      <c r="M149" s="3675"/>
      <c r="N149" s="3675"/>
      <c r="O149" s="3675"/>
      <c r="P149" s="3675"/>
      <c r="Q149" s="3675"/>
      <c r="R149" s="3675"/>
      <c r="S149" s="3675"/>
      <c r="T149" s="3675"/>
      <c r="U149" s="3675"/>
      <c r="V149" s="3675"/>
      <c r="W149" s="3675"/>
      <c r="X149" s="3675"/>
      <c r="Y149" s="3675"/>
      <c r="Z149" s="3675"/>
      <c r="AA149" s="3675"/>
      <c r="AB149" s="3675"/>
      <c r="AC149" s="3675"/>
    </row>
    <row r="150" spans="1:29">
      <c r="A150" s="3675"/>
      <c r="B150" s="3675"/>
      <c r="C150" s="3675"/>
      <c r="D150" s="3675"/>
      <c r="E150" s="3675"/>
      <c r="F150" s="3675"/>
      <c r="G150" s="3675"/>
      <c r="H150" s="3675"/>
      <c r="I150" s="3675"/>
      <c r="J150" s="3675"/>
      <c r="K150" s="3676"/>
      <c r="L150" s="3677"/>
      <c r="M150" s="3675"/>
      <c r="N150" s="3675"/>
      <c r="O150" s="3675"/>
      <c r="P150" s="3675"/>
      <c r="Q150" s="3675"/>
      <c r="R150" s="3675"/>
      <c r="S150" s="3675"/>
      <c r="T150" s="3675"/>
      <c r="U150" s="3675"/>
      <c r="V150" s="3675"/>
      <c r="W150" s="3675"/>
      <c r="X150" s="3675"/>
      <c r="Y150" s="3675"/>
      <c r="Z150" s="3675"/>
      <c r="AA150" s="3675"/>
      <c r="AB150" s="3675"/>
      <c r="AC150" s="3675"/>
    </row>
    <row r="151" spans="1:29">
      <c r="A151" s="3675"/>
      <c r="B151" s="3675"/>
      <c r="C151" s="3675"/>
      <c r="D151" s="3675"/>
      <c r="E151" s="3675"/>
      <c r="F151" s="3675"/>
      <c r="G151" s="3675"/>
      <c r="H151" s="3675"/>
      <c r="I151" s="3675"/>
      <c r="J151" s="3675"/>
      <c r="K151" s="3676"/>
      <c r="L151" s="3677"/>
      <c r="M151" s="3675"/>
      <c r="N151" s="3675"/>
      <c r="O151" s="3675"/>
      <c r="P151" s="3675"/>
      <c r="Q151" s="3675"/>
      <c r="R151" s="3675"/>
      <c r="S151" s="3675"/>
      <c r="T151" s="3675"/>
      <c r="U151" s="3675"/>
      <c r="V151" s="3675"/>
      <c r="W151" s="3675"/>
      <c r="X151" s="3675"/>
      <c r="Y151" s="3675"/>
      <c r="Z151" s="3675"/>
      <c r="AA151" s="3675"/>
      <c r="AB151" s="3675"/>
      <c r="AC151" s="3675"/>
    </row>
    <row r="152" spans="1:29">
      <c r="A152" s="3675"/>
      <c r="B152" s="3675"/>
      <c r="C152" s="3675"/>
      <c r="D152" s="3675"/>
      <c r="E152" s="3675"/>
      <c r="F152" s="3675"/>
      <c r="G152" s="3675"/>
      <c r="H152" s="3675"/>
      <c r="I152" s="3675"/>
      <c r="J152" s="3675"/>
      <c r="K152" s="3676"/>
      <c r="L152" s="3677"/>
      <c r="M152" s="3675"/>
      <c r="N152" s="3675"/>
      <c r="O152" s="3675"/>
      <c r="P152" s="3675"/>
      <c r="Q152" s="3675"/>
      <c r="R152" s="3675"/>
      <c r="S152" s="3675"/>
      <c r="T152" s="3675"/>
      <c r="U152" s="3675"/>
      <c r="V152" s="3675"/>
      <c r="W152" s="3675"/>
      <c r="X152" s="3675"/>
      <c r="Y152" s="3675"/>
      <c r="Z152" s="3675"/>
      <c r="AA152" s="3675"/>
      <c r="AB152" s="3675"/>
      <c r="AC152" s="3675"/>
    </row>
    <row r="153" spans="1:29">
      <c r="A153" s="3675"/>
      <c r="B153" s="3675"/>
      <c r="C153" s="3675"/>
      <c r="D153" s="3675"/>
      <c r="E153" s="3675"/>
      <c r="F153" s="3675"/>
      <c r="G153" s="3675"/>
      <c r="H153" s="3675"/>
      <c r="I153" s="3675"/>
      <c r="J153" s="3675"/>
      <c r="K153" s="3676"/>
      <c r="L153" s="3677"/>
      <c r="M153" s="3675"/>
      <c r="N153" s="3675"/>
      <c r="O153" s="3675"/>
      <c r="P153" s="3675"/>
      <c r="Q153" s="3675"/>
      <c r="R153" s="3675"/>
      <c r="S153" s="3675"/>
      <c r="T153" s="3675"/>
      <c r="U153" s="3675"/>
      <c r="V153" s="3675"/>
      <c r="W153" s="3675"/>
      <c r="X153" s="3675"/>
      <c r="Y153" s="3675"/>
      <c r="Z153" s="3675"/>
      <c r="AA153" s="3675"/>
      <c r="AB153" s="3675"/>
      <c r="AC153" s="3675"/>
    </row>
    <row r="154" spans="1:29">
      <c r="A154" s="3675"/>
      <c r="B154" s="3675"/>
      <c r="C154" s="3675"/>
      <c r="D154" s="3675"/>
      <c r="E154" s="3675"/>
      <c r="F154" s="3675"/>
      <c r="G154" s="3675"/>
      <c r="H154" s="3675"/>
      <c r="I154" s="3675"/>
      <c r="J154" s="3675"/>
      <c r="K154" s="3676"/>
      <c r="L154" s="3677"/>
      <c r="M154" s="3675"/>
      <c r="N154" s="3675"/>
      <c r="O154" s="3675"/>
      <c r="P154" s="3675"/>
      <c r="Q154" s="3675"/>
      <c r="R154" s="3675"/>
      <c r="S154" s="3675"/>
      <c r="T154" s="3675"/>
      <c r="U154" s="3675"/>
      <c r="V154" s="3675"/>
      <c r="W154" s="3675"/>
      <c r="X154" s="3675"/>
      <c r="Y154" s="3675"/>
      <c r="Z154" s="3675"/>
      <c r="AA154" s="3675"/>
      <c r="AB154" s="3675"/>
      <c r="AC154" s="3675"/>
    </row>
    <row r="155" spans="1:29">
      <c r="A155" s="3675"/>
      <c r="B155" s="3675"/>
      <c r="C155" s="3675"/>
      <c r="D155" s="3675"/>
      <c r="E155" s="3675"/>
      <c r="F155" s="3675"/>
      <c r="G155" s="3675"/>
      <c r="H155" s="3675"/>
      <c r="I155" s="3675"/>
      <c r="J155" s="3675"/>
      <c r="K155" s="3676"/>
      <c r="L155" s="3677"/>
      <c r="M155" s="3675"/>
      <c r="N155" s="3675"/>
      <c r="O155" s="3675"/>
      <c r="P155" s="3675"/>
      <c r="Q155" s="3675"/>
      <c r="R155" s="3675"/>
      <c r="S155" s="3675"/>
      <c r="T155" s="3675"/>
      <c r="U155" s="3675"/>
      <c r="V155" s="3675"/>
      <c r="W155" s="3675"/>
      <c r="X155" s="3675"/>
      <c r="Y155" s="3675"/>
      <c r="Z155" s="3675"/>
      <c r="AA155" s="3675"/>
      <c r="AB155" s="3675"/>
      <c r="AC155" s="3675"/>
    </row>
    <row r="156" spans="1:29">
      <c r="A156" s="3675"/>
      <c r="B156" s="3675"/>
      <c r="C156" s="3675"/>
      <c r="D156" s="3675"/>
      <c r="E156" s="3675"/>
      <c r="F156" s="3675"/>
      <c r="G156" s="3675"/>
      <c r="H156" s="3675"/>
      <c r="I156" s="3675"/>
      <c r="J156" s="3675"/>
      <c r="K156" s="3676"/>
      <c r="L156" s="3677"/>
      <c r="M156" s="3675"/>
      <c r="N156" s="3675"/>
      <c r="O156" s="3675"/>
      <c r="P156" s="3675"/>
      <c r="Q156" s="3675"/>
      <c r="R156" s="3675"/>
      <c r="S156" s="3675"/>
      <c r="T156" s="3675"/>
      <c r="U156" s="3675"/>
      <c r="V156" s="3675"/>
      <c r="W156" s="3675"/>
      <c r="X156" s="3675"/>
      <c r="Y156" s="3675"/>
      <c r="Z156" s="3675"/>
      <c r="AA156" s="3675"/>
      <c r="AB156" s="3675"/>
      <c r="AC156" s="3675"/>
    </row>
    <row r="157" spans="1:29">
      <c r="A157" s="3675"/>
      <c r="B157" s="3675"/>
      <c r="C157" s="3675"/>
      <c r="D157" s="3675"/>
      <c r="E157" s="3675"/>
      <c r="F157" s="3675"/>
      <c r="G157" s="3675"/>
      <c r="H157" s="3675"/>
      <c r="I157" s="3675"/>
      <c r="J157" s="3675"/>
      <c r="K157" s="3676"/>
      <c r="L157" s="3677"/>
      <c r="M157" s="3675"/>
      <c r="N157" s="3675"/>
      <c r="O157" s="3675"/>
      <c r="P157" s="3675"/>
      <c r="Q157" s="3675"/>
      <c r="R157" s="3675"/>
      <c r="S157" s="3675"/>
      <c r="T157" s="3675"/>
      <c r="U157" s="3675"/>
      <c r="V157" s="3675"/>
      <c r="W157" s="3675"/>
      <c r="X157" s="3675"/>
      <c r="Y157" s="3675"/>
      <c r="Z157" s="3675"/>
      <c r="AA157" s="3675"/>
      <c r="AB157" s="3675"/>
      <c r="AC157" s="3675"/>
    </row>
    <row r="158" spans="1:29">
      <c r="A158" s="3675"/>
      <c r="B158" s="3675"/>
      <c r="C158" s="3675"/>
      <c r="D158" s="3675"/>
      <c r="E158" s="3675"/>
      <c r="F158" s="3675"/>
      <c r="G158" s="3675"/>
      <c r="H158" s="3675"/>
      <c r="I158" s="3675"/>
      <c r="J158" s="3675"/>
      <c r="K158" s="3676"/>
      <c r="L158" s="3677"/>
      <c r="M158" s="3675"/>
      <c r="N158" s="3675"/>
      <c r="O158" s="3675"/>
      <c r="P158" s="3675"/>
      <c r="Q158" s="3675"/>
      <c r="R158" s="3675"/>
      <c r="S158" s="3675"/>
      <c r="T158" s="3675"/>
      <c r="U158" s="3675"/>
      <c r="V158" s="3675"/>
      <c r="W158" s="3675"/>
      <c r="X158" s="3675"/>
      <c r="Y158" s="3675"/>
      <c r="Z158" s="3675"/>
      <c r="AA158" s="3675"/>
      <c r="AB158" s="3675"/>
      <c r="AC158" s="3675"/>
    </row>
    <row r="159" spans="1:29">
      <c r="A159" s="3675"/>
      <c r="B159" s="3675"/>
      <c r="C159" s="3675"/>
      <c r="D159" s="3675"/>
      <c r="E159" s="3675"/>
      <c r="F159" s="3675"/>
      <c r="G159" s="3675"/>
      <c r="H159" s="3675"/>
      <c r="I159" s="3675"/>
      <c r="J159" s="3675"/>
      <c r="K159" s="3676"/>
      <c r="L159" s="3677"/>
      <c r="M159" s="3675"/>
      <c r="N159" s="3675"/>
      <c r="O159" s="3675"/>
      <c r="P159" s="3675"/>
      <c r="Q159" s="3675"/>
      <c r="R159" s="3675"/>
      <c r="S159" s="3675"/>
      <c r="T159" s="3675"/>
      <c r="U159" s="3675"/>
      <c r="V159" s="3675"/>
      <c r="W159" s="3675"/>
      <c r="X159" s="3675"/>
      <c r="Y159" s="3675"/>
      <c r="Z159" s="3675"/>
      <c r="AA159" s="3675"/>
      <c r="AB159" s="3675"/>
      <c r="AC159" s="3675"/>
    </row>
    <row r="160" spans="1:29">
      <c r="A160" s="3675"/>
      <c r="B160" s="3675"/>
      <c r="C160" s="3675"/>
      <c r="D160" s="3675"/>
      <c r="E160" s="3675"/>
      <c r="F160" s="3675"/>
      <c r="G160" s="3675"/>
      <c r="H160" s="3675"/>
      <c r="I160" s="3675"/>
      <c r="J160" s="3675"/>
      <c r="K160" s="3676"/>
      <c r="L160" s="3677"/>
      <c r="M160" s="3675"/>
      <c r="N160" s="3675"/>
      <c r="O160" s="3675"/>
      <c r="P160" s="3675"/>
      <c r="Q160" s="3675"/>
      <c r="R160" s="3675"/>
      <c r="S160" s="3675"/>
      <c r="T160" s="3675"/>
      <c r="U160" s="3675"/>
      <c r="V160" s="3675"/>
      <c r="W160" s="3675"/>
      <c r="X160" s="3675"/>
      <c r="Y160" s="3675"/>
      <c r="Z160" s="3675"/>
      <c r="AA160" s="3675"/>
      <c r="AB160" s="3675"/>
      <c r="AC160" s="3675"/>
    </row>
    <row r="161" spans="1:29">
      <c r="A161" s="3675"/>
      <c r="B161" s="3675"/>
      <c r="C161" s="3675"/>
      <c r="D161" s="3675"/>
      <c r="E161" s="3675"/>
      <c r="F161" s="3675"/>
      <c r="G161" s="3675"/>
      <c r="H161" s="3675"/>
      <c r="I161" s="3675"/>
      <c r="J161" s="3675"/>
      <c r="K161" s="3676"/>
      <c r="L161" s="3677"/>
      <c r="M161" s="3675"/>
      <c r="N161" s="3675"/>
      <c r="O161" s="3675"/>
      <c r="P161" s="3675"/>
      <c r="Q161" s="3675"/>
      <c r="R161" s="3675"/>
      <c r="S161" s="3675"/>
      <c r="T161" s="3675"/>
      <c r="U161" s="3675"/>
      <c r="V161" s="3675"/>
      <c r="W161" s="3675"/>
      <c r="X161" s="3675"/>
      <c r="Y161" s="3675"/>
      <c r="Z161" s="3675"/>
      <c r="AA161" s="3675"/>
      <c r="AB161" s="3675"/>
      <c r="AC161" s="3675"/>
    </row>
    <row r="162" spans="1:29">
      <c r="A162" s="3675"/>
      <c r="B162" s="3675"/>
      <c r="C162" s="3675"/>
      <c r="D162" s="3675"/>
      <c r="E162" s="3675"/>
      <c r="F162" s="3675"/>
      <c r="G162" s="3675"/>
      <c r="H162" s="3675"/>
      <c r="I162" s="3675"/>
      <c r="J162" s="3675"/>
      <c r="K162" s="3676"/>
      <c r="L162" s="3677"/>
      <c r="M162" s="3675"/>
      <c r="N162" s="3675"/>
      <c r="O162" s="3675"/>
      <c r="P162" s="3675"/>
      <c r="Q162" s="3675"/>
      <c r="R162" s="3675"/>
      <c r="S162" s="3675"/>
      <c r="T162" s="3675"/>
      <c r="U162" s="3675"/>
      <c r="V162" s="3675"/>
      <c r="W162" s="3675"/>
      <c r="X162" s="3675"/>
      <c r="Y162" s="3675"/>
      <c r="Z162" s="3675"/>
      <c r="AA162" s="3675"/>
      <c r="AB162" s="3675"/>
      <c r="AC162" s="3675"/>
    </row>
    <row r="163" spans="1:29">
      <c r="A163" s="3675"/>
      <c r="B163" s="3675"/>
      <c r="C163" s="3675"/>
      <c r="D163" s="3675"/>
      <c r="E163" s="3675"/>
      <c r="F163" s="3675"/>
      <c r="G163" s="3675"/>
      <c r="H163" s="3675"/>
      <c r="I163" s="3675"/>
      <c r="J163" s="3675"/>
      <c r="K163" s="3676"/>
      <c r="L163" s="3677"/>
      <c r="M163" s="3675"/>
      <c r="N163" s="3675"/>
      <c r="O163" s="3675"/>
      <c r="P163" s="3675"/>
      <c r="Q163" s="3675"/>
      <c r="R163" s="3675"/>
      <c r="S163" s="3675"/>
      <c r="T163" s="3675"/>
      <c r="U163" s="3675"/>
      <c r="V163" s="3675"/>
      <c r="W163" s="3675"/>
      <c r="X163" s="3675"/>
      <c r="Y163" s="3675"/>
      <c r="Z163" s="3675"/>
      <c r="AA163" s="3675"/>
      <c r="AB163" s="3675"/>
      <c r="AC163" s="3675"/>
    </row>
    <row r="164" spans="1:29">
      <c r="A164" s="3675"/>
      <c r="B164" s="3675"/>
      <c r="C164" s="3675"/>
      <c r="D164" s="3675"/>
      <c r="E164" s="3675"/>
      <c r="F164" s="3675"/>
      <c r="G164" s="3675"/>
      <c r="H164" s="3675"/>
      <c r="I164" s="3675"/>
      <c r="J164" s="3675"/>
      <c r="K164" s="3676"/>
      <c r="L164" s="3677"/>
      <c r="M164" s="3675"/>
      <c r="N164" s="3675"/>
      <c r="O164" s="3675"/>
      <c r="P164" s="3675"/>
      <c r="Q164" s="3675"/>
      <c r="R164" s="3675"/>
      <c r="S164" s="3675"/>
      <c r="T164" s="3675"/>
      <c r="U164" s="3675"/>
      <c r="V164" s="3675"/>
      <c r="W164" s="3675"/>
      <c r="X164" s="3675"/>
      <c r="Y164" s="3675"/>
      <c r="Z164" s="3675"/>
      <c r="AA164" s="3675"/>
      <c r="AB164" s="3675"/>
      <c r="AC164" s="3675"/>
    </row>
    <row r="165" spans="1:29">
      <c r="A165" s="3675"/>
      <c r="B165" s="3675"/>
      <c r="C165" s="3675"/>
      <c r="D165" s="3675"/>
      <c r="E165" s="3675"/>
      <c r="F165" s="3675"/>
      <c r="G165" s="3675"/>
      <c r="H165" s="3675"/>
      <c r="I165" s="3675"/>
      <c r="J165" s="3675"/>
      <c r="K165" s="3676"/>
      <c r="L165" s="3677"/>
      <c r="M165" s="3675"/>
      <c r="N165" s="3675"/>
      <c r="O165" s="3675"/>
      <c r="P165" s="3675"/>
      <c r="Q165" s="3675"/>
      <c r="R165" s="3675"/>
      <c r="S165" s="3675"/>
      <c r="T165" s="3675"/>
      <c r="U165" s="3675"/>
      <c r="V165" s="3675"/>
      <c r="W165" s="3675"/>
      <c r="X165" s="3675"/>
      <c r="Y165" s="3675"/>
      <c r="Z165" s="3675"/>
      <c r="AA165" s="3675"/>
      <c r="AB165" s="3675"/>
      <c r="AC165" s="3675"/>
    </row>
    <row r="166" spans="1:29">
      <c r="A166" s="3675"/>
      <c r="B166" s="3675"/>
      <c r="C166" s="3675"/>
      <c r="D166" s="3675"/>
      <c r="E166" s="3675"/>
      <c r="F166" s="3675"/>
      <c r="G166" s="3675"/>
      <c r="H166" s="3675"/>
      <c r="I166" s="3675"/>
      <c r="J166" s="3675"/>
      <c r="K166" s="3676"/>
      <c r="L166" s="3677"/>
      <c r="M166" s="3675"/>
      <c r="N166" s="3675"/>
      <c r="O166" s="3675"/>
      <c r="P166" s="3675"/>
      <c r="Q166" s="3675"/>
      <c r="R166" s="3675"/>
      <c r="S166" s="3675"/>
      <c r="T166" s="3675"/>
      <c r="U166" s="3675"/>
      <c r="V166" s="3675"/>
      <c r="W166" s="3675"/>
      <c r="X166" s="3675"/>
      <c r="Y166" s="3675"/>
      <c r="Z166" s="3675"/>
      <c r="AA166" s="3675"/>
      <c r="AB166" s="3675"/>
      <c r="AC166" s="3675"/>
    </row>
    <row r="167" spans="1:29">
      <c r="A167" s="3675"/>
      <c r="B167" s="3675"/>
      <c r="C167" s="3675"/>
      <c r="D167" s="3675"/>
      <c r="E167" s="3675"/>
      <c r="F167" s="3675"/>
      <c r="G167" s="3675"/>
      <c r="H167" s="3675"/>
      <c r="I167" s="3675"/>
      <c r="J167" s="3675"/>
      <c r="K167" s="3676"/>
      <c r="L167" s="3677"/>
      <c r="M167" s="3675"/>
      <c r="N167" s="3675"/>
      <c r="O167" s="3675"/>
      <c r="P167" s="3675"/>
      <c r="Q167" s="3675"/>
      <c r="R167" s="3675"/>
      <c r="S167" s="3675"/>
      <c r="T167" s="3675"/>
      <c r="U167" s="3675"/>
      <c r="V167" s="3675"/>
      <c r="W167" s="3675"/>
      <c r="X167" s="3675"/>
      <c r="Y167" s="3675"/>
      <c r="Z167" s="3675"/>
      <c r="AA167" s="3675"/>
      <c r="AB167" s="3675"/>
      <c r="AC167" s="3675"/>
    </row>
    <row r="168" spans="1:29">
      <c r="A168" s="3675"/>
      <c r="B168" s="3675"/>
      <c r="C168" s="3675"/>
      <c r="D168" s="3675"/>
      <c r="E168" s="3675"/>
      <c r="F168" s="3675"/>
      <c r="G168" s="3675"/>
      <c r="H168" s="3675"/>
      <c r="I168" s="3675"/>
      <c r="J168" s="3675"/>
      <c r="K168" s="3676"/>
      <c r="L168" s="3677"/>
      <c r="M168" s="3675"/>
      <c r="N168" s="3675"/>
      <c r="O168" s="3675"/>
      <c r="P168" s="3675"/>
      <c r="Q168" s="3675"/>
      <c r="R168" s="3675"/>
      <c r="S168" s="3675"/>
      <c r="T168" s="3675"/>
      <c r="U168" s="3675"/>
      <c r="V168" s="3675"/>
      <c r="W168" s="3675"/>
      <c r="X168" s="3675"/>
      <c r="Y168" s="3675"/>
      <c r="Z168" s="3675"/>
      <c r="AA168" s="3675"/>
      <c r="AB168" s="3675"/>
      <c r="AC168" s="3675"/>
    </row>
    <row r="169" spans="1:29">
      <c r="A169" s="3675"/>
      <c r="B169" s="3675"/>
      <c r="C169" s="3675"/>
      <c r="D169" s="3675"/>
      <c r="E169" s="3675"/>
      <c r="F169" s="3675"/>
      <c r="G169" s="3675"/>
      <c r="H169" s="3675"/>
      <c r="I169" s="3675"/>
      <c r="J169" s="3675"/>
      <c r="K169" s="3676"/>
      <c r="L169" s="3677"/>
      <c r="M169" s="3675"/>
      <c r="N169" s="3675"/>
      <c r="O169" s="3675"/>
      <c r="P169" s="3675"/>
      <c r="Q169" s="3675"/>
      <c r="R169" s="3675"/>
      <c r="S169" s="3675"/>
      <c r="T169" s="3675"/>
      <c r="U169" s="3675"/>
      <c r="V169" s="3675"/>
      <c r="W169" s="3675"/>
      <c r="X169" s="3675"/>
      <c r="Y169" s="3675"/>
      <c r="Z169" s="3675"/>
      <c r="AA169" s="3675"/>
      <c r="AB169" s="3675"/>
      <c r="AC169" s="3675"/>
    </row>
    <row r="170" spans="1:29">
      <c r="A170" s="3675"/>
      <c r="B170" s="3675"/>
      <c r="C170" s="3675"/>
      <c r="D170" s="3675"/>
      <c r="E170" s="3675"/>
      <c r="F170" s="3675"/>
      <c r="G170" s="3675"/>
      <c r="H170" s="3675"/>
      <c r="I170" s="3675"/>
      <c r="J170" s="3675"/>
      <c r="K170" s="3676"/>
      <c r="L170" s="3677"/>
      <c r="M170" s="3675"/>
      <c r="N170" s="3675"/>
      <c r="O170" s="3675"/>
      <c r="P170" s="3675"/>
      <c r="Q170" s="3675"/>
      <c r="R170" s="3675"/>
      <c r="S170" s="3675"/>
      <c r="T170" s="3675"/>
      <c r="U170" s="3675"/>
      <c r="V170" s="3675"/>
      <c r="W170" s="3675"/>
      <c r="X170" s="3675"/>
      <c r="Y170" s="3675"/>
      <c r="Z170" s="3675"/>
      <c r="AA170" s="3675"/>
      <c r="AB170" s="3675"/>
      <c r="AC170" s="3675"/>
    </row>
    <row r="171" spans="1:29">
      <c r="A171" s="3675"/>
      <c r="B171" s="3675"/>
      <c r="C171" s="3675"/>
      <c r="D171" s="3675"/>
      <c r="E171" s="3675"/>
      <c r="F171" s="3675"/>
      <c r="G171" s="3675"/>
      <c r="H171" s="3675"/>
      <c r="I171" s="3675"/>
      <c r="J171" s="3675"/>
      <c r="K171" s="3676"/>
      <c r="L171" s="3677"/>
      <c r="M171" s="3675"/>
      <c r="N171" s="3675"/>
      <c r="O171" s="3675"/>
      <c r="P171" s="3675"/>
      <c r="Q171" s="3675"/>
      <c r="R171" s="3675"/>
      <c r="S171" s="3675"/>
      <c r="T171" s="3675"/>
      <c r="U171" s="3675"/>
      <c r="V171" s="3675"/>
      <c r="W171" s="3675"/>
      <c r="X171" s="3675"/>
      <c r="Y171" s="3675"/>
      <c r="Z171" s="3675"/>
      <c r="AA171" s="3675"/>
      <c r="AB171" s="3675"/>
      <c r="AC171" s="3675"/>
    </row>
    <row r="172" spans="1:29">
      <c r="A172" s="3675"/>
      <c r="B172" s="3675"/>
      <c r="C172" s="3675"/>
      <c r="D172" s="3675"/>
      <c r="E172" s="3675"/>
      <c r="F172" s="3675"/>
      <c r="G172" s="3675"/>
      <c r="H172" s="3675"/>
      <c r="I172" s="3675"/>
      <c r="J172" s="3675"/>
      <c r="K172" s="3676"/>
      <c r="L172" s="3677"/>
      <c r="M172" s="3675"/>
      <c r="N172" s="3675"/>
      <c r="O172" s="3675"/>
      <c r="P172" s="3675"/>
      <c r="Q172" s="3675"/>
      <c r="R172" s="3675"/>
      <c r="S172" s="3675"/>
      <c r="T172" s="3675"/>
      <c r="U172" s="3675"/>
      <c r="V172" s="3675"/>
      <c r="W172" s="3675"/>
      <c r="X172" s="3675"/>
      <c r="Y172" s="3675"/>
      <c r="Z172" s="3675"/>
      <c r="AA172" s="3675"/>
      <c r="AB172" s="3675"/>
      <c r="AC172" s="3675"/>
    </row>
    <row r="173" spans="1:29">
      <c r="A173" s="3675"/>
      <c r="B173" s="3675"/>
      <c r="C173" s="3675"/>
      <c r="D173" s="3675"/>
      <c r="E173" s="3675"/>
      <c r="F173" s="3675"/>
      <c r="G173" s="3675"/>
      <c r="H173" s="3675"/>
      <c r="I173" s="3675"/>
      <c r="J173" s="3675"/>
      <c r="K173" s="3676"/>
      <c r="L173" s="3677"/>
      <c r="M173" s="3675"/>
      <c r="N173" s="3675"/>
      <c r="O173" s="3675"/>
      <c r="P173" s="3675"/>
      <c r="Q173" s="3675"/>
      <c r="R173" s="3675"/>
      <c r="S173" s="3675"/>
      <c r="T173" s="3675"/>
      <c r="U173" s="3675"/>
      <c r="V173" s="3675"/>
      <c r="W173" s="3675"/>
      <c r="X173" s="3675"/>
      <c r="Y173" s="3675"/>
      <c r="Z173" s="3675"/>
      <c r="AA173" s="3675"/>
      <c r="AB173" s="3675"/>
      <c r="AC173" s="3675"/>
    </row>
    <row r="174" spans="1:29">
      <c r="A174" s="3675"/>
      <c r="B174" s="3675"/>
      <c r="C174" s="3675"/>
      <c r="D174" s="3675"/>
      <c r="E174" s="3675"/>
      <c r="F174" s="3675"/>
      <c r="G174" s="3675"/>
      <c r="H174" s="3675"/>
      <c r="I174" s="3675"/>
      <c r="J174" s="3675"/>
      <c r="K174" s="3676"/>
      <c r="L174" s="3677"/>
      <c r="M174" s="3675"/>
      <c r="N174" s="3675"/>
      <c r="O174" s="3675"/>
      <c r="P174" s="3675"/>
      <c r="Q174" s="3675"/>
      <c r="R174" s="3675"/>
      <c r="S174" s="3675"/>
      <c r="T174" s="3675"/>
      <c r="U174" s="3675"/>
      <c r="V174" s="3675"/>
      <c r="W174" s="3675"/>
      <c r="X174" s="3675"/>
      <c r="Y174" s="3675"/>
      <c r="Z174" s="3675"/>
      <c r="AA174" s="3675"/>
      <c r="AB174" s="3675"/>
      <c r="AC174" s="3675"/>
    </row>
    <row r="175" spans="1:29">
      <c r="A175" s="3675"/>
      <c r="B175" s="3675"/>
      <c r="C175" s="3675"/>
      <c r="D175" s="3675"/>
      <c r="E175" s="3675"/>
      <c r="F175" s="3675"/>
      <c r="G175" s="3675"/>
      <c r="H175" s="3675"/>
      <c r="I175" s="3675"/>
      <c r="J175" s="3675"/>
      <c r="K175" s="3676"/>
      <c r="L175" s="3677"/>
      <c r="M175" s="3675"/>
      <c r="N175" s="3675"/>
      <c r="O175" s="3675"/>
      <c r="P175" s="3675"/>
      <c r="Q175" s="3675"/>
      <c r="R175" s="3675"/>
      <c r="S175" s="3675"/>
      <c r="T175" s="3675"/>
      <c r="U175" s="3675"/>
      <c r="V175" s="3675"/>
      <c r="W175" s="3675"/>
      <c r="X175" s="3675"/>
      <c r="Y175" s="3675"/>
      <c r="Z175" s="3675"/>
      <c r="AA175" s="3675"/>
      <c r="AB175" s="3675"/>
      <c r="AC175" s="3675"/>
    </row>
    <row r="176" spans="1:29">
      <c r="A176" s="3675"/>
      <c r="B176" s="3675"/>
      <c r="C176" s="3675"/>
      <c r="D176" s="3675"/>
      <c r="E176" s="3675"/>
      <c r="F176" s="3675"/>
      <c r="G176" s="3675"/>
      <c r="H176" s="3675"/>
      <c r="I176" s="3675"/>
      <c r="J176" s="3675"/>
      <c r="K176" s="3676"/>
      <c r="L176" s="3677"/>
      <c r="M176" s="3675"/>
      <c r="N176" s="3675"/>
      <c r="O176" s="3675"/>
      <c r="P176" s="3675"/>
      <c r="Q176" s="3675"/>
      <c r="R176" s="3675"/>
      <c r="S176" s="3675"/>
      <c r="T176" s="3675"/>
      <c r="U176" s="3675"/>
      <c r="V176" s="3675"/>
      <c r="W176" s="3675"/>
      <c r="X176" s="3675"/>
      <c r="Y176" s="3675"/>
      <c r="Z176" s="3675"/>
      <c r="AA176" s="3675"/>
      <c r="AB176" s="3675"/>
      <c r="AC176" s="3675"/>
    </row>
    <row r="177" spans="1:29">
      <c r="A177" s="3675"/>
      <c r="B177" s="3675"/>
      <c r="C177" s="3675"/>
      <c r="D177" s="3675"/>
      <c r="E177" s="3675"/>
      <c r="F177" s="3675"/>
      <c r="G177" s="3675"/>
      <c r="H177" s="3675"/>
      <c r="I177" s="3675"/>
      <c r="J177" s="3675"/>
      <c r="K177" s="3676"/>
      <c r="L177" s="3677"/>
      <c r="M177" s="3675"/>
      <c r="N177" s="3675"/>
      <c r="O177" s="3675"/>
      <c r="P177" s="3675"/>
      <c r="Q177" s="3675"/>
      <c r="R177" s="3675"/>
      <c r="S177" s="3675"/>
      <c r="T177" s="3675"/>
      <c r="U177" s="3675"/>
      <c r="V177" s="3675"/>
      <c r="W177" s="3675"/>
      <c r="X177" s="3675"/>
      <c r="Y177" s="3675"/>
      <c r="Z177" s="3675"/>
      <c r="AA177" s="3675"/>
      <c r="AB177" s="3675"/>
      <c r="AC177" s="3675"/>
    </row>
    <row r="178" spans="1:29">
      <c r="A178" s="3675"/>
      <c r="B178" s="3675"/>
      <c r="C178" s="3675"/>
      <c r="D178" s="3675"/>
      <c r="E178" s="3675"/>
      <c r="F178" s="3675"/>
      <c r="G178" s="3675"/>
      <c r="H178" s="3675"/>
      <c r="I178" s="3675"/>
      <c r="J178" s="3675"/>
      <c r="K178" s="3676"/>
      <c r="L178" s="3677"/>
      <c r="M178" s="3675"/>
      <c r="N178" s="3675"/>
      <c r="O178" s="3675"/>
      <c r="P178" s="3675"/>
      <c r="Q178" s="3675"/>
      <c r="R178" s="3675"/>
      <c r="S178" s="3675"/>
      <c r="T178" s="3675"/>
      <c r="U178" s="3675"/>
      <c r="V178" s="3675"/>
      <c r="W178" s="3675"/>
      <c r="X178" s="3675"/>
      <c r="Y178" s="3675"/>
      <c r="Z178" s="3675"/>
      <c r="AA178" s="3675"/>
      <c r="AB178" s="3675"/>
      <c r="AC178" s="3675"/>
    </row>
    <row r="179" spans="1:29">
      <c r="A179" s="3675"/>
      <c r="B179" s="3675"/>
      <c r="C179" s="3675"/>
      <c r="D179" s="3675"/>
      <c r="E179" s="3675"/>
      <c r="F179" s="3675"/>
      <c r="G179" s="3675"/>
      <c r="H179" s="3675"/>
      <c r="I179" s="3675"/>
      <c r="J179" s="3675"/>
      <c r="K179" s="3676"/>
      <c r="L179" s="3677"/>
      <c r="M179" s="3675"/>
      <c r="N179" s="3675"/>
      <c r="O179" s="3675"/>
      <c r="P179" s="3675"/>
      <c r="Q179" s="3675"/>
      <c r="R179" s="3675"/>
      <c r="S179" s="3675"/>
      <c r="T179" s="3675"/>
      <c r="U179" s="3675"/>
      <c r="V179" s="3675"/>
      <c r="W179" s="3675"/>
      <c r="X179" s="3675"/>
      <c r="Y179" s="3675"/>
      <c r="Z179" s="3675"/>
      <c r="AA179" s="3675"/>
      <c r="AB179" s="3675"/>
      <c r="AC179" s="3675"/>
    </row>
    <row r="180" spans="1:29">
      <c r="A180" s="3675"/>
      <c r="B180" s="3675"/>
      <c r="C180" s="3675"/>
      <c r="D180" s="3675"/>
      <c r="E180" s="3675"/>
      <c r="F180" s="3675"/>
      <c r="G180" s="3675"/>
      <c r="H180" s="3675"/>
      <c r="I180" s="3675"/>
      <c r="J180" s="3675"/>
      <c r="K180" s="3676"/>
      <c r="L180" s="3677"/>
      <c r="M180" s="3675"/>
      <c r="N180" s="3675"/>
      <c r="O180" s="3675"/>
      <c r="P180" s="3675"/>
      <c r="Q180" s="3675"/>
      <c r="R180" s="3675"/>
      <c r="S180" s="3675"/>
      <c r="T180" s="3675"/>
      <c r="U180" s="3675"/>
      <c r="V180" s="3675"/>
      <c r="W180" s="3675"/>
      <c r="X180" s="3675"/>
      <c r="Y180" s="3675"/>
      <c r="Z180" s="3675"/>
      <c r="AA180" s="3675"/>
      <c r="AB180" s="3675"/>
      <c r="AC180" s="3675"/>
    </row>
    <row r="181" spans="1:29">
      <c r="A181" s="3675"/>
      <c r="B181" s="3675"/>
      <c r="C181" s="3675"/>
      <c r="D181" s="3675"/>
      <c r="E181" s="3675"/>
      <c r="F181" s="3675"/>
      <c r="G181" s="3675"/>
      <c r="H181" s="3675"/>
      <c r="I181" s="3675"/>
      <c r="J181" s="3675"/>
      <c r="K181" s="3676"/>
      <c r="L181" s="3677"/>
      <c r="M181" s="3675"/>
      <c r="N181" s="3675"/>
      <c r="O181" s="3675"/>
      <c r="P181" s="3675"/>
      <c r="Q181" s="3675"/>
      <c r="R181" s="3675"/>
      <c r="S181" s="3675"/>
      <c r="T181" s="3675"/>
      <c r="U181" s="3675"/>
      <c r="V181" s="3675"/>
      <c r="W181" s="3675"/>
      <c r="X181" s="3675"/>
      <c r="Y181" s="3675"/>
      <c r="Z181" s="3675"/>
      <c r="AA181" s="3675"/>
      <c r="AB181" s="3675"/>
      <c r="AC181" s="3675"/>
    </row>
    <row r="182" spans="1:29">
      <c r="A182" s="3675"/>
      <c r="B182" s="3675"/>
      <c r="C182" s="3675"/>
      <c r="D182" s="3675"/>
      <c r="E182" s="3675"/>
      <c r="F182" s="3675"/>
      <c r="G182" s="3675"/>
      <c r="H182" s="3675"/>
      <c r="I182" s="3675"/>
      <c r="J182" s="3675"/>
      <c r="K182" s="3676"/>
      <c r="L182" s="3677"/>
      <c r="M182" s="3675"/>
      <c r="N182" s="3675"/>
      <c r="O182" s="3675"/>
      <c r="P182" s="3675"/>
      <c r="Q182" s="3675"/>
      <c r="R182" s="3675"/>
      <c r="S182" s="3675"/>
      <c r="T182" s="3675"/>
      <c r="U182" s="3675"/>
      <c r="V182" s="3675"/>
      <c r="W182" s="3675"/>
      <c r="X182" s="3675"/>
      <c r="Y182" s="3675"/>
      <c r="Z182" s="3675"/>
      <c r="AA182" s="3675"/>
      <c r="AB182" s="3675"/>
      <c r="AC182" s="3675"/>
    </row>
    <row r="183" spans="1:29">
      <c r="A183" s="3675"/>
      <c r="B183" s="3675"/>
      <c r="C183" s="3675"/>
      <c r="D183" s="3675"/>
      <c r="E183" s="3675"/>
      <c r="F183" s="3675"/>
      <c r="G183" s="3675"/>
      <c r="H183" s="3675"/>
      <c r="I183" s="3675"/>
      <c r="J183" s="3675"/>
      <c r="K183" s="3676"/>
      <c r="L183" s="3677"/>
      <c r="M183" s="3675"/>
      <c r="N183" s="3675"/>
      <c r="O183" s="3675"/>
      <c r="P183" s="3675"/>
      <c r="Q183" s="3675"/>
      <c r="R183" s="3675"/>
      <c r="S183" s="3675"/>
      <c r="T183" s="3675"/>
      <c r="U183" s="3675"/>
      <c r="V183" s="3675"/>
      <c r="W183" s="3675"/>
      <c r="X183" s="3675"/>
      <c r="Y183" s="3675"/>
      <c r="Z183" s="3675"/>
      <c r="AA183" s="3675"/>
      <c r="AB183" s="3675"/>
      <c r="AC183" s="3675"/>
    </row>
    <row r="184" spans="1:29">
      <c r="A184" s="3675"/>
      <c r="B184" s="3675"/>
      <c r="C184" s="3675"/>
      <c r="D184" s="3675"/>
      <c r="E184" s="3675"/>
      <c r="F184" s="3675"/>
      <c r="G184" s="3675"/>
      <c r="H184" s="3675"/>
      <c r="I184" s="3675"/>
      <c r="J184" s="3675"/>
      <c r="K184" s="3676"/>
      <c r="L184" s="3677"/>
      <c r="M184" s="3675"/>
      <c r="N184" s="3675"/>
      <c r="O184" s="3675"/>
      <c r="P184" s="3675"/>
      <c r="Q184" s="3675"/>
      <c r="R184" s="3675"/>
      <c r="S184" s="3675"/>
      <c r="T184" s="3675"/>
      <c r="U184" s="3675"/>
      <c r="V184" s="3675"/>
      <c r="W184" s="3675"/>
      <c r="X184" s="3675"/>
      <c r="Y184" s="3675"/>
      <c r="Z184" s="3675"/>
      <c r="AA184" s="3675"/>
      <c r="AB184" s="3675"/>
      <c r="AC184" s="3675"/>
    </row>
    <row r="185" spans="1:29">
      <c r="A185" s="3675"/>
      <c r="B185" s="3675"/>
      <c r="C185" s="3675"/>
      <c r="D185" s="3675"/>
      <c r="E185" s="3675"/>
      <c r="F185" s="3675"/>
      <c r="G185" s="3675"/>
      <c r="H185" s="3675"/>
      <c r="I185" s="3675"/>
      <c r="J185" s="3675"/>
      <c r="K185" s="3676"/>
      <c r="L185" s="3677"/>
      <c r="M185" s="3675"/>
      <c r="N185" s="3675"/>
      <c r="O185" s="3675"/>
      <c r="P185" s="3675"/>
      <c r="Q185" s="3675"/>
      <c r="R185" s="3675"/>
      <c r="S185" s="3675"/>
      <c r="T185" s="3675"/>
      <c r="U185" s="3675"/>
      <c r="V185" s="3675"/>
      <c r="W185" s="3675"/>
      <c r="X185" s="3675"/>
      <c r="Y185" s="3675"/>
      <c r="Z185" s="3675"/>
      <c r="AA185" s="3675"/>
      <c r="AB185" s="3675"/>
      <c r="AC185" s="3675"/>
    </row>
    <row r="186" spans="1:29">
      <c r="A186" s="3675"/>
      <c r="B186" s="3675"/>
      <c r="C186" s="3675"/>
      <c r="D186" s="3675"/>
      <c r="E186" s="3675"/>
      <c r="F186" s="3675"/>
      <c r="G186" s="3675"/>
      <c r="H186" s="3675"/>
      <c r="I186" s="3675"/>
      <c r="J186" s="3675"/>
      <c r="K186" s="3676"/>
      <c r="L186" s="3677"/>
      <c r="M186" s="3675"/>
      <c r="N186" s="3675"/>
      <c r="O186" s="3675"/>
      <c r="P186" s="3675"/>
      <c r="Q186" s="3675"/>
      <c r="R186" s="3675"/>
      <c r="S186" s="3675"/>
      <c r="T186" s="3675"/>
      <c r="U186" s="3675"/>
      <c r="V186" s="3675"/>
      <c r="W186" s="3675"/>
      <c r="X186" s="3675"/>
      <c r="Y186" s="3675"/>
      <c r="Z186" s="3675"/>
      <c r="AA186" s="3675"/>
      <c r="AB186" s="3675"/>
      <c r="AC186" s="3675"/>
    </row>
    <row r="187" spans="1:29">
      <c r="A187" s="3675"/>
      <c r="B187" s="3675"/>
      <c r="C187" s="3675"/>
      <c r="D187" s="3675"/>
      <c r="E187" s="3675"/>
      <c r="F187" s="3675"/>
      <c r="G187" s="3675"/>
      <c r="H187" s="3675"/>
      <c r="I187" s="3675"/>
      <c r="J187" s="3675"/>
      <c r="K187" s="3676"/>
      <c r="L187" s="3677"/>
      <c r="M187" s="3675"/>
      <c r="N187" s="3675"/>
      <c r="O187" s="3675"/>
      <c r="P187" s="3675"/>
      <c r="Q187" s="3675"/>
      <c r="R187" s="3675"/>
      <c r="S187" s="3675"/>
      <c r="T187" s="3675"/>
      <c r="U187" s="3675"/>
      <c r="V187" s="3675"/>
      <c r="W187" s="3675"/>
      <c r="X187" s="3675"/>
      <c r="Y187" s="3675"/>
      <c r="Z187" s="3675"/>
      <c r="AA187" s="3675"/>
      <c r="AB187" s="3675"/>
      <c r="AC187" s="3675"/>
    </row>
    <row r="188" spans="1:29">
      <c r="A188" s="3675"/>
      <c r="B188" s="3675"/>
      <c r="C188" s="3675"/>
      <c r="D188" s="3675"/>
      <c r="E188" s="3675"/>
      <c r="F188" s="3675"/>
      <c r="G188" s="3675"/>
      <c r="H188" s="3675"/>
      <c r="I188" s="3675"/>
      <c r="J188" s="3675"/>
      <c r="K188" s="3676"/>
      <c r="L188" s="3677"/>
      <c r="M188" s="3675"/>
      <c r="N188" s="3675"/>
      <c r="O188" s="3675"/>
      <c r="P188" s="3675"/>
      <c r="Q188" s="3675"/>
      <c r="R188" s="3675"/>
      <c r="S188" s="3675"/>
      <c r="T188" s="3675"/>
      <c r="U188" s="3675"/>
      <c r="V188" s="3675"/>
      <c r="W188" s="3675"/>
      <c r="X188" s="3675"/>
      <c r="Y188" s="3675"/>
      <c r="Z188" s="3675"/>
      <c r="AA188" s="3675"/>
      <c r="AB188" s="3675"/>
      <c r="AC188" s="3675"/>
    </row>
    <row r="189" spans="1:29">
      <c r="A189" s="3675"/>
      <c r="B189" s="3675"/>
      <c r="C189" s="3675"/>
      <c r="D189" s="3675"/>
      <c r="E189" s="3675"/>
      <c r="F189" s="3675"/>
      <c r="G189" s="3675"/>
      <c r="H189" s="3675"/>
      <c r="I189" s="3675"/>
      <c r="J189" s="3675"/>
      <c r="K189" s="3676"/>
      <c r="L189" s="3677"/>
      <c r="M189" s="3675"/>
      <c r="N189" s="3675"/>
      <c r="O189" s="3675"/>
      <c r="P189" s="3675"/>
      <c r="Q189" s="3675"/>
      <c r="R189" s="3675"/>
      <c r="S189" s="3675"/>
      <c r="T189" s="3675"/>
      <c r="U189" s="3675"/>
      <c r="V189" s="3675"/>
      <c r="W189" s="3675"/>
      <c r="X189" s="3675"/>
      <c r="Y189" s="3675"/>
      <c r="Z189" s="3675"/>
      <c r="AA189" s="3675"/>
      <c r="AB189" s="3675"/>
      <c r="AC189" s="3675"/>
    </row>
    <row r="190" spans="1:29">
      <c r="A190" s="3675"/>
      <c r="B190" s="3675"/>
      <c r="C190" s="3675"/>
      <c r="D190" s="3675"/>
      <c r="E190" s="3675"/>
      <c r="F190" s="3675"/>
      <c r="G190" s="3675"/>
      <c r="H190" s="3675"/>
      <c r="I190" s="3675"/>
      <c r="J190" s="3675"/>
      <c r="K190" s="3676"/>
      <c r="L190" s="3677"/>
      <c r="M190" s="3675"/>
      <c r="N190" s="3675"/>
      <c r="O190" s="3675"/>
      <c r="P190" s="3675"/>
      <c r="Q190" s="3675"/>
      <c r="R190" s="3675"/>
      <c r="S190" s="3675"/>
      <c r="T190" s="3675"/>
      <c r="U190" s="3675"/>
      <c r="V190" s="3675"/>
      <c r="W190" s="3675"/>
      <c r="X190" s="3675"/>
      <c r="Y190" s="3675"/>
      <c r="Z190" s="3675"/>
      <c r="AA190" s="3675"/>
      <c r="AB190" s="3675"/>
      <c r="AC190" s="3675"/>
    </row>
    <row r="191" spans="1:29">
      <c r="A191" s="3675"/>
      <c r="B191" s="3675"/>
      <c r="C191" s="3675"/>
      <c r="D191" s="3675"/>
      <c r="E191" s="3675"/>
      <c r="F191" s="3675"/>
      <c r="G191" s="3675"/>
      <c r="H191" s="3675"/>
      <c r="I191" s="3675"/>
      <c r="J191" s="3675"/>
      <c r="K191" s="3676"/>
      <c r="L191" s="3677"/>
      <c r="M191" s="3675"/>
      <c r="N191" s="3675"/>
      <c r="O191" s="3675"/>
      <c r="P191" s="3675"/>
      <c r="Q191" s="3675"/>
      <c r="R191" s="3675"/>
      <c r="S191" s="3675"/>
      <c r="T191" s="3675"/>
      <c r="U191" s="3675"/>
      <c r="V191" s="3675"/>
      <c r="W191" s="3675"/>
      <c r="X191" s="3675"/>
      <c r="Y191" s="3675"/>
      <c r="Z191" s="3675"/>
      <c r="AA191" s="3675"/>
      <c r="AB191" s="3675"/>
      <c r="AC191" s="3675"/>
    </row>
    <row r="192" spans="1:29">
      <c r="A192" s="3675"/>
      <c r="B192" s="3675"/>
      <c r="C192" s="3675"/>
      <c r="D192" s="3675"/>
      <c r="E192" s="3675"/>
      <c r="F192" s="3675"/>
      <c r="G192" s="3675"/>
      <c r="H192" s="3675"/>
      <c r="I192" s="3675"/>
      <c r="J192" s="3675"/>
      <c r="K192" s="3676"/>
      <c r="L192" s="3677"/>
      <c r="M192" s="3675"/>
      <c r="N192" s="3675"/>
      <c r="O192" s="3675"/>
      <c r="P192" s="3675"/>
      <c r="Q192" s="3675"/>
      <c r="R192" s="3675"/>
      <c r="S192" s="3675"/>
      <c r="T192" s="3675"/>
      <c r="U192" s="3675"/>
      <c r="V192" s="3675"/>
      <c r="W192" s="3675"/>
      <c r="X192" s="3675"/>
      <c r="Y192" s="3675"/>
      <c r="Z192" s="3675"/>
      <c r="AA192" s="3675"/>
      <c r="AB192" s="3675"/>
      <c r="AC192" s="3675"/>
    </row>
    <row r="193" spans="1:29">
      <c r="A193" s="3675"/>
      <c r="B193" s="3675"/>
      <c r="C193" s="3675"/>
      <c r="D193" s="3675"/>
      <c r="E193" s="3675"/>
      <c r="F193" s="3675"/>
      <c r="G193" s="3675"/>
      <c r="H193" s="3675"/>
      <c r="I193" s="3675"/>
      <c r="J193" s="3675"/>
      <c r="K193" s="3676"/>
      <c r="L193" s="3677"/>
      <c r="M193" s="3675"/>
      <c r="N193" s="3675"/>
      <c r="O193" s="3675"/>
      <c r="P193" s="3675"/>
      <c r="Q193" s="3675"/>
      <c r="R193" s="3675"/>
      <c r="S193" s="3675"/>
      <c r="T193" s="3675"/>
      <c r="U193" s="3675"/>
      <c r="V193" s="3675"/>
      <c r="W193" s="3675"/>
      <c r="X193" s="3675"/>
      <c r="Y193" s="3675"/>
      <c r="Z193" s="3675"/>
      <c r="AA193" s="3675"/>
      <c r="AB193" s="3675"/>
      <c r="AC193" s="3675"/>
    </row>
    <row r="194" spans="1:29">
      <c r="A194" s="3675"/>
      <c r="B194" s="3675"/>
      <c r="C194" s="3675"/>
      <c r="D194" s="3675"/>
      <c r="E194" s="3675"/>
      <c r="F194" s="3675"/>
      <c r="G194" s="3675"/>
      <c r="H194" s="3675"/>
      <c r="I194" s="3675"/>
      <c r="J194" s="3675"/>
      <c r="K194" s="3676"/>
      <c r="L194" s="3677"/>
      <c r="M194" s="3675"/>
      <c r="N194" s="3675"/>
      <c r="O194" s="3675"/>
      <c r="P194" s="3675"/>
      <c r="Q194" s="3675"/>
      <c r="R194" s="3675"/>
      <c r="S194" s="3675"/>
      <c r="T194" s="3675"/>
      <c r="U194" s="3675"/>
      <c r="V194" s="3675"/>
      <c r="W194" s="3675"/>
      <c r="X194" s="3675"/>
      <c r="Y194" s="3675"/>
      <c r="Z194" s="3675"/>
      <c r="AA194" s="3675"/>
      <c r="AB194" s="3675"/>
      <c r="AC194" s="3675"/>
    </row>
    <row r="195" spans="1:29">
      <c r="A195" s="3675"/>
      <c r="B195" s="3675"/>
      <c r="C195" s="3675"/>
      <c r="D195" s="3675"/>
      <c r="E195" s="3675"/>
      <c r="F195" s="3675"/>
      <c r="G195" s="3675"/>
      <c r="H195" s="3675"/>
      <c r="I195" s="3675"/>
      <c r="J195" s="3675"/>
      <c r="K195" s="3676"/>
      <c r="L195" s="3677"/>
      <c r="M195" s="3675"/>
      <c r="N195" s="3675"/>
      <c r="O195" s="3675"/>
      <c r="P195" s="3675"/>
      <c r="Q195" s="3675"/>
      <c r="R195" s="3675"/>
      <c r="S195" s="3675"/>
      <c r="T195" s="3675"/>
      <c r="U195" s="3675"/>
      <c r="V195" s="3675"/>
      <c r="W195" s="3675"/>
      <c r="X195" s="3675"/>
      <c r="Y195" s="3675"/>
      <c r="Z195" s="3675"/>
      <c r="AA195" s="3675"/>
      <c r="AB195" s="3675"/>
      <c r="AC195" s="3675"/>
    </row>
    <row r="196" spans="1:29">
      <c r="A196" s="3675"/>
      <c r="B196" s="3675"/>
      <c r="C196" s="3675"/>
      <c r="D196" s="3675"/>
      <c r="E196" s="3675"/>
      <c r="F196" s="3675"/>
      <c r="G196" s="3675"/>
      <c r="H196" s="3675"/>
      <c r="I196" s="3675"/>
      <c r="J196" s="3675"/>
      <c r="K196" s="3676"/>
      <c r="L196" s="3677"/>
      <c r="M196" s="3675"/>
      <c r="N196" s="3675"/>
      <c r="O196" s="3675"/>
      <c r="P196" s="3675"/>
      <c r="Q196" s="3675"/>
      <c r="R196" s="3675"/>
      <c r="S196" s="3675"/>
      <c r="T196" s="3675"/>
      <c r="U196" s="3675"/>
      <c r="V196" s="3675"/>
      <c r="W196" s="3675"/>
      <c r="X196" s="3675"/>
      <c r="Y196" s="3675"/>
      <c r="Z196" s="3675"/>
      <c r="AA196" s="3675"/>
      <c r="AB196" s="3675"/>
      <c r="AC196" s="3675"/>
    </row>
    <row r="197" spans="1:29">
      <c r="A197" s="3675"/>
      <c r="B197" s="3675"/>
      <c r="C197" s="3675"/>
      <c r="D197" s="3675"/>
      <c r="E197" s="3675"/>
      <c r="F197" s="3675"/>
      <c r="G197" s="3675"/>
      <c r="H197" s="3675"/>
      <c r="I197" s="3675"/>
      <c r="J197" s="3675"/>
      <c r="K197" s="3676"/>
      <c r="L197" s="3677"/>
      <c r="M197" s="3675"/>
      <c r="N197" s="3675"/>
      <c r="O197" s="3675"/>
      <c r="P197" s="3675"/>
      <c r="Q197" s="3675"/>
      <c r="R197" s="3675"/>
      <c r="S197" s="3675"/>
      <c r="T197" s="3675"/>
      <c r="U197" s="3675"/>
      <c r="V197" s="3675"/>
      <c r="W197" s="3675"/>
      <c r="X197" s="3675"/>
      <c r="Y197" s="3675"/>
      <c r="Z197" s="3675"/>
      <c r="AA197" s="3675"/>
      <c r="AB197" s="3675"/>
      <c r="AC197" s="3675"/>
    </row>
    <row r="198" spans="1:29">
      <c r="A198" s="3675"/>
      <c r="B198" s="3675"/>
      <c r="C198" s="3675"/>
      <c r="D198" s="3675"/>
      <c r="E198" s="3675"/>
      <c r="F198" s="3675"/>
      <c r="G198" s="3675"/>
      <c r="H198" s="3675"/>
      <c r="I198" s="3675"/>
      <c r="J198" s="3675"/>
      <c r="K198" s="3676"/>
      <c r="L198" s="3677"/>
      <c r="M198" s="3675"/>
      <c r="N198" s="3675"/>
      <c r="O198" s="3675"/>
      <c r="P198" s="3675"/>
      <c r="Q198" s="3675"/>
      <c r="R198" s="3675"/>
      <c r="S198" s="3675"/>
      <c r="T198" s="3675"/>
      <c r="U198" s="3675"/>
      <c r="V198" s="3675"/>
      <c r="W198" s="3675"/>
      <c r="X198" s="3675"/>
      <c r="Y198" s="3675"/>
      <c r="Z198" s="3675"/>
      <c r="AA198" s="3675"/>
      <c r="AB198" s="3675"/>
      <c r="AC198" s="3675"/>
    </row>
    <row r="199" spans="1:29">
      <c r="A199" s="3675"/>
      <c r="B199" s="3675"/>
      <c r="C199" s="3675"/>
      <c r="D199" s="3675"/>
      <c r="E199" s="3675"/>
      <c r="F199" s="3675"/>
      <c r="G199" s="3675"/>
      <c r="H199" s="3675"/>
      <c r="I199" s="3675"/>
      <c r="J199" s="3675"/>
      <c r="K199" s="3676"/>
      <c r="L199" s="3677"/>
      <c r="M199" s="3675"/>
      <c r="N199" s="3675"/>
      <c r="O199" s="3675"/>
      <c r="P199" s="3675"/>
      <c r="Q199" s="3675"/>
      <c r="R199" s="3675"/>
      <c r="S199" s="3675"/>
      <c r="T199" s="3675"/>
      <c r="U199" s="3675"/>
      <c r="V199" s="3675"/>
      <c r="W199" s="3675"/>
      <c r="X199" s="3675"/>
      <c r="Y199" s="3675"/>
      <c r="Z199" s="3675"/>
      <c r="AA199" s="3675"/>
      <c r="AB199" s="3675"/>
      <c r="AC199" s="3675"/>
    </row>
    <row r="200" spans="1:29">
      <c r="A200" s="3675"/>
      <c r="B200" s="3675"/>
      <c r="C200" s="3675"/>
      <c r="D200" s="3675"/>
      <c r="E200" s="3675"/>
      <c r="F200" s="3675"/>
      <c r="G200" s="3675"/>
      <c r="H200" s="3675"/>
      <c r="I200" s="3675"/>
      <c r="J200" s="3675"/>
      <c r="K200" s="3676"/>
      <c r="L200" s="3677"/>
      <c r="M200" s="3675"/>
      <c r="N200" s="3675"/>
      <c r="O200" s="3675"/>
      <c r="P200" s="3675"/>
      <c r="Q200" s="3675"/>
      <c r="R200" s="3675"/>
      <c r="S200" s="3675"/>
      <c r="T200" s="3675"/>
      <c r="U200" s="3675"/>
      <c r="V200" s="3675"/>
      <c r="W200" s="3675"/>
      <c r="X200" s="3675"/>
      <c r="Y200" s="3675"/>
      <c r="Z200" s="3675"/>
      <c r="AA200" s="3675"/>
      <c r="AB200" s="3675"/>
      <c r="AC200" s="3675"/>
    </row>
    <row r="201" spans="1:29">
      <c r="A201" s="3675"/>
      <c r="B201" s="3675"/>
      <c r="C201" s="3675"/>
      <c r="D201" s="3675"/>
      <c r="E201" s="3675"/>
      <c r="F201" s="3675"/>
      <c r="G201" s="3675"/>
      <c r="H201" s="3675"/>
      <c r="I201" s="3675"/>
      <c r="J201" s="3675"/>
      <c r="K201" s="3676"/>
      <c r="L201" s="3677"/>
      <c r="M201" s="3675"/>
      <c r="N201" s="3675"/>
      <c r="O201" s="3675"/>
      <c r="P201" s="3675"/>
      <c r="Q201" s="3675"/>
      <c r="R201" s="3675"/>
      <c r="S201" s="3675"/>
      <c r="T201" s="3675"/>
      <c r="U201" s="3675"/>
      <c r="V201" s="3675"/>
      <c r="W201" s="3675"/>
      <c r="X201" s="3675"/>
      <c r="Y201" s="3675"/>
      <c r="Z201" s="3675"/>
      <c r="AA201" s="3675"/>
      <c r="AB201" s="3675"/>
      <c r="AC201" s="3675"/>
    </row>
    <row r="202" spans="1:29">
      <c r="A202" s="3675"/>
      <c r="B202" s="3675"/>
      <c r="C202" s="3675"/>
      <c r="D202" s="3675"/>
      <c r="E202" s="3675"/>
      <c r="F202" s="3675"/>
      <c r="G202" s="3675"/>
      <c r="H202" s="3675"/>
      <c r="I202" s="3675"/>
      <c r="J202" s="3675"/>
      <c r="K202" s="3676"/>
      <c r="L202" s="3677"/>
      <c r="M202" s="3675"/>
      <c r="N202" s="3675"/>
      <c r="O202" s="3675"/>
      <c r="P202" s="3675"/>
      <c r="Q202" s="3675"/>
      <c r="R202" s="3675"/>
      <c r="S202" s="3675"/>
      <c r="T202" s="3675"/>
      <c r="U202" s="3675"/>
      <c r="V202" s="3675"/>
      <c r="W202" s="3675"/>
      <c r="X202" s="3675"/>
      <c r="Y202" s="3675"/>
      <c r="Z202" s="3675"/>
      <c r="AA202" s="3675"/>
      <c r="AB202" s="3675"/>
      <c r="AC202" s="3675"/>
    </row>
    <row r="203" spans="1:29">
      <c r="A203" s="3675"/>
      <c r="B203" s="3675"/>
      <c r="C203" s="3675"/>
      <c r="D203" s="3675"/>
      <c r="E203" s="3675"/>
      <c r="F203" s="3675"/>
      <c r="G203" s="3675"/>
      <c r="H203" s="3675"/>
      <c r="I203" s="3675"/>
      <c r="J203" s="3675"/>
      <c r="K203" s="3676"/>
      <c r="L203" s="3677"/>
      <c r="M203" s="3675"/>
      <c r="N203" s="3675"/>
      <c r="O203" s="3675"/>
      <c r="P203" s="3675"/>
      <c r="Q203" s="3675"/>
      <c r="R203" s="3675"/>
      <c r="S203" s="3675"/>
      <c r="T203" s="3675"/>
      <c r="U203" s="3675"/>
      <c r="V203" s="3675"/>
      <c r="W203" s="3675"/>
      <c r="X203" s="3675"/>
      <c r="Y203" s="3675"/>
      <c r="Z203" s="3675"/>
      <c r="AA203" s="3675"/>
      <c r="AB203" s="3675"/>
      <c r="AC203" s="3675"/>
    </row>
    <row r="204" spans="1:29">
      <c r="A204" s="3675"/>
      <c r="B204" s="3675"/>
      <c r="C204" s="3675"/>
      <c r="D204" s="3675"/>
      <c r="E204" s="3675"/>
      <c r="F204" s="3675"/>
      <c r="G204" s="3675"/>
      <c r="H204" s="3675"/>
      <c r="I204" s="3675"/>
      <c r="J204" s="3675"/>
      <c r="K204" s="3676"/>
      <c r="L204" s="3677"/>
      <c r="M204" s="3675"/>
      <c r="N204" s="3675"/>
      <c r="O204" s="3675"/>
      <c r="P204" s="3675"/>
      <c r="Q204" s="3675"/>
      <c r="R204" s="3675"/>
      <c r="S204" s="3675"/>
      <c r="T204" s="3675"/>
      <c r="U204" s="3675"/>
      <c r="V204" s="3675"/>
      <c r="W204" s="3675"/>
      <c r="X204" s="3675"/>
      <c r="Y204" s="3675"/>
      <c r="Z204" s="3675"/>
      <c r="AA204" s="3675"/>
      <c r="AB204" s="3675"/>
      <c r="AC204" s="3675"/>
    </row>
    <row r="205" spans="1:29">
      <c r="A205" s="3675"/>
      <c r="B205" s="3675"/>
      <c r="C205" s="3675"/>
      <c r="D205" s="3675"/>
      <c r="E205" s="3675"/>
      <c r="F205" s="3675"/>
      <c r="G205" s="3675"/>
      <c r="H205" s="3675"/>
      <c r="I205" s="3675"/>
      <c r="J205" s="3675"/>
      <c r="K205" s="3676"/>
      <c r="L205" s="3677"/>
      <c r="M205" s="3675"/>
      <c r="N205" s="3675"/>
      <c r="O205" s="3675"/>
      <c r="P205" s="3675"/>
      <c r="Q205" s="3675"/>
      <c r="R205" s="3675"/>
      <c r="S205" s="3675"/>
      <c r="T205" s="3675"/>
      <c r="U205" s="3675"/>
      <c r="V205" s="3675"/>
      <c r="W205" s="3675"/>
      <c r="X205" s="3675"/>
      <c r="Y205" s="3675"/>
      <c r="Z205" s="3675"/>
      <c r="AA205" s="3675"/>
      <c r="AB205" s="3675"/>
      <c r="AC205" s="3675"/>
    </row>
    <row r="206" spans="1:29">
      <c r="A206" s="3675"/>
      <c r="B206" s="3675"/>
      <c r="C206" s="3675"/>
      <c r="D206" s="3675"/>
      <c r="E206" s="3675"/>
      <c r="F206" s="3675"/>
      <c r="G206" s="3675"/>
      <c r="H206" s="3675"/>
      <c r="I206" s="3675"/>
      <c r="J206" s="3675"/>
      <c r="K206" s="3676"/>
      <c r="L206" s="3677"/>
      <c r="M206" s="3675"/>
      <c r="N206" s="3675"/>
      <c r="O206" s="3675"/>
      <c r="P206" s="3675"/>
      <c r="Q206" s="3675"/>
      <c r="R206" s="3675"/>
      <c r="S206" s="3675"/>
      <c r="T206" s="3675"/>
      <c r="U206" s="3675"/>
      <c r="V206" s="3675"/>
      <c r="W206" s="3675"/>
      <c r="X206" s="3675"/>
      <c r="Y206" s="3675"/>
      <c r="Z206" s="3675"/>
      <c r="AA206" s="3675"/>
      <c r="AB206" s="3675"/>
      <c r="AC206" s="3675"/>
    </row>
    <row r="207" spans="1:29">
      <c r="A207" s="3675"/>
      <c r="B207" s="3675"/>
      <c r="C207" s="3675"/>
      <c r="D207" s="3675"/>
      <c r="E207" s="3675"/>
      <c r="F207" s="3675"/>
      <c r="G207" s="3675"/>
      <c r="H207" s="3675"/>
      <c r="I207" s="3675"/>
      <c r="J207" s="3675"/>
      <c r="K207" s="3676"/>
      <c r="L207" s="3677"/>
      <c r="M207" s="3675"/>
      <c r="N207" s="3675"/>
      <c r="O207" s="3675"/>
      <c r="P207" s="3675"/>
      <c r="Q207" s="3675"/>
      <c r="R207" s="3675"/>
      <c r="S207" s="3675"/>
      <c r="T207" s="3675"/>
      <c r="U207" s="3675"/>
      <c r="V207" s="3675"/>
      <c r="W207" s="3675"/>
      <c r="X207" s="3675"/>
      <c r="Y207" s="3675"/>
      <c r="Z207" s="3675"/>
      <c r="AA207" s="3675"/>
      <c r="AB207" s="3675"/>
      <c r="AC207" s="3675"/>
    </row>
    <row r="208" spans="1:29">
      <c r="A208" s="3675"/>
      <c r="B208" s="3675"/>
      <c r="C208" s="3675"/>
      <c r="D208" s="3675"/>
      <c r="E208" s="3675"/>
      <c r="F208" s="3675"/>
      <c r="G208" s="3675"/>
      <c r="H208" s="3675"/>
      <c r="I208" s="3675"/>
      <c r="J208" s="3675"/>
      <c r="K208" s="3676"/>
      <c r="L208" s="3677"/>
      <c r="M208" s="3675"/>
      <c r="N208" s="3675"/>
      <c r="O208" s="3675"/>
      <c r="P208" s="3675"/>
      <c r="Q208" s="3675"/>
      <c r="R208" s="3675"/>
      <c r="S208" s="3675"/>
      <c r="T208" s="3675"/>
      <c r="U208" s="3675"/>
      <c r="V208" s="3675"/>
      <c r="W208" s="3675"/>
      <c r="X208" s="3675"/>
      <c r="Y208" s="3675"/>
      <c r="Z208" s="3675"/>
      <c r="AA208" s="3675"/>
      <c r="AB208" s="3675"/>
      <c r="AC208" s="3675"/>
    </row>
    <row r="209" spans="1:29">
      <c r="A209" s="3675"/>
      <c r="B209" s="3675"/>
      <c r="C209" s="3675"/>
      <c r="D209" s="3675"/>
      <c r="E209" s="3675"/>
      <c r="F209" s="3675"/>
      <c r="G209" s="3675"/>
      <c r="H209" s="3675"/>
      <c r="I209" s="3675"/>
      <c r="J209" s="3675"/>
      <c r="K209" s="3676"/>
      <c r="L209" s="3677"/>
      <c r="M209" s="3675"/>
      <c r="N209" s="3675"/>
      <c r="O209" s="3675"/>
      <c r="P209" s="3675"/>
      <c r="Q209" s="3675"/>
      <c r="R209" s="3675"/>
      <c r="S209" s="3675"/>
      <c r="T209" s="3675"/>
      <c r="U209" s="3675"/>
      <c r="V209" s="3675"/>
      <c r="W209" s="3675"/>
      <c r="X209" s="3675"/>
      <c r="Y209" s="3675"/>
      <c r="Z209" s="3675"/>
      <c r="AA209" s="3675"/>
      <c r="AB209" s="3675"/>
      <c r="AC209" s="3675"/>
    </row>
    <row r="210" spans="1:29">
      <c r="A210" s="3675"/>
      <c r="B210" s="3675"/>
      <c r="C210" s="3675"/>
      <c r="D210" s="3675"/>
      <c r="E210" s="3675"/>
      <c r="F210" s="3675"/>
      <c r="G210" s="3675"/>
      <c r="H210" s="3675"/>
      <c r="I210" s="3675"/>
      <c r="J210" s="3675"/>
      <c r="K210" s="3676"/>
      <c r="L210" s="3677"/>
      <c r="M210" s="3675"/>
      <c r="N210" s="3675"/>
      <c r="O210" s="3675"/>
      <c r="P210" s="3675"/>
      <c r="Q210" s="3675"/>
      <c r="R210" s="3675"/>
      <c r="S210" s="3675"/>
      <c r="T210" s="3675"/>
      <c r="U210" s="3675"/>
      <c r="V210" s="3675"/>
      <c r="W210" s="3675"/>
      <c r="X210" s="3675"/>
      <c r="Y210" s="3675"/>
      <c r="Z210" s="3675"/>
      <c r="AA210" s="3675"/>
      <c r="AB210" s="3675"/>
      <c r="AC210" s="3675"/>
    </row>
    <row r="211" spans="1:29">
      <c r="A211" s="3675"/>
      <c r="B211" s="3675"/>
      <c r="C211" s="3675"/>
      <c r="D211" s="3675"/>
      <c r="E211" s="3675"/>
      <c r="F211" s="3675"/>
      <c r="G211" s="3675"/>
      <c r="H211" s="3675"/>
      <c r="I211" s="3675"/>
      <c r="J211" s="3675"/>
      <c r="K211" s="3676"/>
      <c r="L211" s="3677"/>
      <c r="M211" s="3675"/>
      <c r="N211" s="3675"/>
      <c r="O211" s="3675"/>
      <c r="P211" s="3675"/>
      <c r="Q211" s="3675"/>
      <c r="R211" s="3675"/>
      <c r="S211" s="3675"/>
      <c r="T211" s="3675"/>
      <c r="U211" s="3675"/>
      <c r="V211" s="3675"/>
      <c r="W211" s="3675"/>
      <c r="X211" s="3675"/>
      <c r="Y211" s="3675"/>
      <c r="Z211" s="3675"/>
      <c r="AA211" s="3675"/>
      <c r="AB211" s="3675"/>
      <c r="AC211" s="3675"/>
    </row>
    <row r="212" spans="1:29">
      <c r="A212" s="3675"/>
      <c r="B212" s="3675"/>
      <c r="C212" s="3675"/>
      <c r="D212" s="3675"/>
      <c r="E212" s="3675"/>
      <c r="F212" s="3675"/>
      <c r="G212" s="3675"/>
      <c r="H212" s="3675"/>
      <c r="I212" s="3675"/>
      <c r="J212" s="3675"/>
      <c r="K212" s="3676"/>
      <c r="L212" s="3677"/>
      <c r="M212" s="3675"/>
      <c r="N212" s="3675"/>
      <c r="O212" s="3675"/>
      <c r="P212" s="3675"/>
      <c r="Q212" s="3675"/>
      <c r="R212" s="3675"/>
      <c r="S212" s="3675"/>
      <c r="T212" s="3675"/>
      <c r="U212" s="3675"/>
      <c r="V212" s="3675"/>
      <c r="W212" s="3675"/>
      <c r="X212" s="3675"/>
      <c r="Y212" s="3675"/>
      <c r="Z212" s="3675"/>
      <c r="AA212" s="3675"/>
      <c r="AB212" s="3675"/>
      <c r="AC212" s="3675"/>
    </row>
    <row r="213" spans="1:29">
      <c r="A213" s="3675"/>
      <c r="B213" s="3675"/>
      <c r="C213" s="3675"/>
      <c r="D213" s="3675"/>
      <c r="E213" s="3675"/>
      <c r="F213" s="3675"/>
      <c r="G213" s="3675"/>
      <c r="H213" s="3675"/>
      <c r="I213" s="3675"/>
      <c r="J213" s="3675"/>
      <c r="K213" s="3676"/>
      <c r="L213" s="3677"/>
      <c r="M213" s="3675"/>
      <c r="N213" s="3675"/>
      <c r="O213" s="3675"/>
      <c r="P213" s="3675"/>
      <c r="Q213" s="3675"/>
      <c r="R213" s="3675"/>
      <c r="S213" s="3675"/>
      <c r="T213" s="3675"/>
      <c r="U213" s="3675"/>
      <c r="V213" s="3675"/>
      <c r="W213" s="3675"/>
      <c r="X213" s="3675"/>
      <c r="Y213" s="3675"/>
      <c r="Z213" s="3675"/>
      <c r="AA213" s="3675"/>
      <c r="AB213" s="3675"/>
      <c r="AC213" s="3675"/>
    </row>
    <row r="214" spans="1:29">
      <c r="A214" s="3675"/>
      <c r="B214" s="3675"/>
      <c r="C214" s="3675"/>
      <c r="D214" s="3675"/>
      <c r="E214" s="3675"/>
      <c r="F214" s="3675"/>
      <c r="G214" s="3675"/>
      <c r="H214" s="3675"/>
      <c r="I214" s="3675"/>
      <c r="J214" s="3675"/>
      <c r="K214" s="3676"/>
      <c r="L214" s="3677"/>
      <c r="M214" s="3675"/>
      <c r="N214" s="3675"/>
      <c r="O214" s="3675"/>
      <c r="P214" s="3675"/>
      <c r="Q214" s="3675"/>
      <c r="R214" s="3675"/>
      <c r="S214" s="3675"/>
      <c r="T214" s="3675"/>
      <c r="U214" s="3675"/>
      <c r="V214" s="3675"/>
      <c r="W214" s="3675"/>
      <c r="X214" s="3675"/>
      <c r="Y214" s="3675"/>
      <c r="Z214" s="3675"/>
      <c r="AA214" s="3675"/>
      <c r="AB214" s="3675"/>
      <c r="AC214" s="3675"/>
    </row>
    <row r="215" spans="1:29">
      <c r="A215" s="3675"/>
      <c r="B215" s="3675"/>
      <c r="C215" s="3675"/>
      <c r="D215" s="3675"/>
      <c r="E215" s="3675"/>
      <c r="F215" s="3675"/>
      <c r="G215" s="3675"/>
      <c r="H215" s="3675"/>
      <c r="I215" s="3675"/>
      <c r="J215" s="3675"/>
      <c r="K215" s="3676"/>
      <c r="L215" s="3677"/>
      <c r="M215" s="3675"/>
      <c r="N215" s="3675"/>
      <c r="O215" s="3675"/>
      <c r="P215" s="3675"/>
      <c r="Q215" s="3675"/>
      <c r="R215" s="3675"/>
      <c r="S215" s="3675"/>
      <c r="T215" s="3675"/>
      <c r="U215" s="3675"/>
      <c r="V215" s="3675"/>
      <c r="W215" s="3675"/>
      <c r="X215" s="3675"/>
      <c r="Y215" s="3675"/>
      <c r="Z215" s="3675"/>
      <c r="AA215" s="3675"/>
      <c r="AB215" s="3675"/>
      <c r="AC215" s="3675"/>
    </row>
    <row r="216" spans="1:29">
      <c r="A216" s="3675"/>
      <c r="B216" s="3675"/>
      <c r="C216" s="3675"/>
      <c r="D216" s="3675"/>
      <c r="E216" s="3675"/>
      <c r="F216" s="3675"/>
      <c r="G216" s="3675"/>
      <c r="H216" s="3675"/>
      <c r="I216" s="3675"/>
      <c r="J216" s="3675"/>
      <c r="K216" s="3676"/>
      <c r="L216" s="3677"/>
      <c r="M216" s="3675"/>
      <c r="N216" s="3675"/>
      <c r="O216" s="3675"/>
      <c r="P216" s="3675"/>
      <c r="Q216" s="3675"/>
      <c r="R216" s="3675"/>
      <c r="S216" s="3675"/>
      <c r="T216" s="3675"/>
      <c r="U216" s="3675"/>
      <c r="V216" s="3675"/>
      <c r="W216" s="3675"/>
      <c r="X216" s="3675"/>
      <c r="Y216" s="3675"/>
      <c r="Z216" s="3675"/>
      <c r="AA216" s="3675"/>
      <c r="AB216" s="3675"/>
      <c r="AC216" s="3675"/>
    </row>
    <row r="217" spans="1:29">
      <c r="A217" s="3675"/>
      <c r="B217" s="3675"/>
      <c r="C217" s="3675"/>
      <c r="D217" s="3675"/>
      <c r="E217" s="3675"/>
      <c r="F217" s="3675"/>
      <c r="G217" s="3675"/>
      <c r="H217" s="3675"/>
      <c r="I217" s="3675"/>
      <c r="J217" s="3675"/>
      <c r="K217" s="3676"/>
      <c r="L217" s="3677"/>
      <c r="M217" s="3675"/>
      <c r="N217" s="3675"/>
      <c r="O217" s="3675"/>
      <c r="P217" s="3675"/>
      <c r="Q217" s="3675"/>
      <c r="R217" s="3675"/>
      <c r="S217" s="3675"/>
      <c r="T217" s="3675"/>
      <c r="U217" s="3675"/>
      <c r="V217" s="3675"/>
      <c r="W217" s="3675"/>
      <c r="X217" s="3675"/>
      <c r="Y217" s="3675"/>
      <c r="Z217" s="3675"/>
      <c r="AA217" s="3675"/>
      <c r="AB217" s="3675"/>
      <c r="AC217" s="3675"/>
    </row>
    <row r="218" spans="1:29">
      <c r="A218" s="3675"/>
      <c r="B218" s="3675"/>
      <c r="C218" s="3675"/>
      <c r="D218" s="3675"/>
      <c r="E218" s="3675"/>
      <c r="F218" s="3675"/>
      <c r="G218" s="3675"/>
      <c r="H218" s="3675"/>
      <c r="I218" s="3675"/>
      <c r="J218" s="3675"/>
      <c r="K218" s="3676"/>
      <c r="L218" s="3677"/>
      <c r="M218" s="3675"/>
      <c r="N218" s="3675"/>
      <c r="O218" s="3675"/>
      <c r="P218" s="3675"/>
      <c r="Q218" s="3675"/>
      <c r="R218" s="3675"/>
      <c r="S218" s="3675"/>
      <c r="T218" s="3675"/>
      <c r="U218" s="3675"/>
      <c r="V218" s="3675"/>
      <c r="W218" s="3675"/>
      <c r="X218" s="3675"/>
      <c r="Y218" s="3675"/>
      <c r="Z218" s="3675"/>
      <c r="AA218" s="3675"/>
      <c r="AB218" s="3675"/>
      <c r="AC218" s="3675"/>
    </row>
    <row r="219" spans="1:29">
      <c r="A219" s="3675"/>
      <c r="B219" s="3675"/>
      <c r="C219" s="3675"/>
      <c r="D219" s="3675"/>
      <c r="E219" s="3675"/>
      <c r="F219" s="3675"/>
      <c r="G219" s="3675"/>
      <c r="H219" s="3675"/>
      <c r="I219" s="3675"/>
      <c r="J219" s="3675"/>
      <c r="K219" s="3676"/>
      <c r="L219" s="3677"/>
      <c r="M219" s="3675"/>
      <c r="N219" s="3675"/>
      <c r="O219" s="3675"/>
      <c r="P219" s="3675"/>
      <c r="Q219" s="3675"/>
      <c r="R219" s="3675"/>
      <c r="S219" s="3675"/>
      <c r="T219" s="3675"/>
      <c r="U219" s="3675"/>
      <c r="V219" s="3675"/>
      <c r="W219" s="3675"/>
      <c r="X219" s="3675"/>
      <c r="Y219" s="3675"/>
      <c r="Z219" s="3675"/>
      <c r="AA219" s="3675"/>
      <c r="AB219" s="3675"/>
      <c r="AC219" s="3675"/>
    </row>
    <row r="220" spans="1:29">
      <c r="A220" s="3675"/>
      <c r="B220" s="3675"/>
      <c r="C220" s="3675"/>
      <c r="D220" s="3675"/>
      <c r="E220" s="3675"/>
      <c r="F220" s="3675"/>
      <c r="G220" s="3675"/>
      <c r="H220" s="3675"/>
      <c r="I220" s="3675"/>
      <c r="J220" s="3675"/>
      <c r="K220" s="3676"/>
      <c r="L220" s="3677"/>
      <c r="M220" s="3675"/>
      <c r="N220" s="3675"/>
      <c r="O220" s="3675"/>
      <c r="P220" s="3675"/>
      <c r="Q220" s="3675"/>
      <c r="R220" s="3675"/>
      <c r="S220" s="3675"/>
      <c r="T220" s="3675"/>
      <c r="U220" s="3675"/>
      <c r="V220" s="3675"/>
      <c r="W220" s="3675"/>
      <c r="X220" s="3675"/>
      <c r="Y220" s="3675"/>
      <c r="Z220" s="3675"/>
      <c r="AA220" s="3675"/>
      <c r="AB220" s="3675"/>
      <c r="AC220" s="3675"/>
    </row>
    <row r="221" spans="1:29">
      <c r="A221" s="3675"/>
      <c r="B221" s="3675"/>
      <c r="C221" s="3675"/>
      <c r="D221" s="3675"/>
      <c r="E221" s="3675"/>
      <c r="F221" s="3675"/>
      <c r="G221" s="3675"/>
      <c r="H221" s="3675"/>
      <c r="I221" s="3675"/>
      <c r="J221" s="3675"/>
      <c r="K221" s="3676"/>
      <c r="L221" s="3677"/>
      <c r="M221" s="3675"/>
      <c r="N221" s="3675"/>
      <c r="O221" s="3675"/>
      <c r="P221" s="3675"/>
      <c r="Q221" s="3675"/>
      <c r="R221" s="3675"/>
      <c r="S221" s="3675"/>
      <c r="T221" s="3675"/>
      <c r="U221" s="3675"/>
      <c r="V221" s="3675"/>
      <c r="W221" s="3675"/>
      <c r="X221" s="3675"/>
      <c r="Y221" s="3675"/>
      <c r="Z221" s="3675"/>
      <c r="AA221" s="3675"/>
      <c r="AB221" s="3675"/>
      <c r="AC221" s="3675"/>
    </row>
    <row r="222" spans="1:29">
      <c r="A222" s="3675"/>
      <c r="B222" s="3675"/>
      <c r="C222" s="3675"/>
      <c r="D222" s="3675"/>
      <c r="E222" s="3675"/>
      <c r="F222" s="3675"/>
      <c r="G222" s="3675"/>
      <c r="H222" s="3675"/>
      <c r="I222" s="3675"/>
      <c r="J222" s="3675"/>
      <c r="K222" s="3676"/>
      <c r="L222" s="3677"/>
      <c r="M222" s="3675"/>
      <c r="N222" s="3675"/>
      <c r="O222" s="3675"/>
      <c r="P222" s="3675"/>
      <c r="Q222" s="3675"/>
      <c r="R222" s="3675"/>
      <c r="S222" s="3675"/>
      <c r="T222" s="3675"/>
      <c r="U222" s="3675"/>
      <c r="V222" s="3675"/>
      <c r="W222" s="3675"/>
      <c r="X222" s="3675"/>
      <c r="Y222" s="3675"/>
      <c r="Z222" s="3675"/>
      <c r="AA222" s="3675"/>
      <c r="AB222" s="3675"/>
      <c r="AC222" s="3675"/>
    </row>
    <row r="223" spans="1:29">
      <c r="A223" s="3675"/>
      <c r="B223" s="3675"/>
      <c r="C223" s="3675"/>
      <c r="D223" s="3675"/>
      <c r="E223" s="3675"/>
      <c r="F223" s="3675"/>
      <c r="G223" s="3675"/>
      <c r="H223" s="3675"/>
      <c r="I223" s="3675"/>
      <c r="J223" s="3675"/>
      <c r="K223" s="3676"/>
      <c r="L223" s="3677"/>
      <c r="M223" s="3675"/>
      <c r="N223" s="3675"/>
      <c r="O223" s="3675"/>
      <c r="P223" s="3675"/>
      <c r="Q223" s="3675"/>
      <c r="R223" s="3675"/>
      <c r="S223" s="3675"/>
      <c r="T223" s="3675"/>
      <c r="U223" s="3675"/>
      <c r="V223" s="3675"/>
      <c r="W223" s="3675"/>
      <c r="X223" s="3675"/>
      <c r="Y223" s="3675"/>
      <c r="Z223" s="3675"/>
      <c r="AA223" s="3675"/>
      <c r="AB223" s="3675"/>
      <c r="AC223" s="3675"/>
    </row>
    <row r="224" spans="1:29">
      <c r="A224" s="3675"/>
      <c r="B224" s="3675"/>
      <c r="C224" s="3675"/>
      <c r="D224" s="3675"/>
      <c r="E224" s="3675"/>
      <c r="F224" s="3675"/>
      <c r="G224" s="3675"/>
      <c r="H224" s="3675"/>
      <c r="I224" s="3675"/>
      <c r="J224" s="3675"/>
      <c r="K224" s="3676"/>
      <c r="L224" s="3677"/>
      <c r="M224" s="3675"/>
      <c r="N224" s="3675"/>
      <c r="O224" s="3675"/>
      <c r="P224" s="3675"/>
      <c r="Q224" s="3675"/>
      <c r="R224" s="3675"/>
      <c r="S224" s="3675"/>
      <c r="T224" s="3675"/>
      <c r="U224" s="3675"/>
      <c r="V224" s="3675"/>
      <c r="W224" s="3675"/>
      <c r="X224" s="3675"/>
      <c r="Y224" s="3675"/>
      <c r="Z224" s="3675"/>
      <c r="AA224" s="3675"/>
      <c r="AB224" s="3675"/>
      <c r="AC224" s="3675"/>
    </row>
    <row r="225" spans="1:29">
      <c r="A225" s="3675"/>
      <c r="B225" s="3675"/>
      <c r="C225" s="3675"/>
      <c r="D225" s="3675"/>
      <c r="E225" s="3675"/>
      <c r="F225" s="3675"/>
      <c r="G225" s="3675"/>
      <c r="H225" s="3675"/>
      <c r="I225" s="3675"/>
      <c r="J225" s="3675"/>
      <c r="K225" s="3676"/>
      <c r="L225" s="3677"/>
      <c r="M225" s="3675"/>
      <c r="N225" s="3675"/>
      <c r="O225" s="3675"/>
      <c r="P225" s="3675"/>
      <c r="Q225" s="3675"/>
      <c r="R225" s="3675"/>
      <c r="S225" s="3675"/>
      <c r="T225" s="3675"/>
      <c r="U225" s="3675"/>
      <c r="V225" s="3675"/>
      <c r="W225" s="3675"/>
      <c r="X225" s="3675"/>
      <c r="Y225" s="3675"/>
      <c r="Z225" s="3675"/>
      <c r="AA225" s="3675"/>
      <c r="AB225" s="3675"/>
      <c r="AC225" s="3675"/>
    </row>
    <row r="226" spans="1:29">
      <c r="A226" s="3675"/>
      <c r="B226" s="3675"/>
      <c r="C226" s="3675"/>
      <c r="D226" s="3675"/>
      <c r="E226" s="3675"/>
      <c r="F226" s="3675"/>
      <c r="G226" s="3675"/>
      <c r="H226" s="3675"/>
      <c r="I226" s="3675"/>
      <c r="J226" s="3675"/>
      <c r="K226" s="3676"/>
      <c r="L226" s="3677"/>
      <c r="M226" s="3675"/>
      <c r="N226" s="3675"/>
      <c r="O226" s="3675"/>
      <c r="P226" s="3675"/>
      <c r="Q226" s="3675"/>
      <c r="R226" s="3675"/>
      <c r="S226" s="3675"/>
      <c r="T226" s="3675"/>
      <c r="U226" s="3675"/>
      <c r="V226" s="3675"/>
      <c r="W226" s="3675"/>
      <c r="X226" s="3675"/>
      <c r="Y226" s="3675"/>
      <c r="Z226" s="3675"/>
      <c r="AA226" s="3675"/>
      <c r="AB226" s="3675"/>
      <c r="AC226" s="3675"/>
    </row>
    <row r="227" spans="1:29">
      <c r="A227" s="3675"/>
      <c r="B227" s="3675"/>
      <c r="C227" s="3675"/>
      <c r="D227" s="3675"/>
      <c r="E227" s="3675"/>
      <c r="F227" s="3675"/>
      <c r="G227" s="3675"/>
      <c r="H227" s="3675"/>
      <c r="I227" s="3675"/>
      <c r="J227" s="3675"/>
      <c r="K227" s="3676"/>
      <c r="L227" s="3677"/>
      <c r="M227" s="3675"/>
      <c r="N227" s="3675"/>
      <c r="O227" s="3675"/>
      <c r="P227" s="3675"/>
      <c r="Q227" s="3675"/>
      <c r="R227" s="3675"/>
      <c r="S227" s="3675"/>
      <c r="T227" s="3675"/>
      <c r="U227" s="3675"/>
      <c r="V227" s="3675"/>
      <c r="W227" s="3675"/>
      <c r="X227" s="3675"/>
      <c r="Y227" s="3675"/>
      <c r="Z227" s="3675"/>
      <c r="AA227" s="3675"/>
      <c r="AB227" s="3675"/>
      <c r="AC227" s="3675"/>
    </row>
    <row r="228" spans="1:29">
      <c r="A228" s="3675"/>
      <c r="B228" s="3675"/>
      <c r="C228" s="3675"/>
      <c r="D228" s="3675"/>
      <c r="E228" s="3675"/>
      <c r="F228" s="3675"/>
      <c r="G228" s="3675"/>
      <c r="H228" s="3675"/>
      <c r="I228" s="3675"/>
      <c r="J228" s="3675"/>
      <c r="K228" s="3676"/>
      <c r="L228" s="3677"/>
      <c r="M228" s="3675"/>
      <c r="N228" s="3675"/>
      <c r="O228" s="3675"/>
      <c r="P228" s="3675"/>
      <c r="Q228" s="3675"/>
      <c r="R228" s="3675"/>
      <c r="S228" s="3675"/>
      <c r="T228" s="3675"/>
      <c r="U228" s="3675"/>
      <c r="V228" s="3675"/>
      <c r="W228" s="3675"/>
      <c r="X228" s="3675"/>
      <c r="Y228" s="3675"/>
      <c r="Z228" s="3675"/>
      <c r="AA228" s="3675"/>
      <c r="AB228" s="3675"/>
      <c r="AC228" s="3675"/>
    </row>
    <row r="229" spans="1:29">
      <c r="A229" s="3675"/>
      <c r="B229" s="3675"/>
      <c r="C229" s="3675"/>
      <c r="D229" s="3675"/>
      <c r="E229" s="3675"/>
      <c r="F229" s="3675"/>
      <c r="G229" s="3675"/>
      <c r="H229" s="3675"/>
      <c r="I229" s="3675"/>
      <c r="J229" s="3675"/>
      <c r="K229" s="3676"/>
      <c r="L229" s="3677"/>
      <c r="M229" s="3675"/>
      <c r="N229" s="3675"/>
      <c r="O229" s="3675"/>
      <c r="P229" s="3675"/>
      <c r="Q229" s="3675"/>
      <c r="R229" s="3675"/>
      <c r="S229" s="3675"/>
      <c r="T229" s="3675"/>
      <c r="U229" s="3675"/>
      <c r="V229" s="3675"/>
      <c r="W229" s="3675"/>
      <c r="X229" s="3675"/>
      <c r="Y229" s="3675"/>
      <c r="Z229" s="3675"/>
      <c r="AA229" s="3675"/>
      <c r="AB229" s="3675"/>
      <c r="AC229" s="3675"/>
    </row>
    <row r="230" spans="1:29">
      <c r="A230" s="3675"/>
      <c r="B230" s="3675"/>
      <c r="C230" s="3675"/>
      <c r="D230" s="3675"/>
      <c r="E230" s="3675"/>
      <c r="F230" s="3675"/>
      <c r="G230" s="3675"/>
      <c r="H230" s="3675"/>
      <c r="I230" s="3675"/>
      <c r="J230" s="3675"/>
      <c r="K230" s="3676"/>
      <c r="L230" s="3677"/>
      <c r="M230" s="3675"/>
      <c r="N230" s="3675"/>
      <c r="O230" s="3675"/>
      <c r="P230" s="3675"/>
      <c r="Q230" s="3675"/>
      <c r="R230" s="3675"/>
      <c r="S230" s="3675"/>
      <c r="T230" s="3675"/>
      <c r="U230" s="3675"/>
      <c r="V230" s="3675"/>
      <c r="W230" s="3675"/>
      <c r="X230" s="3675"/>
      <c r="Y230" s="3675"/>
      <c r="Z230" s="3675"/>
      <c r="AA230" s="3675"/>
      <c r="AB230" s="3675"/>
      <c r="AC230" s="3675"/>
    </row>
    <row r="231" spans="1:29">
      <c r="A231" s="3675"/>
      <c r="B231" s="3675"/>
      <c r="C231" s="3675"/>
      <c r="D231" s="3675"/>
      <c r="E231" s="3675"/>
      <c r="F231" s="3675"/>
      <c r="G231" s="3675"/>
      <c r="H231" s="3675"/>
      <c r="I231" s="3675"/>
      <c r="J231" s="3675"/>
      <c r="K231" s="3676"/>
      <c r="L231" s="3677"/>
      <c r="M231" s="3675"/>
      <c r="N231" s="3675"/>
      <c r="O231" s="3675"/>
      <c r="P231" s="3675"/>
      <c r="Q231" s="3675"/>
      <c r="R231" s="3675"/>
      <c r="S231" s="3675"/>
      <c r="T231" s="3675"/>
      <c r="U231" s="3675"/>
      <c r="V231" s="3675"/>
      <c r="W231" s="3675"/>
      <c r="X231" s="3675"/>
      <c r="Y231" s="3675"/>
      <c r="Z231" s="3675"/>
      <c r="AA231" s="3675"/>
      <c r="AB231" s="3675"/>
      <c r="AC231" s="3675"/>
    </row>
    <row r="232" spans="1:29">
      <c r="A232" s="3675"/>
      <c r="B232" s="3675"/>
      <c r="C232" s="3675"/>
      <c r="D232" s="3675"/>
      <c r="E232" s="3675"/>
      <c r="F232" s="3675"/>
      <c r="G232" s="3675"/>
      <c r="H232" s="3675"/>
      <c r="I232" s="3675"/>
      <c r="J232" s="3675"/>
      <c r="K232" s="3676"/>
      <c r="L232" s="3677"/>
      <c r="M232" s="3675"/>
      <c r="N232" s="3675"/>
      <c r="O232" s="3675"/>
      <c r="P232" s="3675"/>
      <c r="Q232" s="3675"/>
      <c r="R232" s="3675"/>
      <c r="S232" s="3675"/>
      <c r="T232" s="3675"/>
      <c r="U232" s="3675"/>
      <c r="V232" s="3675"/>
      <c r="W232" s="3675"/>
      <c r="X232" s="3675"/>
      <c r="Y232" s="3675"/>
      <c r="Z232" s="3675"/>
      <c r="AA232" s="3675"/>
      <c r="AB232" s="3675"/>
      <c r="AC232" s="3675"/>
    </row>
    <row r="233" spans="1:29">
      <c r="A233" s="3675"/>
      <c r="B233" s="3675"/>
      <c r="C233" s="3675"/>
      <c r="D233" s="3675"/>
      <c r="E233" s="3675"/>
      <c r="F233" s="3675"/>
      <c r="G233" s="3675"/>
      <c r="H233" s="3675"/>
      <c r="I233" s="3675"/>
      <c r="J233" s="3675"/>
      <c r="K233" s="3676"/>
      <c r="L233" s="3677"/>
      <c r="M233" s="3675"/>
      <c r="N233" s="3675"/>
      <c r="O233" s="3675"/>
      <c r="P233" s="3675"/>
      <c r="Q233" s="3675"/>
      <c r="R233" s="3675"/>
      <c r="S233" s="3675"/>
      <c r="T233" s="3675"/>
      <c r="U233" s="3675"/>
      <c r="V233" s="3675"/>
      <c r="W233" s="3675"/>
      <c r="X233" s="3675"/>
      <c r="Y233" s="3675"/>
      <c r="Z233" s="3675"/>
      <c r="AA233" s="3675"/>
      <c r="AB233" s="3675"/>
      <c r="AC233" s="3675"/>
    </row>
    <row r="234" spans="1:29">
      <c r="A234" s="3675"/>
      <c r="B234" s="3675"/>
      <c r="C234" s="3675"/>
      <c r="D234" s="3675"/>
      <c r="E234" s="3675"/>
      <c r="F234" s="3675"/>
      <c r="G234" s="3675"/>
      <c r="H234" s="3675"/>
      <c r="I234" s="3675"/>
      <c r="J234" s="3675"/>
      <c r="K234" s="3676"/>
      <c r="L234" s="3677"/>
      <c r="M234" s="3675"/>
      <c r="N234" s="3675"/>
      <c r="O234" s="3675"/>
      <c r="P234" s="3675"/>
      <c r="Q234" s="3675"/>
      <c r="R234" s="3675"/>
      <c r="S234" s="3675"/>
      <c r="T234" s="3675"/>
      <c r="U234" s="3675"/>
      <c r="V234" s="3675"/>
      <c r="W234" s="3675"/>
      <c r="X234" s="3675"/>
      <c r="Y234" s="3675"/>
      <c r="Z234" s="3675"/>
      <c r="AA234" s="3675"/>
      <c r="AB234" s="3675"/>
      <c r="AC234" s="3675"/>
    </row>
    <row r="235" spans="1:29">
      <c r="A235" s="3675"/>
      <c r="B235" s="3675"/>
      <c r="C235" s="3675"/>
      <c r="D235" s="3675"/>
      <c r="E235" s="3675"/>
      <c r="F235" s="3675"/>
      <c r="G235" s="3675"/>
      <c r="H235" s="3675"/>
      <c r="I235" s="3675"/>
      <c r="J235" s="3675"/>
      <c r="K235" s="3676"/>
      <c r="L235" s="3677"/>
      <c r="M235" s="3675"/>
      <c r="N235" s="3675"/>
      <c r="O235" s="3675"/>
      <c r="P235" s="3675"/>
      <c r="Q235" s="3675"/>
      <c r="R235" s="3675"/>
      <c r="S235" s="3675"/>
      <c r="T235" s="3675"/>
      <c r="U235" s="3675"/>
      <c r="V235" s="3675"/>
      <c r="W235" s="3675"/>
      <c r="X235" s="3675"/>
      <c r="Y235" s="3675"/>
      <c r="Z235" s="3675"/>
      <c r="AA235" s="3675"/>
      <c r="AB235" s="3675"/>
      <c r="AC235" s="3675"/>
    </row>
    <row r="236" spans="1:29">
      <c r="A236" s="3675"/>
      <c r="B236" s="3675"/>
      <c r="C236" s="3675"/>
      <c r="D236" s="3675"/>
      <c r="E236" s="3675"/>
      <c r="F236" s="3675"/>
      <c r="G236" s="3675"/>
      <c r="H236" s="3675"/>
      <c r="I236" s="3675"/>
      <c r="J236" s="3675"/>
      <c r="K236" s="3676"/>
      <c r="L236" s="3677"/>
      <c r="M236" s="3675"/>
      <c r="N236" s="3675"/>
      <c r="O236" s="3675"/>
      <c r="P236" s="3675"/>
      <c r="Q236" s="3675"/>
      <c r="R236" s="3675"/>
      <c r="S236" s="3675"/>
      <c r="T236" s="3675"/>
      <c r="U236" s="3675"/>
      <c r="V236" s="3675"/>
      <c r="W236" s="3675"/>
      <c r="X236" s="3675"/>
      <c r="Y236" s="3675"/>
      <c r="Z236" s="3675"/>
      <c r="AA236" s="3675"/>
      <c r="AB236" s="3675"/>
      <c r="AC236" s="3675"/>
    </row>
    <row r="237" spans="1:29">
      <c r="A237" s="3675"/>
      <c r="B237" s="3675"/>
      <c r="C237" s="3675"/>
      <c r="D237" s="3675"/>
      <c r="E237" s="3675"/>
      <c r="F237" s="3675"/>
      <c r="G237" s="3675"/>
      <c r="H237" s="3675"/>
      <c r="I237" s="3675"/>
      <c r="J237" s="3675"/>
      <c r="K237" s="3676"/>
      <c r="L237" s="3677"/>
      <c r="M237" s="3675"/>
      <c r="N237" s="3675"/>
      <c r="O237" s="3675"/>
      <c r="P237" s="3675"/>
      <c r="Q237" s="3675"/>
      <c r="R237" s="3675"/>
      <c r="S237" s="3675"/>
      <c r="T237" s="3675"/>
      <c r="U237" s="3675"/>
      <c r="V237" s="3675"/>
      <c r="W237" s="3675"/>
      <c r="X237" s="3675"/>
      <c r="Y237" s="3675"/>
      <c r="Z237" s="3675"/>
      <c r="AA237" s="3675"/>
      <c r="AB237" s="3675"/>
      <c r="AC237" s="3675"/>
    </row>
    <row r="238" spans="1:29">
      <c r="A238" s="3675"/>
      <c r="B238" s="3675"/>
      <c r="C238" s="3675"/>
      <c r="D238" s="3675"/>
      <c r="E238" s="3675"/>
      <c r="F238" s="3675"/>
      <c r="G238" s="3675"/>
      <c r="H238" s="3675"/>
      <c r="I238" s="3675"/>
      <c r="J238" s="3675"/>
      <c r="K238" s="3676"/>
      <c r="L238" s="3677"/>
      <c r="M238" s="3675"/>
      <c r="N238" s="3675"/>
      <c r="O238" s="3675"/>
      <c r="P238" s="3675"/>
      <c r="Q238" s="3675"/>
      <c r="R238" s="3675"/>
      <c r="S238" s="3675"/>
      <c r="T238" s="3675"/>
      <c r="U238" s="3675"/>
      <c r="V238" s="3675"/>
      <c r="W238" s="3675"/>
      <c r="X238" s="3675"/>
      <c r="Y238" s="3675"/>
      <c r="Z238" s="3675"/>
      <c r="AA238" s="3675"/>
      <c r="AB238" s="3675"/>
      <c r="AC238" s="3675"/>
    </row>
    <row r="239" spans="1:29">
      <c r="A239" s="3675"/>
      <c r="B239" s="3675"/>
      <c r="C239" s="3675"/>
      <c r="D239" s="3675"/>
      <c r="E239" s="3675"/>
      <c r="F239" s="3675"/>
      <c r="G239" s="3675"/>
      <c r="H239" s="3675"/>
      <c r="I239" s="3675"/>
      <c r="J239" s="3675"/>
      <c r="K239" s="3676"/>
      <c r="L239" s="3677"/>
      <c r="M239" s="3675"/>
      <c r="N239" s="3675"/>
      <c r="O239" s="3675"/>
      <c r="P239" s="3675"/>
      <c r="Q239" s="3675"/>
      <c r="R239" s="3675"/>
      <c r="S239" s="3675"/>
      <c r="T239" s="3675"/>
      <c r="U239" s="3675"/>
      <c r="V239" s="3675"/>
      <c r="W239" s="3675"/>
      <c r="X239" s="3675"/>
      <c r="Y239" s="3675"/>
      <c r="Z239" s="3675"/>
      <c r="AA239" s="3675"/>
      <c r="AB239" s="3675"/>
      <c r="AC239" s="3675"/>
    </row>
    <row r="240" spans="1:29">
      <c r="A240" s="3675"/>
      <c r="B240" s="3675"/>
      <c r="C240" s="3675"/>
      <c r="D240" s="3675"/>
      <c r="E240" s="3675"/>
      <c r="F240" s="3675"/>
      <c r="G240" s="3675"/>
      <c r="H240" s="3675"/>
      <c r="I240" s="3675"/>
      <c r="J240" s="3675"/>
      <c r="K240" s="3676"/>
      <c r="L240" s="3677"/>
      <c r="M240" s="3675"/>
      <c r="N240" s="3675"/>
      <c r="O240" s="3675"/>
      <c r="P240" s="3675"/>
      <c r="Q240" s="3675"/>
      <c r="R240" s="3675"/>
      <c r="S240" s="3675"/>
      <c r="T240" s="3675"/>
      <c r="U240" s="3675"/>
      <c r="V240" s="3675"/>
      <c r="W240" s="3675"/>
      <c r="X240" s="3675"/>
      <c r="Y240" s="3675"/>
      <c r="Z240" s="3675"/>
      <c r="AA240" s="3675"/>
      <c r="AB240" s="3675"/>
      <c r="AC240" s="3675"/>
    </row>
    <row r="241" spans="1:29">
      <c r="A241" s="3675"/>
      <c r="B241" s="3675"/>
      <c r="C241" s="3675"/>
      <c r="D241" s="3675"/>
      <c r="E241" s="3675"/>
      <c r="F241" s="3675"/>
      <c r="G241" s="3675"/>
      <c r="H241" s="3675"/>
      <c r="I241" s="3675"/>
      <c r="J241" s="3675"/>
      <c r="K241" s="3676"/>
      <c r="L241" s="3677"/>
      <c r="M241" s="3675"/>
      <c r="N241" s="3675"/>
      <c r="O241" s="3675"/>
      <c r="P241" s="3675"/>
      <c r="Q241" s="3675"/>
      <c r="R241" s="3675"/>
      <c r="S241" s="3675"/>
      <c r="T241" s="3675"/>
      <c r="U241" s="3675"/>
      <c r="V241" s="3675"/>
      <c r="W241" s="3675"/>
      <c r="X241" s="3675"/>
      <c r="Y241" s="3675"/>
      <c r="Z241" s="3675"/>
      <c r="AA241" s="3675"/>
      <c r="AB241" s="3675"/>
      <c r="AC241" s="3675"/>
    </row>
    <row r="242" spans="1:29">
      <c r="A242" s="3675"/>
      <c r="B242" s="3675"/>
      <c r="C242" s="3675"/>
      <c r="D242" s="3675"/>
      <c r="E242" s="3675"/>
      <c r="F242" s="3675"/>
      <c r="G242" s="3675"/>
      <c r="H242" s="3675"/>
      <c r="I242" s="3675"/>
      <c r="J242" s="3675"/>
      <c r="K242" s="3676"/>
      <c r="L242" s="3677"/>
      <c r="M242" s="3675"/>
      <c r="N242" s="3675"/>
      <c r="O242" s="3675"/>
      <c r="P242" s="3675"/>
      <c r="Q242" s="3675"/>
      <c r="R242" s="3675"/>
      <c r="S242" s="3675"/>
      <c r="T242" s="3675"/>
      <c r="U242" s="3675"/>
      <c r="V242" s="3675"/>
      <c r="W242" s="3675"/>
      <c r="X242" s="3675"/>
      <c r="Y242" s="3675"/>
      <c r="Z242" s="3675"/>
      <c r="AA242" s="3675"/>
      <c r="AB242" s="3675"/>
      <c r="AC242" s="3675"/>
    </row>
    <row r="243" spans="1:29">
      <c r="A243" s="3675"/>
      <c r="B243" s="3675"/>
      <c r="C243" s="3675"/>
      <c r="D243" s="3675"/>
      <c r="E243" s="3675"/>
      <c r="F243" s="3675"/>
      <c r="G243" s="3675"/>
      <c r="H243" s="3675"/>
      <c r="I243" s="3675"/>
      <c r="J243" s="3675"/>
      <c r="K243" s="3676"/>
      <c r="L243" s="3677"/>
      <c r="M243" s="3675"/>
      <c r="N243" s="3675"/>
      <c r="O243" s="3675"/>
      <c r="P243" s="3675"/>
      <c r="Q243" s="3675"/>
      <c r="R243" s="3675"/>
      <c r="S243" s="3675"/>
      <c r="T243" s="3675"/>
      <c r="U243" s="3675"/>
      <c r="V243" s="3675"/>
      <c r="W243" s="3675"/>
      <c r="X243" s="3675"/>
      <c r="Y243" s="3675"/>
      <c r="Z243" s="3675"/>
      <c r="AA243" s="3675"/>
      <c r="AB243" s="3675"/>
      <c r="AC243" s="3675"/>
    </row>
    <row r="244" spans="1:29">
      <c r="A244" s="3675"/>
      <c r="B244" s="3675"/>
      <c r="C244" s="3675"/>
      <c r="D244" s="3675"/>
      <c r="E244" s="3675"/>
      <c r="F244" s="3675"/>
      <c r="G244" s="3675"/>
      <c r="H244" s="3675"/>
      <c r="I244" s="3675"/>
      <c r="J244" s="3675"/>
      <c r="K244" s="3676"/>
      <c r="L244" s="3677"/>
      <c r="M244" s="3675"/>
      <c r="N244" s="3675"/>
      <c r="O244" s="3675"/>
      <c r="P244" s="3675"/>
      <c r="Q244" s="3675"/>
      <c r="R244" s="3675"/>
      <c r="S244" s="3675"/>
      <c r="T244" s="3675"/>
      <c r="U244" s="3675"/>
      <c r="V244" s="3675"/>
      <c r="W244" s="3675"/>
      <c r="X244" s="3675"/>
      <c r="Y244" s="3675"/>
      <c r="Z244" s="3675"/>
      <c r="AA244" s="3675"/>
      <c r="AB244" s="3675"/>
      <c r="AC244" s="3675"/>
    </row>
    <row r="245" spans="1:29">
      <c r="A245" s="3675"/>
      <c r="B245" s="3675"/>
      <c r="C245" s="3675"/>
      <c r="D245" s="3675"/>
      <c r="E245" s="3675"/>
      <c r="F245" s="3675"/>
      <c r="G245" s="3675"/>
      <c r="H245" s="3675"/>
      <c r="I245" s="3675"/>
      <c r="J245" s="3675"/>
      <c r="K245" s="3676"/>
      <c r="L245" s="3677"/>
      <c r="M245" s="3675"/>
      <c r="N245" s="3675"/>
      <c r="O245" s="3675"/>
      <c r="P245" s="3675"/>
      <c r="Q245" s="3675"/>
      <c r="R245" s="3675"/>
      <c r="S245" s="3675"/>
      <c r="T245" s="3675"/>
      <c r="U245" s="3675"/>
      <c r="V245" s="3675"/>
      <c r="W245" s="3675"/>
      <c r="X245" s="3675"/>
      <c r="Y245" s="3675"/>
      <c r="Z245" s="3675"/>
      <c r="AA245" s="3675"/>
      <c r="AB245" s="3675"/>
      <c r="AC245" s="3675"/>
    </row>
    <row r="246" spans="1:29">
      <c r="A246" s="3675"/>
      <c r="B246" s="3675"/>
      <c r="C246" s="3675"/>
      <c r="D246" s="3675"/>
      <c r="E246" s="3675"/>
      <c r="F246" s="3675"/>
      <c r="G246" s="3675"/>
      <c r="H246" s="3675"/>
      <c r="I246" s="3675"/>
      <c r="J246" s="3675"/>
      <c r="K246" s="3676"/>
      <c r="L246" s="3677"/>
      <c r="M246" s="3675"/>
      <c r="N246" s="3675"/>
      <c r="O246" s="3675"/>
      <c r="P246" s="3675"/>
      <c r="Q246" s="3675"/>
      <c r="R246" s="3675"/>
      <c r="S246" s="3675"/>
      <c r="T246" s="3675"/>
      <c r="U246" s="3675"/>
      <c r="V246" s="3675"/>
      <c r="W246" s="3675"/>
      <c r="X246" s="3675"/>
      <c r="Y246" s="3675"/>
      <c r="Z246" s="3675"/>
      <c r="AA246" s="3675"/>
      <c r="AB246" s="3675"/>
      <c r="AC246" s="3675"/>
    </row>
    <row r="247" spans="1:29">
      <c r="A247" s="3675"/>
      <c r="B247" s="3675"/>
      <c r="C247" s="3675"/>
      <c r="D247" s="3675"/>
      <c r="E247" s="3675"/>
      <c r="F247" s="3675"/>
      <c r="G247" s="3675"/>
      <c r="H247" s="3675"/>
      <c r="I247" s="3675"/>
      <c r="J247" s="3675"/>
      <c r="K247" s="3676"/>
      <c r="L247" s="3677"/>
      <c r="M247" s="3675"/>
      <c r="N247" s="3675"/>
      <c r="O247" s="3675"/>
      <c r="P247" s="3675"/>
      <c r="Q247" s="3675"/>
      <c r="R247" s="3675"/>
      <c r="S247" s="3675"/>
      <c r="T247" s="3675"/>
      <c r="U247" s="3675"/>
      <c r="V247" s="3675"/>
      <c r="W247" s="3675"/>
      <c r="X247" s="3675"/>
      <c r="Y247" s="3675"/>
      <c r="Z247" s="3675"/>
      <c r="AA247" s="3675"/>
      <c r="AB247" s="3675"/>
      <c r="AC247" s="3675"/>
    </row>
    <row r="248" spans="1:29">
      <c r="A248" s="3675"/>
      <c r="B248" s="3675"/>
      <c r="C248" s="3675"/>
      <c r="D248" s="3675"/>
      <c r="E248" s="3675"/>
      <c r="F248" s="3675"/>
      <c r="G248" s="3675"/>
      <c r="H248" s="3675"/>
      <c r="I248" s="3675"/>
      <c r="J248" s="3675"/>
      <c r="K248" s="3676"/>
      <c r="L248" s="3677"/>
      <c r="M248" s="3675"/>
      <c r="N248" s="3675"/>
      <c r="O248" s="3675"/>
      <c r="P248" s="3675"/>
      <c r="Q248" s="3675"/>
      <c r="R248" s="3675"/>
      <c r="S248" s="3675"/>
      <c r="T248" s="3675"/>
      <c r="U248" s="3675"/>
      <c r="V248" s="3675"/>
      <c r="W248" s="3675"/>
      <c r="X248" s="3675"/>
      <c r="Y248" s="3675"/>
      <c r="Z248" s="3675"/>
      <c r="AA248" s="3675"/>
      <c r="AB248" s="3675"/>
      <c r="AC248" s="3675"/>
    </row>
    <row r="249" spans="1:29">
      <c r="A249" s="3675"/>
      <c r="B249" s="3675"/>
      <c r="C249" s="3675"/>
      <c r="D249" s="3675"/>
      <c r="E249" s="3675"/>
      <c r="F249" s="3675"/>
      <c r="G249" s="3675"/>
      <c r="H249" s="3675"/>
      <c r="I249" s="3675"/>
      <c r="J249" s="3675"/>
      <c r="K249" s="3676"/>
      <c r="L249" s="3677"/>
      <c r="M249" s="3675"/>
      <c r="N249" s="3675"/>
      <c r="O249" s="3675"/>
      <c r="P249" s="3675"/>
      <c r="Q249" s="3675"/>
      <c r="R249" s="3675"/>
      <c r="S249" s="3675"/>
      <c r="T249" s="3675"/>
      <c r="U249" s="3675"/>
      <c r="V249" s="3675"/>
      <c r="W249" s="3675"/>
      <c r="X249" s="3675"/>
      <c r="Y249" s="3675"/>
      <c r="Z249" s="3675"/>
      <c r="AA249" s="3675"/>
      <c r="AB249" s="3675"/>
      <c r="AC249" s="3675"/>
    </row>
    <row r="250" spans="1:29">
      <c r="A250" s="3675"/>
      <c r="B250" s="3675"/>
      <c r="C250" s="3675"/>
      <c r="D250" s="3675"/>
      <c r="E250" s="3675"/>
      <c r="F250" s="3675"/>
      <c r="G250" s="3675"/>
      <c r="H250" s="3675"/>
      <c r="I250" s="3675"/>
      <c r="J250" s="3675"/>
      <c r="K250" s="3676"/>
      <c r="L250" s="3677"/>
      <c r="M250" s="3675"/>
      <c r="N250" s="3675"/>
      <c r="O250" s="3675"/>
      <c r="P250" s="3675"/>
      <c r="Q250" s="3675"/>
      <c r="R250" s="3675"/>
      <c r="S250" s="3675"/>
      <c r="T250" s="3675"/>
      <c r="U250" s="3675"/>
      <c r="V250" s="3675"/>
      <c r="W250" s="3675"/>
      <c r="X250" s="3675"/>
      <c r="Y250" s="3675"/>
      <c r="Z250" s="3675"/>
      <c r="AA250" s="3675"/>
      <c r="AB250" s="3675"/>
      <c r="AC250" s="3675"/>
    </row>
    <row r="251" spans="1:29">
      <c r="A251" s="3675"/>
      <c r="B251" s="3675"/>
      <c r="C251" s="3675"/>
      <c r="D251" s="3675"/>
      <c r="E251" s="3675"/>
      <c r="F251" s="3675"/>
      <c r="G251" s="3675"/>
      <c r="H251" s="3675"/>
      <c r="I251" s="3675"/>
      <c r="J251" s="3675"/>
      <c r="K251" s="3676"/>
      <c r="L251" s="3677"/>
      <c r="M251" s="3675"/>
      <c r="N251" s="3675"/>
      <c r="O251" s="3675"/>
      <c r="P251" s="3675"/>
      <c r="Q251" s="3675"/>
      <c r="R251" s="3675"/>
      <c r="S251" s="3675"/>
      <c r="T251" s="3675"/>
      <c r="U251" s="3675"/>
      <c r="V251" s="3675"/>
      <c r="W251" s="3675"/>
      <c r="X251" s="3675"/>
      <c r="Y251" s="3675"/>
      <c r="Z251" s="3675"/>
      <c r="AA251" s="3675"/>
      <c r="AB251" s="3675"/>
      <c r="AC251" s="3675"/>
    </row>
    <row r="252" spans="1:29">
      <c r="A252" s="3675"/>
      <c r="B252" s="3675"/>
      <c r="C252" s="3675"/>
      <c r="D252" s="3675"/>
      <c r="E252" s="3675"/>
      <c r="F252" s="3675"/>
      <c r="G252" s="3675"/>
      <c r="H252" s="3675"/>
      <c r="I252" s="3675"/>
      <c r="J252" s="3675"/>
      <c r="K252" s="3676"/>
      <c r="L252" s="3677"/>
      <c r="M252" s="3675"/>
      <c r="N252" s="3675"/>
      <c r="O252" s="3675"/>
      <c r="P252" s="3675"/>
      <c r="Q252" s="3675"/>
      <c r="R252" s="3675"/>
      <c r="S252" s="3675"/>
      <c r="T252" s="3675"/>
      <c r="U252" s="3675"/>
      <c r="V252" s="3675"/>
      <c r="W252" s="3675"/>
      <c r="X252" s="3675"/>
      <c r="Y252" s="3675"/>
      <c r="Z252" s="3675"/>
      <c r="AA252" s="3675"/>
      <c r="AB252" s="3675"/>
      <c r="AC252" s="3675"/>
    </row>
    <row r="253" spans="1:29">
      <c r="A253" s="3675"/>
      <c r="B253" s="3675"/>
      <c r="C253" s="3675"/>
      <c r="D253" s="3675"/>
      <c r="E253" s="3675"/>
      <c r="F253" s="3675"/>
      <c r="G253" s="3675"/>
      <c r="H253" s="3675"/>
      <c r="I253" s="3675"/>
      <c r="J253" s="3675"/>
      <c r="K253" s="3676"/>
      <c r="L253" s="3677"/>
      <c r="M253" s="3675"/>
      <c r="N253" s="3675"/>
      <c r="O253" s="3675"/>
      <c r="P253" s="3675"/>
      <c r="Q253" s="3675"/>
      <c r="R253" s="3675"/>
      <c r="S253" s="3675"/>
      <c r="T253" s="3675"/>
      <c r="U253" s="3675"/>
      <c r="V253" s="3675"/>
      <c r="W253" s="3675"/>
      <c r="X253" s="3675"/>
      <c r="Y253" s="3675"/>
      <c r="Z253" s="3675"/>
      <c r="AA253" s="3675"/>
      <c r="AB253" s="3675"/>
      <c r="AC253" s="3675"/>
    </row>
    <row r="254" spans="1:29">
      <c r="A254" s="3675"/>
      <c r="B254" s="3675"/>
      <c r="C254" s="3675"/>
      <c r="D254" s="3675"/>
      <c r="E254" s="3675"/>
      <c r="F254" s="3675"/>
      <c r="G254" s="3675"/>
      <c r="H254" s="3675"/>
      <c r="I254" s="3675"/>
      <c r="J254" s="3675"/>
      <c r="K254" s="3676"/>
      <c r="L254" s="3677"/>
      <c r="M254" s="3675"/>
      <c r="N254" s="3675"/>
      <c r="O254" s="3675"/>
      <c r="P254" s="3675"/>
      <c r="Q254" s="3675"/>
      <c r="R254" s="3675"/>
      <c r="S254" s="3675"/>
      <c r="T254" s="3675"/>
      <c r="U254" s="3675"/>
      <c r="V254" s="3675"/>
      <c r="W254" s="3675"/>
      <c r="X254" s="3675"/>
      <c r="Y254" s="3675"/>
      <c r="Z254" s="3675"/>
      <c r="AA254" s="3675"/>
      <c r="AB254" s="3675"/>
      <c r="AC254" s="3675"/>
    </row>
    <row r="255" spans="1:29">
      <c r="A255" s="3675"/>
      <c r="B255" s="3675"/>
      <c r="C255" s="3675"/>
      <c r="D255" s="3675"/>
      <c r="E255" s="3675"/>
      <c r="F255" s="3675"/>
      <c r="G255" s="3675"/>
      <c r="H255" s="3675"/>
      <c r="I255" s="3675"/>
      <c r="J255" s="3675"/>
      <c r="K255" s="3676"/>
      <c r="L255" s="3677"/>
      <c r="M255" s="3675"/>
      <c r="N255" s="3675"/>
      <c r="O255" s="3675"/>
      <c r="P255" s="3675"/>
      <c r="Q255" s="3675"/>
      <c r="R255" s="3675"/>
      <c r="S255" s="3675"/>
      <c r="T255" s="3675"/>
      <c r="U255" s="3675"/>
      <c r="V255" s="3675"/>
      <c r="W255" s="3675"/>
      <c r="X255" s="3675"/>
      <c r="Y255" s="3675"/>
      <c r="Z255" s="3675"/>
      <c r="AA255" s="3675"/>
      <c r="AB255" s="3675"/>
      <c r="AC255" s="3675"/>
    </row>
    <row r="256" spans="1:29">
      <c r="A256" s="3675"/>
      <c r="B256" s="3675"/>
      <c r="C256" s="3675"/>
      <c r="D256" s="3675"/>
      <c r="E256" s="3675"/>
      <c r="F256" s="3675"/>
      <c r="G256" s="3675"/>
      <c r="H256" s="3675"/>
      <c r="I256" s="3675"/>
      <c r="J256" s="3675"/>
      <c r="K256" s="3676"/>
      <c r="L256" s="3677"/>
      <c r="M256" s="3675"/>
      <c r="N256" s="3675"/>
      <c r="O256" s="3675"/>
      <c r="P256" s="3675"/>
      <c r="Q256" s="3675"/>
      <c r="R256" s="3675"/>
      <c r="S256" s="3675"/>
      <c r="T256" s="3675"/>
      <c r="U256" s="3675"/>
      <c r="V256" s="3675"/>
      <c r="W256" s="3675"/>
      <c r="X256" s="3675"/>
      <c r="Y256" s="3675"/>
      <c r="Z256" s="3675"/>
      <c r="AA256" s="3675"/>
      <c r="AB256" s="3675"/>
      <c r="AC256" s="3675"/>
    </row>
    <row r="257" spans="1:29">
      <c r="A257" s="3675"/>
      <c r="B257" s="3675"/>
      <c r="C257" s="3675"/>
      <c r="D257" s="3675"/>
      <c r="E257" s="3675"/>
      <c r="F257" s="3675"/>
      <c r="G257" s="3675"/>
      <c r="H257" s="3675"/>
      <c r="I257" s="3675"/>
      <c r="J257" s="3675"/>
      <c r="K257" s="3676"/>
      <c r="L257" s="3677"/>
      <c r="M257" s="3675"/>
      <c r="N257" s="3675"/>
      <c r="O257" s="3675"/>
      <c r="P257" s="3675"/>
      <c r="Q257" s="3675"/>
      <c r="R257" s="3675"/>
      <c r="S257" s="3675"/>
      <c r="T257" s="3675"/>
      <c r="U257" s="3675"/>
      <c r="V257" s="3675"/>
      <c r="W257" s="3675"/>
      <c r="X257" s="3675"/>
      <c r="Y257" s="3675"/>
      <c r="Z257" s="3675"/>
      <c r="AA257" s="3675"/>
      <c r="AB257" s="3675"/>
      <c r="AC257" s="3675"/>
    </row>
    <row r="258" spans="1:29">
      <c r="A258" s="3675"/>
      <c r="B258" s="3675"/>
      <c r="C258" s="3675"/>
      <c r="D258" s="3675"/>
      <c r="E258" s="3675"/>
      <c r="F258" s="3675"/>
      <c r="G258" s="3675"/>
      <c r="H258" s="3675"/>
      <c r="I258" s="3675"/>
      <c r="J258" s="3675"/>
      <c r="K258" s="3676"/>
      <c r="L258" s="3677"/>
      <c r="M258" s="3675"/>
      <c r="N258" s="3675"/>
      <c r="O258" s="3675"/>
      <c r="P258" s="3675"/>
      <c r="Q258" s="3675"/>
      <c r="R258" s="3675"/>
      <c r="S258" s="3675"/>
      <c r="T258" s="3675"/>
      <c r="U258" s="3675"/>
      <c r="V258" s="3675"/>
      <c r="W258" s="3675"/>
      <c r="X258" s="3675"/>
      <c r="Y258" s="3675"/>
      <c r="Z258" s="3675"/>
      <c r="AA258" s="3675"/>
      <c r="AB258" s="3675"/>
      <c r="AC258" s="3675"/>
    </row>
    <row r="259" spans="1:29">
      <c r="A259" s="3675"/>
      <c r="B259" s="3675"/>
      <c r="C259" s="3675"/>
      <c r="D259" s="3675"/>
      <c r="E259" s="3675"/>
      <c r="F259" s="3675"/>
      <c r="G259" s="3675"/>
      <c r="H259" s="3675"/>
      <c r="I259" s="3675"/>
      <c r="J259" s="3675"/>
      <c r="K259" s="3676"/>
      <c r="L259" s="3677"/>
      <c r="M259" s="3675"/>
      <c r="N259" s="3675"/>
      <c r="O259" s="3675"/>
      <c r="P259" s="3675"/>
      <c r="Q259" s="3675"/>
      <c r="R259" s="3675"/>
      <c r="S259" s="3675"/>
      <c r="T259" s="3675"/>
      <c r="U259" s="3675"/>
      <c r="V259" s="3675"/>
      <c r="W259" s="3675"/>
      <c r="X259" s="3675"/>
      <c r="Y259" s="3675"/>
      <c r="Z259" s="3675"/>
      <c r="AA259" s="3675"/>
      <c r="AB259" s="3675"/>
      <c r="AC259" s="3675"/>
    </row>
    <row r="260" spans="1:29">
      <c r="A260" s="3675"/>
      <c r="B260" s="3675"/>
      <c r="C260" s="3675"/>
      <c r="D260" s="3675"/>
      <c r="E260" s="3675"/>
      <c r="F260" s="3675"/>
      <c r="G260" s="3675"/>
      <c r="H260" s="3675"/>
      <c r="I260" s="3675"/>
      <c r="J260" s="3675"/>
      <c r="K260" s="3676"/>
      <c r="L260" s="3677"/>
      <c r="M260" s="3675"/>
      <c r="N260" s="3675"/>
      <c r="O260" s="3675"/>
      <c r="P260" s="3675"/>
      <c r="Q260" s="3675"/>
      <c r="R260" s="3675"/>
      <c r="S260" s="3675"/>
      <c r="T260" s="3675"/>
      <c r="U260" s="3675"/>
      <c r="V260" s="3675"/>
      <c r="W260" s="3675"/>
      <c r="X260" s="3675"/>
      <c r="Y260" s="3675"/>
      <c r="Z260" s="3675"/>
      <c r="AA260" s="3675"/>
      <c r="AB260" s="3675"/>
      <c r="AC260" s="3675"/>
    </row>
    <row r="261" spans="1:29">
      <c r="A261" s="3675"/>
      <c r="B261" s="3675"/>
      <c r="C261" s="3675"/>
      <c r="D261" s="3675"/>
      <c r="E261" s="3675"/>
      <c r="F261" s="3675"/>
      <c r="G261" s="3675"/>
      <c r="H261" s="3675"/>
      <c r="I261" s="3675"/>
      <c r="J261" s="3675"/>
      <c r="K261" s="3676"/>
      <c r="L261" s="3677"/>
      <c r="M261" s="3675"/>
      <c r="N261" s="3675"/>
      <c r="O261" s="3675"/>
      <c r="P261" s="3675"/>
      <c r="Q261" s="3675"/>
      <c r="R261" s="3675"/>
      <c r="S261" s="3675"/>
      <c r="T261" s="3675"/>
      <c r="U261" s="3675"/>
      <c r="V261" s="3675"/>
      <c r="W261" s="3675"/>
      <c r="X261" s="3675"/>
      <c r="Y261" s="3675"/>
      <c r="Z261" s="3675"/>
      <c r="AA261" s="3675"/>
      <c r="AB261" s="3675"/>
      <c r="AC261" s="3675"/>
    </row>
    <row r="262" spans="1:29">
      <c r="A262" s="3675"/>
      <c r="B262" s="3675"/>
      <c r="C262" s="3675"/>
      <c r="D262" s="3675"/>
      <c r="E262" s="3675"/>
      <c r="F262" s="3675"/>
      <c r="G262" s="3675"/>
      <c r="H262" s="3675"/>
      <c r="I262" s="3675"/>
      <c r="J262" s="3675"/>
      <c r="K262" s="3676"/>
      <c r="L262" s="3677"/>
      <c r="M262" s="3675"/>
      <c r="N262" s="3675"/>
      <c r="O262" s="3675"/>
      <c r="P262" s="3675"/>
      <c r="Q262" s="3675"/>
      <c r="R262" s="3675"/>
      <c r="S262" s="3675"/>
      <c r="T262" s="3675"/>
      <c r="U262" s="3675"/>
      <c r="V262" s="3675"/>
      <c r="W262" s="3675"/>
      <c r="X262" s="3675"/>
      <c r="Y262" s="3675"/>
      <c r="Z262" s="3675"/>
      <c r="AA262" s="3675"/>
      <c r="AB262" s="3675"/>
      <c r="AC262" s="3675"/>
    </row>
    <row r="263" spans="1:29">
      <c r="A263" s="3675"/>
      <c r="B263" s="3675"/>
      <c r="C263" s="3675"/>
      <c r="D263" s="3675"/>
      <c r="E263" s="3675"/>
      <c r="F263" s="3675"/>
      <c r="G263" s="3675"/>
      <c r="H263" s="3675"/>
      <c r="I263" s="3675"/>
      <c r="J263" s="3675"/>
      <c r="K263" s="3676"/>
      <c r="L263" s="3677"/>
      <c r="M263" s="3675"/>
      <c r="N263" s="3675"/>
      <c r="O263" s="3675"/>
      <c r="P263" s="3675"/>
      <c r="Q263" s="3675"/>
      <c r="R263" s="3675"/>
      <c r="S263" s="3675"/>
      <c r="T263" s="3675"/>
      <c r="U263" s="3675"/>
      <c r="V263" s="3675"/>
      <c r="W263" s="3675"/>
      <c r="X263" s="3675"/>
      <c r="Y263" s="3675"/>
      <c r="Z263" s="3675"/>
      <c r="AA263" s="3675"/>
      <c r="AB263" s="3675"/>
      <c r="AC263" s="3675"/>
    </row>
    <row r="264" spans="1:29">
      <c r="A264" s="3675"/>
      <c r="B264" s="3675"/>
      <c r="C264" s="3675"/>
      <c r="D264" s="3675"/>
      <c r="E264" s="3675"/>
      <c r="F264" s="3675"/>
      <c r="G264" s="3675"/>
      <c r="H264" s="3675"/>
      <c r="I264" s="3675"/>
      <c r="J264" s="3675"/>
      <c r="K264" s="3676"/>
      <c r="L264" s="3677"/>
      <c r="M264" s="3675"/>
      <c r="N264" s="3675"/>
      <c r="O264" s="3675"/>
      <c r="P264" s="3675"/>
      <c r="Q264" s="3675"/>
      <c r="R264" s="3675"/>
      <c r="S264" s="3675"/>
      <c r="T264" s="3675"/>
      <c r="U264" s="3675"/>
      <c r="V264" s="3675"/>
      <c r="W264" s="3675"/>
      <c r="X264" s="3675"/>
      <c r="Y264" s="3675"/>
      <c r="Z264" s="3675"/>
      <c r="AA264" s="3675"/>
      <c r="AB264" s="3675"/>
      <c r="AC264" s="3675"/>
    </row>
    <row r="265" spans="1:29">
      <c r="A265" s="3675"/>
      <c r="B265" s="3675"/>
      <c r="C265" s="3675"/>
      <c r="D265" s="3675"/>
      <c r="E265" s="3675"/>
      <c r="F265" s="3675"/>
      <c r="G265" s="3675"/>
      <c r="H265" s="3675"/>
      <c r="I265" s="3675"/>
      <c r="J265" s="3675"/>
      <c r="K265" s="3676"/>
      <c r="L265" s="3677"/>
      <c r="M265" s="3675"/>
      <c r="N265" s="3675"/>
      <c r="O265" s="3675"/>
      <c r="P265" s="3675"/>
      <c r="Q265" s="3675"/>
      <c r="R265" s="3675"/>
      <c r="S265" s="3675"/>
      <c r="T265" s="3675"/>
      <c r="U265" s="3675"/>
      <c r="V265" s="3675"/>
      <c r="W265" s="3675"/>
      <c r="X265" s="3675"/>
      <c r="Y265" s="3675"/>
      <c r="Z265" s="3675"/>
      <c r="AA265" s="3675"/>
      <c r="AB265" s="3675"/>
      <c r="AC265" s="3675"/>
    </row>
    <row r="266" spans="1:29">
      <c r="A266" s="3675"/>
      <c r="B266" s="3675"/>
      <c r="C266" s="3675"/>
      <c r="D266" s="3675"/>
      <c r="E266" s="3675"/>
      <c r="F266" s="3675"/>
      <c r="G266" s="3675"/>
      <c r="H266" s="3675"/>
      <c r="I266" s="3675"/>
      <c r="J266" s="3675"/>
      <c r="K266" s="3676"/>
      <c r="L266" s="3677"/>
      <c r="M266" s="3675"/>
      <c r="N266" s="3675"/>
      <c r="O266" s="3675"/>
      <c r="P266" s="3675"/>
      <c r="Q266" s="3675"/>
      <c r="R266" s="3675"/>
      <c r="S266" s="3675"/>
      <c r="T266" s="3675"/>
      <c r="U266" s="3675"/>
      <c r="V266" s="3675"/>
      <c r="W266" s="3675"/>
      <c r="X266" s="3675"/>
      <c r="Y266" s="3675"/>
      <c r="Z266" s="3675"/>
      <c r="AA266" s="3675"/>
      <c r="AB266" s="3675"/>
      <c r="AC266" s="3675"/>
    </row>
    <row r="267" spans="1:29">
      <c r="A267" s="3675"/>
      <c r="B267" s="3675"/>
      <c r="C267" s="3675"/>
      <c r="D267" s="3675"/>
      <c r="E267" s="3675"/>
      <c r="F267" s="3675"/>
      <c r="G267" s="3675"/>
      <c r="H267" s="3675"/>
      <c r="I267" s="3675"/>
      <c r="J267" s="3675"/>
      <c r="K267" s="3676"/>
      <c r="L267" s="3677"/>
      <c r="M267" s="3675"/>
      <c r="N267" s="3675"/>
      <c r="O267" s="3675"/>
      <c r="P267" s="3675"/>
      <c r="Q267" s="3675"/>
      <c r="R267" s="3675"/>
      <c r="S267" s="3675"/>
      <c r="T267" s="3675"/>
      <c r="U267" s="3675"/>
      <c r="V267" s="3675"/>
      <c r="W267" s="3675"/>
      <c r="X267" s="3675"/>
      <c r="Y267" s="3675"/>
      <c r="Z267" s="3675"/>
      <c r="AA267" s="3675"/>
      <c r="AB267" s="3675"/>
      <c r="AC267" s="3675"/>
    </row>
    <row r="268" spans="1:29">
      <c r="A268" s="3675"/>
      <c r="B268" s="3675"/>
      <c r="C268" s="3675"/>
      <c r="D268" s="3675"/>
      <c r="E268" s="3675"/>
      <c r="F268" s="3675"/>
      <c r="G268" s="3675"/>
      <c r="H268" s="3675"/>
      <c r="I268" s="3675"/>
      <c r="J268" s="3675"/>
      <c r="K268" s="3676"/>
      <c r="L268" s="3677"/>
      <c r="M268" s="3675"/>
      <c r="N268" s="3675"/>
      <c r="O268" s="3675"/>
      <c r="P268" s="3675"/>
      <c r="Q268" s="3675"/>
      <c r="R268" s="3675"/>
      <c r="S268" s="3675"/>
      <c r="T268" s="3675"/>
      <c r="U268" s="3675"/>
      <c r="V268" s="3675"/>
      <c r="W268" s="3675"/>
      <c r="X268" s="3675"/>
      <c r="Y268" s="3675"/>
      <c r="Z268" s="3675"/>
      <c r="AA268" s="3675"/>
      <c r="AB268" s="3675"/>
      <c r="AC268" s="36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6"/>
  <sheetViews>
    <sheetView topLeftCell="A16" workbookViewId="0">
      <selection activeCell="I13" sqref="I13"/>
    </sheetView>
  </sheetViews>
  <sheetFormatPr defaultRowHeight="13.5"/>
  <cols>
    <col min="2" max="2" width="16.375" customWidth="1"/>
    <col min="3" max="3" width="13.25" customWidth="1"/>
    <col min="4" max="4" width="14.875" customWidth="1"/>
    <col min="5" max="5" width="13.5" bestFit="1" customWidth="1"/>
    <col min="6" max="6" width="14.875" customWidth="1"/>
    <col min="7" max="7" width="13.5" bestFit="1" customWidth="1"/>
    <col min="8" max="8" width="13.5" customWidth="1"/>
    <col min="9" max="9" width="10" customWidth="1"/>
    <col min="10" max="10" width="9.25" bestFit="1" customWidth="1"/>
    <col min="11" max="11" width="9.125" bestFit="1" customWidth="1"/>
  </cols>
  <sheetData>
    <row r="1" spans="1:10">
      <c r="A1" s="3296" t="s">
        <v>3654</v>
      </c>
    </row>
    <row r="2" spans="1:10" ht="20.25">
      <c r="A2" s="3782" t="s">
        <v>2939</v>
      </c>
      <c r="B2" s="3783">
        <v>6724</v>
      </c>
      <c r="C2" s="3784"/>
      <c r="D2" s="3784"/>
      <c r="E2" s="3785"/>
      <c r="F2" s="3785"/>
      <c r="G2" s="3785"/>
      <c r="H2" s="3785"/>
      <c r="I2" s="3785"/>
      <c r="J2" s="3785"/>
    </row>
    <row r="3" spans="1:10" ht="20.25">
      <c r="A3" s="3786" t="s">
        <v>3139</v>
      </c>
      <c r="B3" s="3787">
        <v>993</v>
      </c>
      <c r="C3" s="3788"/>
      <c r="D3" s="3789"/>
      <c r="E3" s="3788"/>
      <c r="F3" s="3788"/>
      <c r="G3" s="3785"/>
      <c r="H3" s="3785"/>
      <c r="I3" s="3785"/>
      <c r="J3" s="3785"/>
    </row>
    <row r="4" spans="1:10" ht="20.25">
      <c r="A4" s="3790" t="s">
        <v>3613</v>
      </c>
      <c r="B4" s="3791">
        <v>1303</v>
      </c>
      <c r="C4" s="3788"/>
      <c r="D4" s="3789"/>
      <c r="E4" s="3788"/>
      <c r="F4" s="3788"/>
      <c r="G4" s="3785"/>
      <c r="H4" s="3785"/>
      <c r="I4" s="3785"/>
      <c r="J4" s="3785"/>
    </row>
    <row r="5" spans="1:10" ht="21" thickBot="1">
      <c r="A5" s="3792"/>
      <c r="B5" s="3793">
        <v>87</v>
      </c>
      <c r="C5" s="3729" t="s">
        <v>3614</v>
      </c>
      <c r="D5" s="3788"/>
      <c r="E5" s="3788"/>
      <c r="F5" s="3788"/>
      <c r="G5" s="3785"/>
      <c r="H5" s="3785"/>
      <c r="I5" s="3785"/>
      <c r="J5" s="3785"/>
    </row>
    <row r="6" spans="1:10" ht="15">
      <c r="A6" s="3794" t="s">
        <v>3615</v>
      </c>
      <c r="B6" s="3795"/>
      <c r="C6" s="4460" t="s">
        <v>3616</v>
      </c>
      <c r="D6" s="4461"/>
      <c r="E6" s="4460" t="s">
        <v>3617</v>
      </c>
      <c r="F6" s="4461"/>
      <c r="G6" s="4460" t="s">
        <v>3618</v>
      </c>
      <c r="H6" s="4461"/>
      <c r="I6" s="4460" t="s">
        <v>3619</v>
      </c>
      <c r="J6" s="4461"/>
    </row>
    <row r="7" spans="1:10" ht="48" customHeight="1" thickBot="1">
      <c r="A7" s="3796"/>
      <c r="B7" s="3797"/>
      <c r="C7" s="4464" t="s">
        <v>3620</v>
      </c>
      <c r="D7" s="4465"/>
      <c r="E7" s="4464" t="s">
        <v>3063</v>
      </c>
      <c r="F7" s="4465"/>
      <c r="G7" s="4464" t="s">
        <v>3086</v>
      </c>
      <c r="H7" s="4465"/>
      <c r="I7" s="4464" t="s">
        <v>3100</v>
      </c>
      <c r="J7" s="4465"/>
    </row>
    <row r="8" spans="1:10" ht="15.75" thickBot="1">
      <c r="A8" s="3798"/>
      <c r="B8" s="3799" t="s">
        <v>3622</v>
      </c>
      <c r="C8" s="3800">
        <v>43647</v>
      </c>
      <c r="D8" s="3801">
        <v>100</v>
      </c>
      <c r="E8" s="3802" t="s">
        <v>3068</v>
      </c>
      <c r="F8" s="3803">
        <v>99</v>
      </c>
      <c r="G8" s="3804" t="s">
        <v>3083</v>
      </c>
      <c r="H8" s="3801">
        <v>98</v>
      </c>
      <c r="I8" s="3804" t="s">
        <v>3090</v>
      </c>
      <c r="J8" s="3801">
        <v>97</v>
      </c>
    </row>
    <row r="9" spans="1:10" ht="15.75" thickBot="1">
      <c r="A9" s="3805"/>
      <c r="B9" s="3806" t="s">
        <v>3623</v>
      </c>
      <c r="C9" s="3807" t="s">
        <v>3011</v>
      </c>
      <c r="D9" s="3801">
        <v>100</v>
      </c>
      <c r="E9" s="3808" t="s">
        <v>3011</v>
      </c>
      <c r="F9" s="3803">
        <v>100</v>
      </c>
      <c r="G9" s="3808" t="s">
        <v>3011</v>
      </c>
      <c r="H9" s="3801">
        <v>100</v>
      </c>
      <c r="I9" s="3808" t="s">
        <v>3011</v>
      </c>
      <c r="J9" s="3801">
        <v>100</v>
      </c>
    </row>
    <row r="10" spans="1:10" ht="15">
      <c r="A10" s="3809"/>
      <c r="B10" s="3810" t="s">
        <v>3414</v>
      </c>
      <c r="C10" s="3811" t="s">
        <v>923</v>
      </c>
      <c r="D10" s="3812">
        <v>100</v>
      </c>
      <c r="E10" s="3813" t="s">
        <v>923</v>
      </c>
      <c r="F10" s="3812">
        <v>100</v>
      </c>
      <c r="G10" s="3813" t="s">
        <v>923</v>
      </c>
      <c r="H10" s="3812">
        <v>100</v>
      </c>
      <c r="I10" s="3813" t="s">
        <v>923</v>
      </c>
      <c r="J10" s="3812">
        <v>100</v>
      </c>
    </row>
    <row r="11" spans="1:10" ht="30">
      <c r="A11" s="3805"/>
      <c r="B11" s="3806" t="s">
        <v>3624</v>
      </c>
      <c r="C11" s="3814">
        <v>44.52</v>
      </c>
      <c r="D11" s="3815">
        <v>100</v>
      </c>
      <c r="E11" s="3816" t="s">
        <v>3653</v>
      </c>
      <c r="F11" s="3815">
        <v>104</v>
      </c>
      <c r="G11" s="3817" t="s">
        <v>3653</v>
      </c>
      <c r="H11" s="3815">
        <v>104</v>
      </c>
      <c r="I11" s="3817" t="s">
        <v>3653</v>
      </c>
      <c r="J11" s="3815">
        <v>104</v>
      </c>
    </row>
    <row r="12" spans="1:10" ht="15.75" thickBot="1">
      <c r="A12" s="3805"/>
      <c r="B12" s="3806" t="s">
        <v>2032</v>
      </c>
      <c r="C12" s="3818">
        <v>0.9</v>
      </c>
      <c r="D12" s="3815">
        <v>100</v>
      </c>
      <c r="E12" s="3819">
        <v>1.5</v>
      </c>
      <c r="F12" s="3815">
        <v>97</v>
      </c>
      <c r="G12" s="3818">
        <v>2.5</v>
      </c>
      <c r="H12" s="3815">
        <v>94</v>
      </c>
      <c r="I12" s="3819">
        <v>2</v>
      </c>
      <c r="J12" s="3815">
        <v>94</v>
      </c>
    </row>
    <row r="13" spans="1:10" ht="128.25">
      <c r="A13" s="3820" t="s">
        <v>3625</v>
      </c>
      <c r="B13" s="3821" t="s">
        <v>1653</v>
      </c>
      <c r="C13" s="3822" t="s">
        <v>3626</v>
      </c>
      <c r="D13" s="3823">
        <v>100</v>
      </c>
      <c r="E13" s="3824" t="s">
        <v>3627</v>
      </c>
      <c r="F13" s="3825">
        <v>100</v>
      </c>
      <c r="G13" s="3781" t="s">
        <v>3377</v>
      </c>
      <c r="H13" s="3825">
        <v>100</v>
      </c>
      <c r="I13" s="3826" t="s">
        <v>3377</v>
      </c>
      <c r="J13" s="3825">
        <v>100</v>
      </c>
    </row>
    <row r="14" spans="1:10" ht="15">
      <c r="A14" s="3827"/>
      <c r="B14" s="3828"/>
      <c r="C14" s="3814" t="s">
        <v>3013</v>
      </c>
      <c r="D14" s="3829"/>
      <c r="E14" s="3816" t="s">
        <v>3013</v>
      </c>
      <c r="F14" s="3830"/>
      <c r="G14" s="3817" t="s">
        <v>3013</v>
      </c>
      <c r="H14" s="3821"/>
      <c r="I14" s="3816" t="s">
        <v>3013</v>
      </c>
      <c r="J14" s="3830"/>
    </row>
    <row r="15" spans="1:10" ht="121.5">
      <c r="A15" s="3827"/>
      <c r="B15" s="3831" t="s">
        <v>3628</v>
      </c>
      <c r="C15" s="3832" t="s">
        <v>3629</v>
      </c>
      <c r="D15" s="3833">
        <v>100</v>
      </c>
      <c r="E15" s="3834" t="s">
        <v>3630</v>
      </c>
      <c r="F15" s="3821">
        <v>98</v>
      </c>
      <c r="G15" s="3835" t="s">
        <v>3631</v>
      </c>
      <c r="H15" s="3831">
        <v>100</v>
      </c>
      <c r="I15" s="3835" t="s">
        <v>3631</v>
      </c>
      <c r="J15" s="3831">
        <v>100</v>
      </c>
    </row>
    <row r="16" spans="1:10" ht="15">
      <c r="A16" s="3827"/>
      <c r="B16" s="3830"/>
      <c r="C16" s="3836" t="s">
        <v>3013</v>
      </c>
      <c r="D16" s="3833"/>
      <c r="E16" s="3837" t="s">
        <v>3014</v>
      </c>
      <c r="F16" s="3821"/>
      <c r="G16" s="3838" t="s">
        <v>3013</v>
      </c>
      <c r="H16" s="3830"/>
      <c r="I16" s="3837" t="s">
        <v>3013</v>
      </c>
      <c r="J16" s="3830"/>
    </row>
    <row r="17" spans="1:10" ht="85.5">
      <c r="A17" s="3827"/>
      <c r="B17" s="3831" t="s">
        <v>3632</v>
      </c>
      <c r="C17" s="3832" t="s">
        <v>3633</v>
      </c>
      <c r="D17" s="3839">
        <v>100</v>
      </c>
      <c r="E17" s="3840"/>
      <c r="F17" s="3831">
        <v>100</v>
      </c>
      <c r="G17" s="3841"/>
      <c r="H17" s="3821">
        <v>100</v>
      </c>
      <c r="I17" s="3840"/>
      <c r="J17" s="3821">
        <v>100</v>
      </c>
    </row>
    <row r="18" spans="1:10" ht="15">
      <c r="A18" s="3735"/>
      <c r="B18" s="3748"/>
      <c r="C18" s="3736"/>
      <c r="D18" s="3737"/>
      <c r="E18" s="3738"/>
      <c r="F18" s="3739"/>
      <c r="G18" s="3740"/>
      <c r="H18" s="3739"/>
      <c r="I18" s="3738"/>
      <c r="J18" s="3739"/>
    </row>
    <row r="19" spans="1:10" ht="185.25">
      <c r="A19" s="3735"/>
      <c r="B19" s="3742" t="s">
        <v>1655</v>
      </c>
      <c r="C19" s="3751" t="s">
        <v>3634</v>
      </c>
      <c r="D19" s="3744">
        <v>100</v>
      </c>
      <c r="E19" s="3749" t="s">
        <v>3635</v>
      </c>
      <c r="F19" s="3747">
        <v>100</v>
      </c>
      <c r="G19" s="3746" t="s">
        <v>3383</v>
      </c>
      <c r="H19" s="3741">
        <v>100</v>
      </c>
      <c r="I19" s="3749" t="s">
        <v>3383</v>
      </c>
      <c r="J19" s="3741">
        <v>100</v>
      </c>
    </row>
    <row r="20" spans="1:10" ht="15">
      <c r="A20" s="3735"/>
      <c r="B20" s="3734"/>
      <c r="C20" s="3736" t="s">
        <v>3014</v>
      </c>
      <c r="D20" s="3737"/>
      <c r="E20" s="3738" t="s">
        <v>3014</v>
      </c>
      <c r="F20" s="3739"/>
      <c r="G20" s="3740" t="s">
        <v>3014</v>
      </c>
      <c r="H20" s="3739"/>
      <c r="I20" s="3738" t="s">
        <v>3014</v>
      </c>
      <c r="J20" s="3739"/>
    </row>
    <row r="21" spans="1:10" ht="42.75">
      <c r="A21" s="3730"/>
      <c r="B21" s="3752" t="s">
        <v>1659</v>
      </c>
      <c r="C21" s="3751" t="s">
        <v>3370</v>
      </c>
      <c r="D21" s="3744">
        <v>100</v>
      </c>
      <c r="E21" s="3749" t="s">
        <v>3370</v>
      </c>
      <c r="F21" s="3747">
        <v>100</v>
      </c>
      <c r="G21" s="3750" t="s">
        <v>3370</v>
      </c>
      <c r="H21" s="3741">
        <v>100</v>
      </c>
      <c r="I21" s="3749" t="s">
        <v>3370</v>
      </c>
      <c r="J21" s="3741">
        <v>100</v>
      </c>
    </row>
    <row r="22" spans="1:10" ht="15">
      <c r="A22" s="3730"/>
      <c r="B22" s="3753"/>
      <c r="C22" s="3736" t="s">
        <v>3013</v>
      </c>
      <c r="D22" s="3737"/>
      <c r="E22" s="3738" t="s">
        <v>3013</v>
      </c>
      <c r="F22" s="3739"/>
      <c r="G22" s="3740" t="s">
        <v>3013</v>
      </c>
      <c r="H22" s="3739"/>
      <c r="I22" s="3738" t="s">
        <v>3013</v>
      </c>
      <c r="J22" s="3739"/>
    </row>
    <row r="23" spans="1:10" ht="114">
      <c r="A23" s="3730"/>
      <c r="B23" s="3734" t="s">
        <v>1660</v>
      </c>
      <c r="C23" s="3743" t="s">
        <v>3636</v>
      </c>
      <c r="D23" s="3744">
        <v>100</v>
      </c>
      <c r="E23" s="3745" t="s">
        <v>3637</v>
      </c>
      <c r="F23" s="3741">
        <v>96</v>
      </c>
      <c r="G23" s="3746" t="s">
        <v>3380</v>
      </c>
      <c r="H23" s="3741">
        <v>100</v>
      </c>
      <c r="I23" s="3749" t="s">
        <v>3380</v>
      </c>
      <c r="J23" s="3741">
        <v>100</v>
      </c>
    </row>
    <row r="24" spans="1:10" ht="15">
      <c r="A24" s="3730"/>
      <c r="B24" s="3748"/>
      <c r="C24" s="3736" t="s">
        <v>3013</v>
      </c>
      <c r="D24" s="3737"/>
      <c r="E24" s="3754" t="s">
        <v>3384</v>
      </c>
      <c r="F24" s="3739"/>
      <c r="G24" s="3736" t="s">
        <v>3013</v>
      </c>
      <c r="H24" s="3739"/>
      <c r="I24" s="3754" t="s">
        <v>3013</v>
      </c>
      <c r="J24" s="3739"/>
    </row>
    <row r="25" spans="1:10" ht="213.75">
      <c r="A25" s="3755"/>
      <c r="B25" s="3756" t="s">
        <v>3638</v>
      </c>
      <c r="C25" s="3751" t="s">
        <v>3639</v>
      </c>
      <c r="D25" s="3744">
        <v>100</v>
      </c>
      <c r="E25" s="3749" t="s">
        <v>3639</v>
      </c>
      <c r="F25" s="3741">
        <v>100</v>
      </c>
      <c r="G25" s="3750" t="s">
        <v>3382</v>
      </c>
      <c r="H25" s="3741">
        <v>102</v>
      </c>
      <c r="I25" s="3749" t="s">
        <v>3382</v>
      </c>
      <c r="J25" s="3741">
        <v>102</v>
      </c>
    </row>
    <row r="26" spans="1:10" ht="15">
      <c r="A26" s="3755"/>
      <c r="B26" s="3748"/>
      <c r="C26" s="3757" t="s">
        <v>3014</v>
      </c>
      <c r="D26" s="3737"/>
      <c r="E26" s="3754" t="s">
        <v>3014</v>
      </c>
      <c r="F26" s="3739"/>
      <c r="G26" s="3736" t="s">
        <v>3013</v>
      </c>
      <c r="H26" s="3739"/>
      <c r="I26" s="3754" t="s">
        <v>3013</v>
      </c>
      <c r="J26" s="3739"/>
    </row>
    <row r="27" spans="1:10" ht="42.75">
      <c r="A27" s="3755"/>
      <c r="B27" s="3756" t="s">
        <v>3640</v>
      </c>
      <c r="C27" s="3751" t="s">
        <v>3373</v>
      </c>
      <c r="D27" s="3744">
        <v>100</v>
      </c>
      <c r="E27" s="3749" t="s">
        <v>3373</v>
      </c>
      <c r="F27" s="3741">
        <v>100</v>
      </c>
      <c r="G27" s="3750" t="s">
        <v>3373</v>
      </c>
      <c r="H27" s="3741">
        <v>100</v>
      </c>
      <c r="I27" s="3749" t="s">
        <v>3373</v>
      </c>
      <c r="J27" s="3741">
        <v>100</v>
      </c>
    </row>
    <row r="28" spans="1:10" ht="15">
      <c r="A28" s="3755"/>
      <c r="B28" s="3748"/>
      <c r="C28" s="3757" t="s">
        <v>3029</v>
      </c>
      <c r="D28" s="3737"/>
      <c r="E28" s="3758" t="s">
        <v>3029</v>
      </c>
      <c r="F28" s="3739"/>
      <c r="G28" s="3757" t="s">
        <v>3029</v>
      </c>
      <c r="H28" s="3739"/>
      <c r="I28" s="3757" t="s">
        <v>3029</v>
      </c>
      <c r="J28" s="3739"/>
    </row>
    <row r="29" spans="1:10" ht="15">
      <c r="A29" s="3735"/>
      <c r="B29" s="3748" t="s">
        <v>1661</v>
      </c>
      <c r="C29" s="3732"/>
      <c r="D29" s="3759">
        <v>100</v>
      </c>
      <c r="E29" s="3760"/>
      <c r="F29" s="3733">
        <v>100</v>
      </c>
      <c r="G29" s="3732"/>
      <c r="H29" s="3733">
        <v>100</v>
      </c>
      <c r="I29" s="3732"/>
      <c r="J29" s="3733">
        <v>100</v>
      </c>
    </row>
    <row r="30" spans="1:10" ht="28.5">
      <c r="A30" s="3735"/>
      <c r="B30" s="3734" t="s">
        <v>1662</v>
      </c>
      <c r="C30" s="3746" t="s">
        <v>3641</v>
      </c>
      <c r="D30" s="3744">
        <v>100</v>
      </c>
      <c r="E30" s="3745" t="s">
        <v>3642</v>
      </c>
      <c r="F30" s="3741">
        <v>101</v>
      </c>
      <c r="G30" s="3746" t="s">
        <v>3643</v>
      </c>
      <c r="H30" s="3741">
        <v>100</v>
      </c>
      <c r="I30" s="3745" t="s">
        <v>3643</v>
      </c>
      <c r="J30" s="3741">
        <v>100</v>
      </c>
    </row>
    <row r="31" spans="1:10" ht="15.75" thickBot="1">
      <c r="A31" s="3735"/>
      <c r="B31" s="3748"/>
      <c r="C31" s="3736" t="s">
        <v>3388</v>
      </c>
      <c r="D31" s="3737"/>
      <c r="E31" s="3754" t="s">
        <v>3393</v>
      </c>
      <c r="F31" s="3739"/>
      <c r="G31" s="3736" t="s">
        <v>3388</v>
      </c>
      <c r="H31" s="3739"/>
      <c r="I31" s="3754" t="s">
        <v>3388</v>
      </c>
      <c r="J31" s="3739"/>
    </row>
    <row r="32" spans="1:10" ht="14.25">
      <c r="A32" s="3761" t="s">
        <v>3644</v>
      </c>
      <c r="B32" s="3762" t="s">
        <v>3645</v>
      </c>
      <c r="C32" s="3763">
        <v>51588.95</v>
      </c>
      <c r="D32" s="3764">
        <v>100</v>
      </c>
      <c r="E32" s="3763">
        <v>26682.38</v>
      </c>
      <c r="F32" s="3764">
        <v>96</v>
      </c>
      <c r="G32" s="3763">
        <v>32866.69</v>
      </c>
      <c r="H32" s="3764">
        <v>98</v>
      </c>
      <c r="I32" s="3765">
        <v>35913.18</v>
      </c>
      <c r="J32" s="3764">
        <v>98</v>
      </c>
    </row>
    <row r="33" spans="1:11" ht="14.25">
      <c r="A33" s="3766"/>
      <c r="B33" s="3767" t="s">
        <v>3646</v>
      </c>
      <c r="C33" s="3768" t="s">
        <v>3133</v>
      </c>
      <c r="D33" s="3733">
        <v>100</v>
      </c>
      <c r="E33" s="3768" t="s">
        <v>3133</v>
      </c>
      <c r="F33" s="3733">
        <v>100</v>
      </c>
      <c r="G33" s="3768" t="s">
        <v>3133</v>
      </c>
      <c r="H33" s="3733">
        <v>100</v>
      </c>
      <c r="I33" s="3768" t="s">
        <v>3133</v>
      </c>
      <c r="J33" s="3733">
        <v>100</v>
      </c>
    </row>
    <row r="34" spans="1:11" ht="14.25">
      <c r="A34" s="3766"/>
      <c r="B34" s="3767" t="s">
        <v>3647</v>
      </c>
      <c r="C34" s="3768" t="s">
        <v>3137</v>
      </c>
      <c r="D34" s="3733">
        <v>100</v>
      </c>
      <c r="E34" s="3768" t="s">
        <v>3137</v>
      </c>
      <c r="F34" s="3733">
        <v>100</v>
      </c>
      <c r="G34" s="3768" t="s">
        <v>3137</v>
      </c>
      <c r="H34" s="3733">
        <v>100</v>
      </c>
      <c r="I34" s="3768" t="s">
        <v>3137</v>
      </c>
      <c r="J34" s="3733">
        <v>100</v>
      </c>
    </row>
    <row r="35" spans="1:11" ht="14.25">
      <c r="A35" s="3769"/>
      <c r="B35" s="3770" t="s">
        <v>3648</v>
      </c>
      <c r="C35" s="3771" t="s">
        <v>3029</v>
      </c>
      <c r="D35" s="3731">
        <v>100</v>
      </c>
      <c r="E35" s="3771" t="s">
        <v>3035</v>
      </c>
      <c r="F35" s="3733">
        <v>98</v>
      </c>
      <c r="G35" s="3771" t="s">
        <v>3035</v>
      </c>
      <c r="H35" s="3733">
        <v>98</v>
      </c>
      <c r="I35" s="3771" t="s">
        <v>3035</v>
      </c>
      <c r="J35" s="3733">
        <v>98</v>
      </c>
    </row>
    <row r="36" spans="1:11" ht="15" thickBot="1">
      <c r="A36" s="3766"/>
      <c r="B36" s="3767" t="s">
        <v>3649</v>
      </c>
      <c r="C36" s="3768" t="s">
        <v>3013</v>
      </c>
      <c r="D36" s="3733">
        <v>100</v>
      </c>
      <c r="E36" s="3768" t="s">
        <v>3013</v>
      </c>
      <c r="F36" s="3733">
        <v>100</v>
      </c>
      <c r="G36" s="3768" t="s">
        <v>3013</v>
      </c>
      <c r="H36" s="3733">
        <v>100</v>
      </c>
      <c r="I36" s="3768" t="s">
        <v>3013</v>
      </c>
      <c r="J36" s="3733">
        <v>100</v>
      </c>
    </row>
    <row r="37" spans="1:11" s="3296" customFormat="1" ht="15">
      <c r="A37" s="3842" t="s">
        <v>3650</v>
      </c>
      <c r="B37" s="3843" t="s">
        <v>3139</v>
      </c>
      <c r="C37" s="3844" t="s">
        <v>952</v>
      </c>
      <c r="D37" s="3845"/>
      <c r="E37" s="3846">
        <v>1459.99</v>
      </c>
      <c r="F37" s="3847"/>
      <c r="G37" s="3848">
        <v>1296.1500000000001</v>
      </c>
      <c r="H37" s="3849"/>
      <c r="I37" s="3846">
        <v>1485</v>
      </c>
      <c r="J37" s="3845"/>
    </row>
    <row r="38" spans="1:11" ht="15.75" thickBot="1">
      <c r="A38" s="3772" t="s">
        <v>3651</v>
      </c>
      <c r="B38" s="3773"/>
      <c r="C38" s="3774">
        <v>1538</v>
      </c>
      <c r="D38" s="3775"/>
      <c r="E38" s="3774">
        <v>1635</v>
      </c>
      <c r="F38" s="3776"/>
      <c r="G38" s="3777">
        <v>1381</v>
      </c>
      <c r="H38" s="3775"/>
      <c r="I38" s="3774">
        <v>1599</v>
      </c>
      <c r="J38" s="3775"/>
    </row>
    <row r="39" spans="1:11" ht="15.75" thickBot="1">
      <c r="A39" s="3778" t="s">
        <v>3652</v>
      </c>
      <c r="B39" s="3779"/>
      <c r="C39" s="3780">
        <v>1538</v>
      </c>
      <c r="D39" s="3780"/>
      <c r="E39" s="3780"/>
      <c r="F39" s="3780"/>
      <c r="G39" s="3780"/>
      <c r="H39" s="3780"/>
      <c r="I39" s="3780"/>
      <c r="J39" s="3780"/>
    </row>
    <row r="43" spans="1:11" ht="14.25" thickBot="1">
      <c r="A43" s="3296" t="s">
        <v>3656</v>
      </c>
    </row>
    <row r="44" spans="1:11" s="3296" customFormat="1" ht="20.25">
      <c r="A44" s="3853" t="s">
        <v>3655</v>
      </c>
      <c r="B44" s="3854"/>
      <c r="C44" s="3855"/>
      <c r="D44" s="3855"/>
      <c r="E44" s="3855"/>
      <c r="F44" s="3855"/>
      <c r="G44" s="3855"/>
      <c r="H44" s="3855"/>
      <c r="I44" s="3855"/>
      <c r="J44" s="3855"/>
      <c r="K44" s="3792">
        <v>9</v>
      </c>
    </row>
    <row r="45" spans="1:11" s="3296" customFormat="1" ht="15.75">
      <c r="A45" s="3856" t="s">
        <v>2939</v>
      </c>
      <c r="B45" s="3857">
        <v>11750</v>
      </c>
      <c r="C45" s="3855"/>
      <c r="D45" s="3855"/>
      <c r="E45" s="3855"/>
      <c r="F45" s="3855"/>
      <c r="G45" s="3855"/>
      <c r="H45" s="3855"/>
      <c r="I45" s="3855"/>
      <c r="J45" s="3855"/>
      <c r="K45" s="3855"/>
    </row>
    <row r="46" spans="1:11" s="3296" customFormat="1" ht="15.75">
      <c r="A46" s="3858" t="s">
        <v>3139</v>
      </c>
      <c r="B46" s="3859">
        <v>1735</v>
      </c>
      <c r="C46" s="3855"/>
      <c r="D46" s="3855"/>
      <c r="E46" s="3855"/>
      <c r="F46" s="3855"/>
      <c r="G46" s="3855"/>
      <c r="H46" s="3855"/>
      <c r="I46" s="3855"/>
      <c r="J46" s="3855"/>
      <c r="K46" s="3855"/>
    </row>
    <row r="47" spans="1:11" s="3296" customFormat="1" ht="20.25">
      <c r="A47" s="3860" t="s">
        <v>3613</v>
      </c>
      <c r="B47" s="3791">
        <v>2278</v>
      </c>
      <c r="C47" s="3861"/>
      <c r="D47" s="3792"/>
      <c r="E47" s="3792"/>
      <c r="F47" s="3792"/>
      <c r="G47" s="3792"/>
      <c r="H47" s="3792"/>
      <c r="I47" s="3792"/>
      <c r="J47" s="3792"/>
      <c r="K47" s="3792"/>
    </row>
    <row r="48" spans="1:11" s="3296" customFormat="1" ht="16.5" thickBot="1">
      <c r="A48" s="3792"/>
      <c r="B48" s="3793">
        <v>152</v>
      </c>
      <c r="C48" s="3729" t="s">
        <v>3614</v>
      </c>
      <c r="D48" s="3792"/>
      <c r="E48" s="3792"/>
      <c r="F48" s="3792"/>
      <c r="G48" s="3792"/>
      <c r="H48" s="3792"/>
      <c r="I48" s="3792"/>
      <c r="J48" s="3792"/>
      <c r="K48" s="3792"/>
    </row>
    <row r="49" spans="1:11" s="3296" customFormat="1" ht="15.75">
      <c r="A49" s="3862" t="s">
        <v>3657</v>
      </c>
      <c r="B49" s="3863"/>
      <c r="C49" s="3864">
        <v>33603</v>
      </c>
      <c r="D49" s="3863"/>
      <c r="E49" s="3863"/>
      <c r="F49" s="3863"/>
      <c r="G49" s="3863"/>
      <c r="H49" s="3863"/>
      <c r="I49" s="3863"/>
      <c r="J49" s="3863"/>
      <c r="K49" s="3865"/>
    </row>
    <row r="50" spans="1:11" s="3296" customFormat="1" ht="15">
      <c r="A50" s="3866" t="s">
        <v>2375</v>
      </c>
      <c r="B50" s="3867" t="s">
        <v>3658</v>
      </c>
      <c r="C50" s="3868" t="s">
        <v>923</v>
      </c>
      <c r="D50" s="3868" t="s">
        <v>2996</v>
      </c>
      <c r="E50" s="3868" t="s">
        <v>2997</v>
      </c>
      <c r="F50" s="3868"/>
      <c r="G50" s="3868"/>
      <c r="H50" s="3868"/>
      <c r="I50" s="3868"/>
      <c r="J50" s="3868"/>
      <c r="K50" s="3869"/>
    </row>
    <row r="51" spans="1:11" s="3296" customFormat="1">
      <c r="A51" s="3870" t="s">
        <v>3659</v>
      </c>
      <c r="B51" s="3871" t="s">
        <v>3660</v>
      </c>
      <c r="C51" s="3872">
        <v>6568</v>
      </c>
      <c r="D51" s="3872">
        <v>11184</v>
      </c>
      <c r="E51" s="3872">
        <v>1927</v>
      </c>
      <c r="F51" s="3872"/>
      <c r="G51" s="3872"/>
      <c r="H51" s="3872"/>
      <c r="I51" s="3872"/>
      <c r="J51" s="3872"/>
      <c r="K51" s="3873"/>
    </row>
    <row r="52" spans="1:11" s="3296" customFormat="1">
      <c r="A52" s="3870" t="s">
        <v>3661</v>
      </c>
      <c r="B52" s="3871" t="s">
        <v>2943</v>
      </c>
      <c r="C52" s="3850">
        <v>40703.160000000003</v>
      </c>
      <c r="D52" s="3850">
        <v>3014.85</v>
      </c>
      <c r="E52" s="3850">
        <v>18144.46</v>
      </c>
      <c r="F52" s="3850">
        <v>0</v>
      </c>
      <c r="G52" s="3850">
        <v>0</v>
      </c>
      <c r="H52" s="3850">
        <v>0</v>
      </c>
      <c r="I52" s="3850">
        <v>0</v>
      </c>
      <c r="J52" s="3850">
        <v>0</v>
      </c>
      <c r="K52" s="3851">
        <v>0</v>
      </c>
    </row>
    <row r="53" spans="1:11" s="3296" customFormat="1" ht="14.25" thickBot="1">
      <c r="A53" s="3874" t="s">
        <v>3662</v>
      </c>
      <c r="B53" s="3875" t="s">
        <v>3663</v>
      </c>
      <c r="C53" s="3852">
        <v>26734</v>
      </c>
      <c r="D53" s="3852">
        <v>3372</v>
      </c>
      <c r="E53" s="3852">
        <v>3497</v>
      </c>
      <c r="F53" s="3876"/>
      <c r="G53" s="3876"/>
      <c r="H53" s="3876"/>
      <c r="I53" s="3876"/>
      <c r="J53" s="3876"/>
      <c r="K53" s="3877"/>
    </row>
    <row r="54" spans="1:11" s="3296" customFormat="1" ht="15.75">
      <c r="A54" s="3878" t="s">
        <v>3664</v>
      </c>
      <c r="B54" s="3863"/>
      <c r="C54" s="3863"/>
      <c r="D54" s="3863"/>
      <c r="E54" s="3863"/>
      <c r="F54" s="3863"/>
      <c r="G54" s="3863"/>
      <c r="H54" s="3863"/>
      <c r="I54" s="3863"/>
      <c r="J54" s="3863"/>
      <c r="K54" s="3865"/>
    </row>
    <row r="55" spans="1:11" s="3296" customFormat="1" ht="15">
      <c r="A55" s="3879" t="s">
        <v>2375</v>
      </c>
      <c r="B55" s="3880" t="s">
        <v>3658</v>
      </c>
      <c r="C55" s="3881" t="s">
        <v>3663</v>
      </c>
      <c r="D55" s="3882" t="s">
        <v>3665</v>
      </c>
      <c r="E55" s="3882" t="s">
        <v>3666</v>
      </c>
      <c r="F55" s="3882" t="s">
        <v>3667</v>
      </c>
      <c r="G55" s="3880"/>
      <c r="H55" s="3883"/>
      <c r="I55" s="3883"/>
      <c r="J55" s="3883"/>
      <c r="K55" s="3884"/>
    </row>
    <row r="56" spans="1:11" s="3296" customFormat="1" ht="15">
      <c r="A56" s="3885" t="s">
        <v>3668</v>
      </c>
      <c r="B56" s="3886" t="s">
        <v>3669</v>
      </c>
      <c r="C56" s="3887">
        <v>11193</v>
      </c>
      <c r="D56" s="3888"/>
      <c r="E56" s="3889"/>
      <c r="F56" s="3890"/>
      <c r="G56" s="3880"/>
      <c r="H56" s="3883"/>
      <c r="I56" s="3883"/>
      <c r="J56" s="3883"/>
      <c r="K56" s="3884"/>
    </row>
    <row r="57" spans="1:11" s="3296" customFormat="1" ht="15">
      <c r="A57" s="3885" t="s">
        <v>3670</v>
      </c>
      <c r="B57" s="3886" t="s">
        <v>3671</v>
      </c>
      <c r="C57" s="3891">
        <v>336</v>
      </c>
      <c r="D57" s="3888"/>
      <c r="E57" s="3889"/>
      <c r="F57" s="3892">
        <v>0.03</v>
      </c>
      <c r="G57" s="3880" t="s">
        <v>3672</v>
      </c>
      <c r="H57" s="3883"/>
      <c r="I57" s="3883"/>
      <c r="J57" s="3883"/>
      <c r="K57" s="3884"/>
    </row>
    <row r="58" spans="1:11" s="3296" customFormat="1" ht="15">
      <c r="A58" s="3885" t="s">
        <v>3673</v>
      </c>
      <c r="B58" s="3886" t="s">
        <v>3674</v>
      </c>
      <c r="C58" s="3891">
        <v>220</v>
      </c>
      <c r="D58" s="3888"/>
      <c r="E58" s="3889"/>
      <c r="F58" s="3892">
        <v>0.03</v>
      </c>
      <c r="G58" s="3880" t="s">
        <v>3675</v>
      </c>
      <c r="H58" s="3883"/>
      <c r="I58" s="3883"/>
      <c r="J58" s="3883"/>
      <c r="K58" s="3884"/>
    </row>
    <row r="59" spans="1:11" s="3296" customFormat="1" ht="15">
      <c r="A59" s="3885" t="s">
        <v>3676</v>
      </c>
      <c r="B59" s="3886" t="s">
        <v>3677</v>
      </c>
      <c r="C59" s="3891">
        <v>813</v>
      </c>
      <c r="D59" s="3888">
        <v>67713.23</v>
      </c>
      <c r="E59" s="3891">
        <v>120</v>
      </c>
      <c r="F59" s="3892"/>
      <c r="G59" s="3880"/>
      <c r="H59" s="3883"/>
      <c r="I59" s="3883"/>
      <c r="J59" s="3883"/>
      <c r="K59" s="3884"/>
    </row>
    <row r="60" spans="1:11" s="3296" customFormat="1">
      <c r="A60" s="3885" t="s">
        <v>3678</v>
      </c>
      <c r="B60" s="3886" t="s">
        <v>3679</v>
      </c>
      <c r="C60" s="3893">
        <v>168</v>
      </c>
      <c r="D60" s="3894"/>
      <c r="E60" s="3893"/>
      <c r="F60" s="3895">
        <v>1.4999999999999999E-2</v>
      </c>
      <c r="G60" s="3871" t="s">
        <v>3672</v>
      </c>
      <c r="H60" s="3896"/>
      <c r="I60" s="3896"/>
      <c r="J60" s="3896"/>
      <c r="K60" s="3897"/>
    </row>
    <row r="61" spans="1:11" s="3296" customFormat="1" ht="15">
      <c r="A61" s="3898" t="s">
        <v>3659</v>
      </c>
      <c r="B61" s="3899" t="s">
        <v>3680</v>
      </c>
      <c r="C61" s="3900">
        <v>12730</v>
      </c>
      <c r="D61" s="3901"/>
      <c r="E61" s="3902"/>
      <c r="F61" s="3902"/>
      <c r="G61" s="3903" t="s">
        <v>3681</v>
      </c>
      <c r="H61" s="3904"/>
      <c r="I61" s="3904"/>
      <c r="J61" s="3904"/>
      <c r="K61" s="3905"/>
    </row>
    <row r="62" spans="1:11" s="3296" customFormat="1" ht="15">
      <c r="A62" s="3898" t="s">
        <v>3661</v>
      </c>
      <c r="B62" s="3899" t="s">
        <v>3682</v>
      </c>
      <c r="C62" s="3882">
        <v>0</v>
      </c>
      <c r="D62" s="3906">
        <v>67713.23</v>
      </c>
      <c r="E62" s="3882">
        <v>0</v>
      </c>
      <c r="F62" s="3902"/>
      <c r="G62" s="3880" t="s">
        <v>3683</v>
      </c>
      <c r="H62" s="3883"/>
      <c r="I62" s="3904"/>
      <c r="J62" s="3904"/>
      <c r="K62" s="3905"/>
    </row>
    <row r="63" spans="1:11" s="3296" customFormat="1" ht="15">
      <c r="A63" s="3898" t="s">
        <v>3662</v>
      </c>
      <c r="B63" s="3899" t="s">
        <v>3684</v>
      </c>
      <c r="C63" s="3882">
        <v>1219</v>
      </c>
      <c r="D63" s="3906"/>
      <c r="E63" s="3882"/>
      <c r="F63" s="3907"/>
      <c r="G63" s="3908"/>
      <c r="H63" s="3909"/>
      <c r="I63" s="3910" t="s">
        <v>2940</v>
      </c>
      <c r="J63" s="3904"/>
      <c r="K63" s="3905"/>
    </row>
    <row r="64" spans="1:11" s="3296" customFormat="1">
      <c r="A64" s="3885" t="s">
        <v>3668</v>
      </c>
      <c r="B64" s="3886" t="s">
        <v>923</v>
      </c>
      <c r="C64" s="3891">
        <v>733</v>
      </c>
      <c r="D64" s="3888">
        <v>40703.160000000003</v>
      </c>
      <c r="E64" s="3891">
        <v>180</v>
      </c>
      <c r="F64" s="3892"/>
      <c r="G64" s="3911"/>
      <c r="H64" s="3912"/>
      <c r="I64" s="3912"/>
      <c r="J64" s="3912"/>
      <c r="K64" s="3913"/>
    </row>
    <row r="65" spans="1:11" s="3296" customFormat="1">
      <c r="A65" s="3885" t="s">
        <v>3670</v>
      </c>
      <c r="B65" s="3886" t="s">
        <v>3685</v>
      </c>
      <c r="C65" s="3891">
        <v>486</v>
      </c>
      <c r="D65" s="3888">
        <v>27010.069999999992</v>
      </c>
      <c r="E65" s="3891">
        <v>180</v>
      </c>
      <c r="F65" s="3892"/>
      <c r="G65" s="3911"/>
      <c r="H65" s="3912"/>
      <c r="I65" s="3912"/>
      <c r="J65" s="3912"/>
      <c r="K65" s="3913"/>
    </row>
    <row r="66" spans="1:11" s="3296" customFormat="1" ht="15">
      <c r="A66" s="3898" t="s">
        <v>3686</v>
      </c>
      <c r="B66" s="3914" t="s">
        <v>3687</v>
      </c>
      <c r="C66" s="3900">
        <v>215</v>
      </c>
      <c r="D66" s="3902"/>
      <c r="E66" s="3902"/>
      <c r="F66" s="3915">
        <v>1.54E-2</v>
      </c>
      <c r="G66" s="3880" t="s">
        <v>3688</v>
      </c>
      <c r="H66" s="3883"/>
      <c r="I66" s="3883"/>
      <c r="J66" s="3883"/>
      <c r="K66" s="3884"/>
    </row>
    <row r="67" spans="1:11" s="3296" customFormat="1" ht="15">
      <c r="A67" s="3898" t="s">
        <v>3689</v>
      </c>
      <c r="B67" s="3914" t="s">
        <v>3690</v>
      </c>
      <c r="C67" s="3900">
        <v>504</v>
      </c>
      <c r="D67" s="3894"/>
      <c r="E67" s="3916"/>
      <c r="F67" s="3915">
        <v>1.4999999999999999E-2</v>
      </c>
      <c r="G67" s="3917" t="s">
        <v>3691</v>
      </c>
      <c r="H67" s="3896"/>
      <c r="I67" s="3896"/>
      <c r="J67" s="3896"/>
      <c r="K67" s="3897"/>
    </row>
    <row r="68" spans="1:11" s="3296" customFormat="1" ht="15">
      <c r="A68" s="3898" t="s">
        <v>3692</v>
      </c>
      <c r="B68" s="3914" t="s">
        <v>3693</v>
      </c>
      <c r="C68" s="3918">
        <v>2.9000000000000001E-2</v>
      </c>
      <c r="D68" s="3919" t="s">
        <v>3694</v>
      </c>
      <c r="E68" s="3920"/>
      <c r="F68" s="3915">
        <v>3.0499999999999999E-2</v>
      </c>
      <c r="G68" s="3921" t="s">
        <v>3695</v>
      </c>
      <c r="H68" s="3883"/>
      <c r="I68" s="3883"/>
      <c r="J68" s="3883"/>
      <c r="K68" s="3884"/>
    </row>
    <row r="69" spans="1:11" s="3296" customFormat="1" ht="15">
      <c r="A69" s="3898" t="s">
        <v>1868</v>
      </c>
      <c r="B69" s="3922" t="s">
        <v>3696</v>
      </c>
      <c r="C69" s="3923">
        <v>697</v>
      </c>
      <c r="D69" s="3918">
        <v>0.10009999999999999</v>
      </c>
      <c r="E69" s="3920" t="s">
        <v>3694</v>
      </c>
      <c r="F69" s="3924">
        <v>4.7500000000000001E-2</v>
      </c>
      <c r="G69" s="3925" t="s">
        <v>3697</v>
      </c>
      <c r="H69" s="3904"/>
      <c r="I69" s="3904"/>
      <c r="J69" s="3904"/>
      <c r="K69" s="3905"/>
    </row>
    <row r="70" spans="1:11" s="3296" customFormat="1">
      <c r="A70" s="3870" t="s">
        <v>3668</v>
      </c>
      <c r="B70" s="3926" t="s">
        <v>3698</v>
      </c>
      <c r="C70" s="3927">
        <v>0.10009999999999999</v>
      </c>
      <c r="D70" s="3928"/>
      <c r="E70" s="3916"/>
      <c r="F70" s="3929"/>
      <c r="G70" s="3925" t="s">
        <v>3699</v>
      </c>
      <c r="H70" s="3896"/>
      <c r="I70" s="3896"/>
      <c r="J70" s="3896"/>
      <c r="K70" s="3897"/>
    </row>
    <row r="71" spans="1:11" s="3296" customFormat="1">
      <c r="A71" s="3870" t="s">
        <v>3670</v>
      </c>
      <c r="B71" s="3926" t="s">
        <v>3700</v>
      </c>
      <c r="C71" s="3930">
        <v>697</v>
      </c>
      <c r="D71" s="3928"/>
      <c r="E71" s="3916"/>
      <c r="F71" s="3929"/>
      <c r="G71" s="3925" t="s">
        <v>3701</v>
      </c>
      <c r="H71" s="3896"/>
      <c r="I71" s="3896"/>
      <c r="J71" s="3896"/>
      <c r="K71" s="3897"/>
    </row>
    <row r="72" spans="1:11" s="3296" customFormat="1" ht="15">
      <c r="A72" s="3931" t="s">
        <v>1869</v>
      </c>
      <c r="B72" s="3899" t="s">
        <v>3702</v>
      </c>
      <c r="C72" s="3900">
        <v>1760</v>
      </c>
      <c r="D72" s="3902"/>
      <c r="E72" s="3902"/>
      <c r="F72" s="3932">
        <v>5.5000000000000007E-2</v>
      </c>
      <c r="G72" s="3917" t="s">
        <v>3703</v>
      </c>
      <c r="H72" s="3883"/>
      <c r="I72" s="3883"/>
      <c r="J72" s="3883"/>
      <c r="K72" s="3884"/>
    </row>
    <row r="73" spans="1:11" s="3296" customFormat="1" ht="15">
      <c r="A73" s="3933" t="s">
        <v>3704</v>
      </c>
      <c r="B73" s="3934" t="s">
        <v>3705</v>
      </c>
      <c r="C73" s="3923">
        <v>17125</v>
      </c>
      <c r="D73" s="3935">
        <v>0.12909999999999999</v>
      </c>
      <c r="E73" s="3920" t="s">
        <v>3694</v>
      </c>
      <c r="F73" s="3924"/>
      <c r="G73" s="3921" t="s">
        <v>3706</v>
      </c>
      <c r="H73" s="3883"/>
      <c r="I73" s="3883"/>
      <c r="J73" s="3883"/>
      <c r="K73" s="3884"/>
    </row>
    <row r="74" spans="1:11" s="3296" customFormat="1">
      <c r="A74" s="3870" t="s">
        <v>3668</v>
      </c>
      <c r="B74" s="3926"/>
      <c r="C74" s="3887">
        <v>17125</v>
      </c>
      <c r="D74" s="3928"/>
      <c r="E74" s="3916"/>
      <c r="F74" s="3929"/>
      <c r="G74" s="3871"/>
      <c r="H74" s="3896"/>
      <c r="I74" s="3896"/>
      <c r="J74" s="3896"/>
      <c r="K74" s="3897"/>
    </row>
    <row r="75" spans="1:11" s="3296" customFormat="1">
      <c r="A75" s="3870" t="s">
        <v>3670</v>
      </c>
      <c r="B75" s="3926"/>
      <c r="C75" s="3891">
        <v>0.12909999999999999</v>
      </c>
      <c r="D75" s="3928"/>
      <c r="E75" s="3916"/>
      <c r="F75" s="3929"/>
      <c r="G75" s="3871"/>
      <c r="H75" s="3896"/>
      <c r="I75" s="3896"/>
      <c r="J75" s="3896"/>
      <c r="K75" s="3897"/>
    </row>
    <row r="76" spans="1:11" s="3296" customFormat="1" ht="15">
      <c r="A76" s="3936" t="s">
        <v>3707</v>
      </c>
      <c r="B76" s="3937" t="s">
        <v>3708</v>
      </c>
      <c r="C76" s="3938">
        <v>1760</v>
      </c>
      <c r="D76" s="3918">
        <v>0.1235</v>
      </c>
      <c r="E76" s="3920" t="s">
        <v>3694</v>
      </c>
      <c r="F76" s="3939">
        <v>0.12</v>
      </c>
      <c r="G76" s="3903"/>
      <c r="H76" s="3904"/>
      <c r="I76" s="3904"/>
      <c r="J76" s="3904"/>
      <c r="K76" s="3905"/>
    </row>
    <row r="77" spans="1:11" s="3296" customFormat="1">
      <c r="A77" s="3940" t="s">
        <v>3668</v>
      </c>
      <c r="B77" s="3941" t="s">
        <v>3709</v>
      </c>
      <c r="C77" s="3928">
        <v>0.1235</v>
      </c>
      <c r="D77" s="3928"/>
      <c r="E77" s="3916"/>
      <c r="F77" s="3942"/>
      <c r="G77" s="3871" t="s">
        <v>3710</v>
      </c>
      <c r="H77" s="3896"/>
      <c r="I77" s="3896"/>
      <c r="J77" s="3896"/>
      <c r="K77" s="3897"/>
    </row>
    <row r="78" spans="1:11" s="3296" customFormat="1" ht="14.25" thickBot="1">
      <c r="A78" s="3943" t="s">
        <v>3670</v>
      </c>
      <c r="B78" s="3944" t="s">
        <v>3711</v>
      </c>
      <c r="C78" s="3945">
        <v>1760</v>
      </c>
      <c r="D78" s="3946"/>
      <c r="E78" s="3947"/>
      <c r="F78" s="3948"/>
      <c r="G78" s="3875"/>
      <c r="H78" s="3949"/>
      <c r="I78" s="3949"/>
      <c r="J78" s="3949"/>
      <c r="K78" s="3950"/>
    </row>
    <row r="79" spans="1:11" s="3296" customFormat="1" ht="16.5" thickBot="1">
      <c r="A79" s="3951" t="s">
        <v>3712</v>
      </c>
      <c r="B79" s="3952"/>
      <c r="C79" s="3953">
        <v>11750</v>
      </c>
      <c r="D79" s="3952"/>
      <c r="E79" s="3952"/>
      <c r="F79" s="3952"/>
      <c r="G79" s="3954" t="s">
        <v>3713</v>
      </c>
      <c r="H79" s="3952"/>
      <c r="I79" s="3952"/>
      <c r="J79" s="3952"/>
      <c r="K79" s="3955"/>
    </row>
    <row r="81" spans="1:9">
      <c r="A81" s="3296" t="s">
        <v>3714</v>
      </c>
    </row>
    <row r="83" spans="1:9" ht="20.25">
      <c r="A83" s="3956" t="s">
        <v>923</v>
      </c>
      <c r="B83" s="3957" t="s">
        <v>3715</v>
      </c>
      <c r="C83" s="3958" t="s">
        <v>923</v>
      </c>
      <c r="D83" s="3959"/>
      <c r="E83" s="3960" t="s">
        <v>3047</v>
      </c>
      <c r="F83" s="3961"/>
      <c r="G83" s="3962"/>
      <c r="H83" s="3962"/>
      <c r="I83" s="3962"/>
    </row>
    <row r="84" spans="1:9" ht="15.75">
      <c r="A84" s="3963">
        <v>26734</v>
      </c>
      <c r="B84" s="3728"/>
      <c r="C84" s="3728"/>
      <c r="D84" s="3728"/>
      <c r="E84" s="3964"/>
      <c r="F84" s="3728"/>
      <c r="G84" s="3728"/>
      <c r="H84" s="3728"/>
      <c r="I84" s="3728"/>
    </row>
    <row r="85" spans="1:9" ht="16.5" thickBot="1">
      <c r="A85" s="3965">
        <v>6568</v>
      </c>
      <c r="B85" s="3966" t="s">
        <v>2943</v>
      </c>
      <c r="C85" s="3965">
        <v>40703.160000000003</v>
      </c>
      <c r="D85" s="3728"/>
      <c r="E85" s="3964"/>
      <c r="F85" s="3728"/>
      <c r="G85" s="3728"/>
      <c r="H85" s="3728"/>
      <c r="I85" s="3728"/>
    </row>
    <row r="86" spans="1:9" s="3296" customFormat="1" ht="15">
      <c r="A86" s="3795"/>
      <c r="B86" s="4460" t="s">
        <v>3616</v>
      </c>
      <c r="C86" s="4461"/>
      <c r="D86" s="4462" t="s">
        <v>3617</v>
      </c>
      <c r="E86" s="4463"/>
      <c r="F86" s="4460" t="s">
        <v>3618</v>
      </c>
      <c r="G86" s="4461"/>
      <c r="H86" s="4460" t="s">
        <v>3619</v>
      </c>
      <c r="I86" s="4461"/>
    </row>
    <row r="87" spans="1:9" s="3296" customFormat="1" ht="15">
      <c r="A87" s="3797"/>
      <c r="B87" s="4464" t="s">
        <v>3620</v>
      </c>
      <c r="C87" s="4465"/>
      <c r="D87" s="4466" t="s">
        <v>3716</v>
      </c>
      <c r="E87" s="4467"/>
      <c r="F87" s="4468" t="s">
        <v>3717</v>
      </c>
      <c r="G87" s="4465"/>
      <c r="H87" s="4468" t="s">
        <v>3718</v>
      </c>
      <c r="I87" s="4465"/>
    </row>
    <row r="88" spans="1:9" s="3296" customFormat="1" ht="15.75" thickBot="1">
      <c r="A88" s="3967"/>
      <c r="B88" s="4469" t="s">
        <v>3621</v>
      </c>
      <c r="C88" s="4470"/>
      <c r="D88" s="4471" t="s">
        <v>3621</v>
      </c>
      <c r="E88" s="4472"/>
      <c r="F88" s="4469" t="s">
        <v>3621</v>
      </c>
      <c r="G88" s="4470"/>
      <c r="H88" s="4469" t="s">
        <v>3621</v>
      </c>
      <c r="I88" s="4470"/>
    </row>
    <row r="89" spans="1:9" s="3296" customFormat="1" ht="26.25" customHeight="1" thickBot="1">
      <c r="A89" s="3799" t="s">
        <v>3622</v>
      </c>
      <c r="B89" s="3968">
        <v>43647</v>
      </c>
      <c r="C89" s="3801">
        <v>100</v>
      </c>
      <c r="D89" s="3802">
        <v>43647</v>
      </c>
      <c r="E89" s="3803">
        <v>100</v>
      </c>
      <c r="F89" s="3804">
        <v>43647</v>
      </c>
      <c r="G89" s="3801">
        <v>100</v>
      </c>
      <c r="H89" s="3804">
        <v>43647</v>
      </c>
      <c r="I89" s="3801">
        <v>100</v>
      </c>
    </row>
    <row r="90" spans="1:9" s="3296" customFormat="1" ht="15.75" thickBot="1">
      <c r="A90" s="3806" t="s">
        <v>3623</v>
      </c>
      <c r="B90" s="3808" t="s">
        <v>3011</v>
      </c>
      <c r="C90" s="3801">
        <v>100</v>
      </c>
      <c r="D90" s="3807" t="s">
        <v>3011</v>
      </c>
      <c r="E90" s="3803">
        <v>100</v>
      </c>
      <c r="F90" s="3808" t="s">
        <v>3011</v>
      </c>
      <c r="G90" s="3801">
        <v>100</v>
      </c>
      <c r="H90" s="3807" t="s">
        <v>3011</v>
      </c>
      <c r="I90" s="3801">
        <v>100</v>
      </c>
    </row>
    <row r="91" spans="1:9" s="3296" customFormat="1" ht="15">
      <c r="A91" s="3810" t="s">
        <v>3414</v>
      </c>
      <c r="B91" s="3969" t="s">
        <v>923</v>
      </c>
      <c r="C91" s="3812">
        <v>100</v>
      </c>
      <c r="D91" s="3970" t="s">
        <v>923</v>
      </c>
      <c r="E91" s="3971">
        <v>100</v>
      </c>
      <c r="F91" s="3972" t="s">
        <v>923</v>
      </c>
      <c r="G91" s="3812">
        <v>100</v>
      </c>
      <c r="H91" s="3972" t="s">
        <v>923</v>
      </c>
      <c r="I91" s="3812">
        <v>100</v>
      </c>
    </row>
    <row r="92" spans="1:9" s="3296" customFormat="1" ht="45">
      <c r="A92" s="3806" t="s">
        <v>3624</v>
      </c>
      <c r="B92" s="3973" t="s">
        <v>3046</v>
      </c>
      <c r="C92" s="3815">
        <v>100</v>
      </c>
      <c r="D92" s="3974" t="s">
        <v>3046</v>
      </c>
      <c r="E92" s="3975">
        <v>100</v>
      </c>
      <c r="F92" s="3973" t="s">
        <v>3046</v>
      </c>
      <c r="G92" s="3815">
        <v>100</v>
      </c>
      <c r="H92" s="3973" t="s">
        <v>3046</v>
      </c>
      <c r="I92" s="3815">
        <v>100</v>
      </c>
    </row>
    <row r="93" spans="1:9" s="3296" customFormat="1" ht="15.75" thickBot="1">
      <c r="A93" s="3806" t="s">
        <v>2032</v>
      </c>
      <c r="B93" s="3819">
        <v>0.9</v>
      </c>
      <c r="C93" s="3815">
        <v>100</v>
      </c>
      <c r="D93" s="3818">
        <v>2</v>
      </c>
      <c r="E93" s="3975">
        <v>96</v>
      </c>
      <c r="F93" s="3819">
        <v>3</v>
      </c>
      <c r="G93" s="3815">
        <v>94</v>
      </c>
      <c r="H93" s="3819">
        <v>2.39</v>
      </c>
      <c r="I93" s="3815">
        <v>96</v>
      </c>
    </row>
    <row r="94" spans="1:9" s="3296" customFormat="1" ht="94.5">
      <c r="A94" s="3823" t="s">
        <v>1653</v>
      </c>
      <c r="B94" s="3976" t="s">
        <v>3626</v>
      </c>
      <c r="C94" s="3825">
        <v>100</v>
      </c>
      <c r="D94" s="3781" t="s">
        <v>3719</v>
      </c>
      <c r="E94" s="3823">
        <v>100</v>
      </c>
      <c r="F94" s="3824" t="s">
        <v>3720</v>
      </c>
      <c r="G94" s="3825">
        <v>100</v>
      </c>
      <c r="H94" s="3781" t="s">
        <v>3721</v>
      </c>
      <c r="I94" s="3825">
        <v>100</v>
      </c>
    </row>
    <row r="95" spans="1:9" s="3296" customFormat="1" ht="14.25">
      <c r="A95" s="3977"/>
      <c r="B95" s="3978" t="s">
        <v>3013</v>
      </c>
      <c r="C95" s="3830"/>
      <c r="D95" s="3817" t="s">
        <v>3013</v>
      </c>
      <c r="E95" s="3829"/>
      <c r="F95" s="3816" t="s">
        <v>3013</v>
      </c>
      <c r="G95" s="3821"/>
      <c r="H95" s="3817" t="s">
        <v>3013</v>
      </c>
      <c r="I95" s="3830"/>
    </row>
    <row r="96" spans="1:9" s="3296" customFormat="1" ht="142.5">
      <c r="A96" s="3839" t="s">
        <v>1655</v>
      </c>
      <c r="B96" s="3979" t="s">
        <v>3634</v>
      </c>
      <c r="C96" s="3821">
        <v>100</v>
      </c>
      <c r="D96" s="3838" t="s">
        <v>3722</v>
      </c>
      <c r="E96" s="3833">
        <v>100</v>
      </c>
      <c r="F96" s="3837" t="s">
        <v>3723</v>
      </c>
      <c r="G96" s="3831">
        <v>100</v>
      </c>
      <c r="H96" s="3837" t="s">
        <v>3724</v>
      </c>
      <c r="I96" s="3831">
        <v>100</v>
      </c>
    </row>
    <row r="97" spans="1:9" s="3296" customFormat="1" ht="14.25">
      <c r="A97" s="3829"/>
      <c r="B97" s="3980" t="s">
        <v>3014</v>
      </c>
      <c r="C97" s="3821"/>
      <c r="D97" s="3838" t="s">
        <v>3014</v>
      </c>
      <c r="E97" s="3833"/>
      <c r="F97" s="3837" t="s">
        <v>3014</v>
      </c>
      <c r="G97" s="3830"/>
      <c r="H97" s="3838" t="s">
        <v>3014</v>
      </c>
      <c r="I97" s="3830"/>
    </row>
    <row r="98" spans="1:9" s="3296" customFormat="1" ht="171">
      <c r="A98" s="3981" t="s">
        <v>3638</v>
      </c>
      <c r="B98" s="3979" t="s">
        <v>3639</v>
      </c>
      <c r="C98" s="3831">
        <v>100</v>
      </c>
      <c r="D98" s="3841" t="s">
        <v>3639</v>
      </c>
      <c r="E98" s="3839">
        <v>100</v>
      </c>
      <c r="F98" s="3841" t="s">
        <v>3725</v>
      </c>
      <c r="G98" s="3821">
        <v>102</v>
      </c>
      <c r="H98" s="3841" t="s">
        <v>3726</v>
      </c>
      <c r="I98" s="3821">
        <v>102</v>
      </c>
    </row>
    <row r="99" spans="1:9" s="3296" customFormat="1" ht="14.25">
      <c r="A99" s="3829"/>
      <c r="B99" s="3978" t="s">
        <v>3014</v>
      </c>
      <c r="C99" s="3830"/>
      <c r="D99" s="3817" t="s">
        <v>3014</v>
      </c>
      <c r="E99" s="3829"/>
      <c r="F99" s="3816" t="s">
        <v>3013</v>
      </c>
      <c r="G99" s="3830"/>
      <c r="H99" s="3817" t="s">
        <v>3013</v>
      </c>
      <c r="I99" s="3830"/>
    </row>
    <row r="100" spans="1:9" s="3296" customFormat="1" ht="42.75">
      <c r="A100" s="3982" t="s">
        <v>3640</v>
      </c>
      <c r="B100" s="3979" t="s">
        <v>3373</v>
      </c>
      <c r="C100" s="3831">
        <v>100</v>
      </c>
      <c r="D100" s="3840" t="s">
        <v>3373</v>
      </c>
      <c r="E100" s="3839">
        <v>100</v>
      </c>
      <c r="F100" s="3840" t="s">
        <v>3373</v>
      </c>
      <c r="G100" s="3831">
        <v>100</v>
      </c>
      <c r="H100" s="3841" t="s">
        <v>3373</v>
      </c>
      <c r="I100" s="3831">
        <v>100</v>
      </c>
    </row>
    <row r="101" spans="1:9" s="3296" customFormat="1" ht="14.25">
      <c r="A101" s="3833"/>
      <c r="B101" s="3980" t="s">
        <v>3029</v>
      </c>
      <c r="C101" s="3830"/>
      <c r="D101" s="3978" t="s">
        <v>3029</v>
      </c>
      <c r="E101" s="3829"/>
      <c r="F101" s="3978" t="s">
        <v>3029</v>
      </c>
      <c r="G101" s="3830"/>
      <c r="H101" s="3978" t="s">
        <v>3029</v>
      </c>
      <c r="I101" s="3830"/>
    </row>
    <row r="102" spans="1:9" s="3296" customFormat="1" ht="94.5">
      <c r="A102" s="3839" t="s">
        <v>1656</v>
      </c>
      <c r="B102" s="3979" t="s">
        <v>3636</v>
      </c>
      <c r="C102" s="3821">
        <v>100</v>
      </c>
      <c r="D102" s="3835" t="s">
        <v>3727</v>
      </c>
      <c r="E102" s="3833">
        <v>98</v>
      </c>
      <c r="F102" s="3835" t="s">
        <v>3380</v>
      </c>
      <c r="G102" s="3821">
        <v>100</v>
      </c>
      <c r="H102" s="3835" t="s">
        <v>3380</v>
      </c>
      <c r="I102" s="3821">
        <v>100</v>
      </c>
    </row>
    <row r="103" spans="1:9" s="3296" customFormat="1" ht="14.25">
      <c r="A103" s="3829"/>
      <c r="B103" s="3978" t="s">
        <v>3013</v>
      </c>
      <c r="C103" s="3830"/>
      <c r="D103" s="3817" t="s">
        <v>3014</v>
      </c>
      <c r="E103" s="3829"/>
      <c r="F103" s="3816" t="s">
        <v>3013</v>
      </c>
      <c r="G103" s="3830"/>
      <c r="H103" s="3817" t="s">
        <v>3013</v>
      </c>
      <c r="I103" s="3830"/>
    </row>
    <row r="104" spans="1:9" s="3296" customFormat="1" ht="14.25">
      <c r="A104" s="3983" t="s">
        <v>3728</v>
      </c>
      <c r="B104" s="3819"/>
      <c r="C104" s="3815">
        <v>100</v>
      </c>
      <c r="D104" s="3974"/>
      <c r="E104" s="3975">
        <v>100</v>
      </c>
      <c r="F104" s="3973"/>
      <c r="G104" s="3815">
        <v>100</v>
      </c>
      <c r="H104" s="3974"/>
      <c r="I104" s="3815">
        <v>100</v>
      </c>
    </row>
    <row r="105" spans="1:9" s="3296" customFormat="1" ht="14.25">
      <c r="A105" s="3975" t="s">
        <v>3729</v>
      </c>
      <c r="B105" s="3819"/>
      <c r="C105" s="3815">
        <v>100</v>
      </c>
      <c r="D105" s="3974"/>
      <c r="E105" s="3975">
        <v>100</v>
      </c>
      <c r="F105" s="3973"/>
      <c r="G105" s="3815">
        <v>100</v>
      </c>
      <c r="H105" s="3974"/>
      <c r="I105" s="3815">
        <v>100</v>
      </c>
    </row>
    <row r="106" spans="1:9" s="3296" customFormat="1" ht="14.25">
      <c r="A106" s="3984" t="s">
        <v>3730</v>
      </c>
      <c r="B106" s="3985" t="s">
        <v>3388</v>
      </c>
      <c r="C106" s="3830">
        <v>100</v>
      </c>
      <c r="D106" s="3986" t="s">
        <v>3393</v>
      </c>
      <c r="E106" s="3829">
        <v>101</v>
      </c>
      <c r="F106" s="3987" t="s">
        <v>3393</v>
      </c>
      <c r="G106" s="3830">
        <v>101</v>
      </c>
      <c r="H106" s="3986" t="s">
        <v>3731</v>
      </c>
      <c r="I106" s="3830">
        <v>99</v>
      </c>
    </row>
    <row r="107" spans="1:9" s="3296" customFormat="1" ht="15" thickBot="1">
      <c r="A107" s="3988">
        <v>111</v>
      </c>
      <c r="B107" s="3985" t="s">
        <v>3732</v>
      </c>
      <c r="C107" s="3815">
        <v>100</v>
      </c>
      <c r="D107" s="3989" t="s">
        <v>3733</v>
      </c>
      <c r="E107" s="3975">
        <v>100</v>
      </c>
      <c r="F107" s="3816" t="s">
        <v>3734</v>
      </c>
      <c r="G107" s="3815">
        <v>100</v>
      </c>
      <c r="H107" s="3817" t="s">
        <v>3735</v>
      </c>
      <c r="I107" s="3815">
        <v>100</v>
      </c>
    </row>
    <row r="108" spans="1:9" s="3296" customFormat="1" ht="14.25">
      <c r="A108" s="3971" t="s">
        <v>3736</v>
      </c>
      <c r="B108" s="3990" t="s">
        <v>3026</v>
      </c>
      <c r="C108" s="3812">
        <v>100</v>
      </c>
      <c r="D108" s="3991" t="s">
        <v>3026</v>
      </c>
      <c r="E108" s="3975">
        <v>100</v>
      </c>
      <c r="F108" s="3990" t="s">
        <v>3026</v>
      </c>
      <c r="G108" s="3812">
        <v>100</v>
      </c>
      <c r="H108" s="3991" t="s">
        <v>3026</v>
      </c>
      <c r="I108" s="3815">
        <v>100</v>
      </c>
    </row>
    <row r="109" spans="1:9" s="3296" customFormat="1" ht="14.25">
      <c r="A109" s="3975" t="s">
        <v>3738</v>
      </c>
      <c r="B109" s="3819" t="s">
        <v>3008</v>
      </c>
      <c r="C109" s="3815">
        <v>100</v>
      </c>
      <c r="D109" s="3818" t="s">
        <v>3008</v>
      </c>
      <c r="E109" s="3975">
        <v>100</v>
      </c>
      <c r="F109" s="3819" t="s">
        <v>3008</v>
      </c>
      <c r="G109" s="3815">
        <v>100</v>
      </c>
      <c r="H109" s="3818" t="s">
        <v>3008</v>
      </c>
      <c r="I109" s="3815">
        <v>100</v>
      </c>
    </row>
    <row r="110" spans="1:9" s="3296" customFormat="1" ht="14.25">
      <c r="A110" s="3975" t="s">
        <v>3739</v>
      </c>
      <c r="B110" s="3973" t="s">
        <v>3013</v>
      </c>
      <c r="C110" s="3815">
        <v>100</v>
      </c>
      <c r="D110" s="3974" t="s">
        <v>3013</v>
      </c>
      <c r="E110" s="3975">
        <v>100</v>
      </c>
      <c r="F110" s="3973" t="s">
        <v>3013</v>
      </c>
      <c r="G110" s="3815">
        <v>100</v>
      </c>
      <c r="H110" s="3974" t="s">
        <v>3013</v>
      </c>
      <c r="I110" s="3815">
        <v>100</v>
      </c>
    </row>
    <row r="111" spans="1:9" s="3296" customFormat="1" ht="28.5">
      <c r="A111" s="3975" t="s">
        <v>3740</v>
      </c>
      <c r="B111" s="3973" t="s">
        <v>3015</v>
      </c>
      <c r="C111" s="3815">
        <v>100</v>
      </c>
      <c r="D111" s="3974" t="s">
        <v>3015</v>
      </c>
      <c r="E111" s="3975">
        <v>100</v>
      </c>
      <c r="F111" s="3973" t="s">
        <v>3015</v>
      </c>
      <c r="G111" s="3815">
        <v>100</v>
      </c>
      <c r="H111" s="3974" t="s">
        <v>3015</v>
      </c>
      <c r="I111" s="3815">
        <v>100</v>
      </c>
    </row>
    <row r="112" spans="1:9" s="3296" customFormat="1" ht="14.25">
      <c r="A112" s="3975" t="s">
        <v>3741</v>
      </c>
      <c r="B112" s="3992">
        <v>1</v>
      </c>
      <c r="C112" s="3815">
        <v>100</v>
      </c>
      <c r="D112" s="3993">
        <v>1</v>
      </c>
      <c r="E112" s="3975">
        <v>100</v>
      </c>
      <c r="F112" s="3994">
        <v>1</v>
      </c>
      <c r="G112" s="3815">
        <v>100</v>
      </c>
      <c r="H112" s="3993">
        <v>1</v>
      </c>
      <c r="I112" s="3815">
        <v>100</v>
      </c>
    </row>
    <row r="113" spans="1:10" s="3296" customFormat="1" ht="14.25">
      <c r="A113" s="3975" t="s">
        <v>3742</v>
      </c>
      <c r="B113" s="3973" t="s">
        <v>3017</v>
      </c>
      <c r="C113" s="3815">
        <v>100</v>
      </c>
      <c r="D113" s="3974" t="s">
        <v>3017</v>
      </c>
      <c r="E113" s="3975">
        <v>100</v>
      </c>
      <c r="F113" s="3973" t="s">
        <v>3017</v>
      </c>
      <c r="G113" s="3815">
        <v>100</v>
      </c>
      <c r="H113" s="3974" t="s">
        <v>3017</v>
      </c>
      <c r="I113" s="3815">
        <v>100</v>
      </c>
    </row>
    <row r="114" spans="1:10" s="3296" customFormat="1" ht="27">
      <c r="A114" s="3983" t="s">
        <v>3743</v>
      </c>
      <c r="B114" s="3973" t="s">
        <v>3029</v>
      </c>
      <c r="C114" s="3815">
        <v>100</v>
      </c>
      <c r="D114" s="3974" t="s">
        <v>3029</v>
      </c>
      <c r="E114" s="3975">
        <v>100</v>
      </c>
      <c r="F114" s="3973" t="s">
        <v>3029</v>
      </c>
      <c r="G114" s="3815">
        <v>100</v>
      </c>
      <c r="H114" s="3974" t="s">
        <v>3029</v>
      </c>
      <c r="I114" s="3815">
        <v>100</v>
      </c>
    </row>
    <row r="115" spans="1:10" s="3296" customFormat="1" ht="14.25" hidden="1">
      <c r="A115" s="3975" t="s">
        <v>3744</v>
      </c>
      <c r="B115" s="3973"/>
      <c r="C115" s="3815">
        <v>100</v>
      </c>
      <c r="D115" s="3974"/>
      <c r="E115" s="3975">
        <v>100</v>
      </c>
      <c r="F115" s="3973"/>
      <c r="G115" s="3815">
        <v>100</v>
      </c>
      <c r="H115" s="3974"/>
      <c r="I115" s="3815">
        <v>100</v>
      </c>
    </row>
    <row r="116" spans="1:10" s="3296" customFormat="1" ht="42.75">
      <c r="A116" s="3975" t="s">
        <v>3745</v>
      </c>
      <c r="B116" s="3995" t="s">
        <v>3040</v>
      </c>
      <c r="C116" s="3815">
        <v>100</v>
      </c>
      <c r="D116" s="3996" t="s">
        <v>3041</v>
      </c>
      <c r="E116" s="3975">
        <v>98</v>
      </c>
      <c r="F116" s="3997" t="s">
        <v>3040</v>
      </c>
      <c r="G116" s="3815">
        <v>100</v>
      </c>
      <c r="H116" s="3996" t="s">
        <v>3043</v>
      </c>
      <c r="I116" s="3815">
        <v>96</v>
      </c>
    </row>
    <row r="117" spans="1:10" s="3296" customFormat="1" ht="14.25">
      <c r="A117" s="3975" t="s">
        <v>3746</v>
      </c>
      <c r="B117" s="3973" t="s">
        <v>3031</v>
      </c>
      <c r="C117" s="3815">
        <v>100</v>
      </c>
      <c r="D117" s="3974" t="s">
        <v>3031</v>
      </c>
      <c r="E117" s="3975">
        <v>100</v>
      </c>
      <c r="F117" s="3973" t="s">
        <v>3031</v>
      </c>
      <c r="G117" s="3815">
        <v>100</v>
      </c>
      <c r="H117" s="3974" t="s">
        <v>3031</v>
      </c>
      <c r="I117" s="3815">
        <v>100</v>
      </c>
    </row>
    <row r="118" spans="1:10" s="3296" customFormat="1" ht="29.25" thickBot="1">
      <c r="A118" s="3975" t="s">
        <v>3747</v>
      </c>
      <c r="B118" s="3973" t="s">
        <v>3013</v>
      </c>
      <c r="C118" s="3815">
        <v>100</v>
      </c>
      <c r="D118" s="3974" t="s">
        <v>3013</v>
      </c>
      <c r="E118" s="3975">
        <v>100</v>
      </c>
      <c r="F118" s="3973" t="s">
        <v>3013</v>
      </c>
      <c r="G118" s="3815">
        <v>100</v>
      </c>
      <c r="H118" s="3974" t="s">
        <v>3013</v>
      </c>
      <c r="I118" s="3815">
        <v>100</v>
      </c>
    </row>
    <row r="119" spans="1:10" s="3296" customFormat="1" ht="15">
      <c r="A119" s="3998"/>
      <c r="B119" s="3999" t="s">
        <v>952</v>
      </c>
      <c r="C119" s="3845"/>
      <c r="D119" s="4000">
        <v>6000</v>
      </c>
      <c r="E119" s="4001"/>
      <c r="F119" s="4002">
        <v>6600</v>
      </c>
      <c r="G119" s="3845"/>
      <c r="H119" s="4000">
        <v>6000</v>
      </c>
      <c r="I119" s="3845"/>
    </row>
    <row r="120" spans="1:10" s="3296" customFormat="1" ht="15.75" thickBot="1">
      <c r="A120" s="4003"/>
      <c r="B120" s="4004">
        <v>6568</v>
      </c>
      <c r="C120" s="4005"/>
      <c r="D120" s="4006">
        <v>6443</v>
      </c>
      <c r="E120" s="4006"/>
      <c r="F120" s="4004">
        <v>6815</v>
      </c>
      <c r="G120" s="4005"/>
      <c r="H120" s="4006">
        <v>6447</v>
      </c>
      <c r="I120" s="4005"/>
    </row>
    <row r="121" spans="1:10" s="3296" customFormat="1" ht="15.75" thickBot="1">
      <c r="A121" s="4007"/>
      <c r="B121" s="3967">
        <v>6568</v>
      </c>
      <c r="C121" s="3967"/>
      <c r="D121" s="3967"/>
      <c r="E121" s="3967"/>
      <c r="F121" s="3967"/>
      <c r="G121" s="3967"/>
      <c r="H121" s="3967"/>
      <c r="I121" s="3967"/>
    </row>
    <row r="122" spans="1:10" s="3296" customFormat="1"/>
    <row r="124" spans="1:10">
      <c r="A124" s="3296" t="s">
        <v>3748</v>
      </c>
    </row>
    <row r="125" spans="1:10" ht="20.25">
      <c r="A125" s="4008" t="s">
        <v>3749</v>
      </c>
      <c r="B125" s="4009" t="s">
        <v>2996</v>
      </c>
      <c r="C125" s="4010" t="s">
        <v>3715</v>
      </c>
      <c r="D125" s="4011" t="s">
        <v>2996</v>
      </c>
      <c r="E125" s="4012"/>
      <c r="F125" s="4030" t="s">
        <v>3758</v>
      </c>
      <c r="G125" s="4012"/>
      <c r="H125" s="4012"/>
      <c r="I125" s="4012"/>
      <c r="J125" s="4012"/>
    </row>
    <row r="126" spans="1:10" ht="20.25">
      <c r="A126" s="3782" t="s">
        <v>2939</v>
      </c>
      <c r="B126" s="4013">
        <v>3372</v>
      </c>
      <c r="C126" s="3784"/>
      <c r="D126" s="3784"/>
      <c r="E126" s="3788"/>
      <c r="F126" s="3785"/>
      <c r="G126" s="3785"/>
      <c r="H126" s="3785"/>
      <c r="I126" s="3785"/>
      <c r="J126" s="3785"/>
    </row>
    <row r="127" spans="1:10" ht="21" thickBot="1">
      <c r="A127" s="4014" t="s">
        <v>3660</v>
      </c>
      <c r="B127" s="3787">
        <v>11184</v>
      </c>
      <c r="C127" s="4015" t="s">
        <v>2943</v>
      </c>
      <c r="D127" s="4016">
        <v>3014.85</v>
      </c>
      <c r="E127" s="3788"/>
      <c r="F127" s="3785"/>
      <c r="G127" s="3785"/>
      <c r="H127" s="3785"/>
      <c r="I127" s="3785"/>
      <c r="J127" s="3785"/>
    </row>
    <row r="128" spans="1:10" ht="15">
      <c r="A128" s="3794" t="s">
        <v>3615</v>
      </c>
      <c r="B128" s="3795"/>
      <c r="C128" s="4460" t="s">
        <v>3616</v>
      </c>
      <c r="D128" s="4461"/>
      <c r="E128" s="4462" t="s">
        <v>3617</v>
      </c>
      <c r="F128" s="4463"/>
      <c r="G128" s="4460" t="s">
        <v>3618</v>
      </c>
      <c r="H128" s="4461"/>
      <c r="I128" s="4460" t="s">
        <v>3619</v>
      </c>
      <c r="J128" s="4461"/>
    </row>
    <row r="129" spans="1:10" ht="15">
      <c r="A129" s="3796"/>
      <c r="B129" s="3797"/>
      <c r="C129" s="4464" t="s">
        <v>3620</v>
      </c>
      <c r="D129" s="4465"/>
      <c r="E129" s="4466" t="s">
        <v>3750</v>
      </c>
      <c r="F129" s="4467"/>
      <c r="G129" s="4468" t="s">
        <v>3717</v>
      </c>
      <c r="H129" s="4465"/>
      <c r="I129" s="4468" t="s">
        <v>3718</v>
      </c>
      <c r="J129" s="4465"/>
    </row>
    <row r="130" spans="1:10" ht="15.75" thickBot="1">
      <c r="A130" s="4017"/>
      <c r="B130" s="3967"/>
      <c r="C130" s="4469" t="s">
        <v>3621</v>
      </c>
      <c r="D130" s="4470"/>
      <c r="E130" s="4471" t="s">
        <v>3621</v>
      </c>
      <c r="F130" s="4472"/>
      <c r="G130" s="4469" t="s">
        <v>3621</v>
      </c>
      <c r="H130" s="4470"/>
      <c r="I130" s="4469" t="s">
        <v>3621</v>
      </c>
      <c r="J130" s="4470"/>
    </row>
    <row r="131" spans="1:10" ht="15.75" thickBot="1">
      <c r="A131" s="3798"/>
      <c r="B131" s="3799" t="s">
        <v>3622</v>
      </c>
      <c r="C131" s="3968">
        <v>43647</v>
      </c>
      <c r="D131" s="3801">
        <v>100</v>
      </c>
      <c r="E131" s="3802">
        <v>43647</v>
      </c>
      <c r="F131" s="3803">
        <v>100</v>
      </c>
      <c r="G131" s="3802">
        <v>43647</v>
      </c>
      <c r="H131" s="3801">
        <v>100</v>
      </c>
      <c r="I131" s="3802">
        <v>43647</v>
      </c>
      <c r="J131" s="3801">
        <v>100</v>
      </c>
    </row>
    <row r="132" spans="1:10" ht="15.75" thickBot="1">
      <c r="A132" s="3805"/>
      <c r="B132" s="3806" t="s">
        <v>3623</v>
      </c>
      <c r="C132" s="3808" t="s">
        <v>3011</v>
      </c>
      <c r="D132" s="3801">
        <v>100</v>
      </c>
      <c r="E132" s="3808" t="s">
        <v>3011</v>
      </c>
      <c r="F132" s="3803">
        <v>100</v>
      </c>
      <c r="G132" s="3808" t="s">
        <v>3011</v>
      </c>
      <c r="H132" s="3801">
        <v>100</v>
      </c>
      <c r="I132" s="3808" t="s">
        <v>3011</v>
      </c>
      <c r="J132" s="3801">
        <v>100</v>
      </c>
    </row>
    <row r="133" spans="1:10" ht="15">
      <c r="A133" s="3809"/>
      <c r="B133" s="3810" t="s">
        <v>3414</v>
      </c>
      <c r="C133" s="3969" t="s">
        <v>2996</v>
      </c>
      <c r="D133" s="3812">
        <v>100</v>
      </c>
      <c r="E133" s="3972" t="s">
        <v>2996</v>
      </c>
      <c r="F133" s="3812">
        <v>100</v>
      </c>
      <c r="G133" s="3970" t="s">
        <v>2996</v>
      </c>
      <c r="H133" s="3812">
        <v>100</v>
      </c>
      <c r="I133" s="3970" t="s">
        <v>2996</v>
      </c>
      <c r="J133" s="3812">
        <v>100</v>
      </c>
    </row>
    <row r="134" spans="1:10" ht="30">
      <c r="A134" s="3805"/>
      <c r="B134" s="3806" t="s">
        <v>3624</v>
      </c>
      <c r="C134" s="3973" t="s">
        <v>3598</v>
      </c>
      <c r="D134" s="3815">
        <v>100</v>
      </c>
      <c r="E134" s="3973" t="s">
        <v>3598</v>
      </c>
      <c r="F134" s="3815">
        <v>100</v>
      </c>
      <c r="G134" s="3974" t="s">
        <v>3598</v>
      </c>
      <c r="H134" s="3815">
        <v>100</v>
      </c>
      <c r="I134" s="3973" t="s">
        <v>3598</v>
      </c>
      <c r="J134" s="3815">
        <v>100</v>
      </c>
    </row>
    <row r="135" spans="1:10" ht="15">
      <c r="A135" s="3805"/>
      <c r="B135" s="3806" t="s">
        <v>2032</v>
      </c>
      <c r="C135" s="3819">
        <v>0.9</v>
      </c>
      <c r="D135" s="3815">
        <v>100</v>
      </c>
      <c r="E135" s="3819">
        <v>0.9</v>
      </c>
      <c r="F135" s="3815">
        <v>100</v>
      </c>
      <c r="G135" s="3818">
        <v>3</v>
      </c>
      <c r="H135" s="3815">
        <v>94</v>
      </c>
      <c r="I135" s="3819">
        <v>2.39</v>
      </c>
      <c r="J135" s="3815">
        <v>96</v>
      </c>
    </row>
    <row r="136" spans="1:10" ht="15">
      <c r="A136" s="3809"/>
      <c r="B136" s="4018">
        <v>111</v>
      </c>
      <c r="C136" s="3978"/>
      <c r="D136" s="4019">
        <v>100</v>
      </c>
      <c r="E136" s="3989"/>
      <c r="F136" s="3815">
        <v>100</v>
      </c>
      <c r="G136" s="4020"/>
      <c r="H136" s="3815">
        <v>100</v>
      </c>
      <c r="I136" s="3989"/>
      <c r="J136" s="3815">
        <v>100</v>
      </c>
    </row>
    <row r="137" spans="1:10" ht="15">
      <c r="A137" s="3809"/>
      <c r="B137" s="4018">
        <v>111</v>
      </c>
      <c r="C137" s="3989"/>
      <c r="D137" s="3815">
        <v>100</v>
      </c>
      <c r="E137" s="3989"/>
      <c r="F137" s="3815">
        <v>100</v>
      </c>
      <c r="G137" s="4020"/>
      <c r="H137" s="3815">
        <v>100</v>
      </c>
      <c r="I137" s="3989"/>
      <c r="J137" s="3815">
        <v>100</v>
      </c>
    </row>
    <row r="138" spans="1:10" ht="15.75" thickBot="1">
      <c r="A138" s="4017"/>
      <c r="B138" s="4021">
        <v>111</v>
      </c>
      <c r="C138" s="4022"/>
      <c r="D138" s="4023">
        <v>100</v>
      </c>
      <c r="E138" s="4022"/>
      <c r="F138" s="4023">
        <v>100</v>
      </c>
      <c r="G138" s="4020"/>
      <c r="H138" s="4023">
        <v>100</v>
      </c>
      <c r="I138" s="3989"/>
      <c r="J138" s="4023">
        <v>100</v>
      </c>
    </row>
    <row r="139" spans="1:10" ht="99.75">
      <c r="A139" s="3820" t="s">
        <v>3625</v>
      </c>
      <c r="B139" s="3823" t="s">
        <v>3628</v>
      </c>
      <c r="C139" s="3976" t="s">
        <v>3629</v>
      </c>
      <c r="D139" s="3825">
        <v>100</v>
      </c>
      <c r="E139" s="4024"/>
      <c r="F139" s="3823">
        <v>100</v>
      </c>
      <c r="G139" s="3826"/>
      <c r="H139" s="3825">
        <v>100</v>
      </c>
      <c r="I139" s="4024"/>
      <c r="J139" s="3825">
        <v>100</v>
      </c>
    </row>
    <row r="140" spans="1:10" ht="15">
      <c r="A140" s="3827"/>
      <c r="B140" s="3977"/>
      <c r="C140" s="3978" t="s">
        <v>3013</v>
      </c>
      <c r="D140" s="3830"/>
      <c r="E140" s="3978" t="s">
        <v>3013</v>
      </c>
      <c r="F140" s="3829"/>
      <c r="G140" s="3978" t="s">
        <v>3013</v>
      </c>
      <c r="H140" s="3821"/>
      <c r="I140" s="3978" t="s">
        <v>3013</v>
      </c>
      <c r="J140" s="3830"/>
    </row>
    <row r="141" spans="1:10" ht="142.5">
      <c r="A141" s="3827"/>
      <c r="B141" s="3839" t="s">
        <v>1655</v>
      </c>
      <c r="C141" s="3979" t="s">
        <v>3634</v>
      </c>
      <c r="D141" s="3821">
        <v>100</v>
      </c>
      <c r="E141" s="3838"/>
      <c r="F141" s="3833">
        <v>100</v>
      </c>
      <c r="G141" s="3837"/>
      <c r="H141" s="3831">
        <v>100</v>
      </c>
      <c r="I141" s="3838"/>
      <c r="J141" s="3831">
        <v>100</v>
      </c>
    </row>
    <row r="142" spans="1:10" ht="15">
      <c r="A142" s="3827"/>
      <c r="B142" s="3829"/>
      <c r="C142" s="3980" t="s">
        <v>3014</v>
      </c>
      <c r="D142" s="3821"/>
      <c r="E142" s="3838" t="s">
        <v>3014</v>
      </c>
      <c r="F142" s="3833"/>
      <c r="G142" s="3837" t="s">
        <v>3014</v>
      </c>
      <c r="H142" s="3830"/>
      <c r="I142" s="3838" t="s">
        <v>3014</v>
      </c>
      <c r="J142" s="3830"/>
    </row>
    <row r="143" spans="1:10" ht="142.5">
      <c r="A143" s="3827"/>
      <c r="B143" s="3981" t="s">
        <v>3638</v>
      </c>
      <c r="C143" s="3979" t="s">
        <v>3639</v>
      </c>
      <c r="D143" s="3831">
        <v>100</v>
      </c>
      <c r="E143" s="3841"/>
      <c r="F143" s="3839">
        <v>102</v>
      </c>
      <c r="G143" s="3840"/>
      <c r="H143" s="3821">
        <v>102</v>
      </c>
      <c r="I143" s="3841"/>
      <c r="J143" s="3821">
        <v>102</v>
      </c>
    </row>
    <row r="144" spans="1:10" ht="15">
      <c r="A144" s="3827"/>
      <c r="B144" s="3829"/>
      <c r="C144" s="3978" t="s">
        <v>3014</v>
      </c>
      <c r="D144" s="3830"/>
      <c r="E144" s="3817" t="s">
        <v>3013</v>
      </c>
      <c r="F144" s="3829"/>
      <c r="G144" s="3816" t="s">
        <v>3013</v>
      </c>
      <c r="H144" s="3830"/>
      <c r="I144" s="3817" t="s">
        <v>3013</v>
      </c>
      <c r="J144" s="3830"/>
    </row>
    <row r="145" spans="1:10" ht="42.75">
      <c r="A145" s="3827"/>
      <c r="B145" s="3982" t="s">
        <v>3640</v>
      </c>
      <c r="C145" s="3979" t="s">
        <v>3373</v>
      </c>
      <c r="D145" s="3831">
        <v>100</v>
      </c>
      <c r="E145" s="3840"/>
      <c r="F145" s="3839">
        <v>100</v>
      </c>
      <c r="G145" s="3840"/>
      <c r="H145" s="3831">
        <v>100</v>
      </c>
      <c r="I145" s="3841"/>
      <c r="J145" s="3831">
        <v>100</v>
      </c>
    </row>
    <row r="146" spans="1:10" ht="15">
      <c r="A146" s="3827"/>
      <c r="B146" s="3833"/>
      <c r="C146" s="3980" t="s">
        <v>3029</v>
      </c>
      <c r="D146" s="3830"/>
      <c r="E146" s="3978" t="s">
        <v>3029</v>
      </c>
      <c r="F146" s="3829"/>
      <c r="G146" s="3978" t="s">
        <v>3029</v>
      </c>
      <c r="H146" s="3830"/>
      <c r="I146" s="3978" t="s">
        <v>3029</v>
      </c>
      <c r="J146" s="3830"/>
    </row>
    <row r="147" spans="1:10" ht="99.75">
      <c r="A147" s="3827"/>
      <c r="B147" s="3839" t="s">
        <v>1656</v>
      </c>
      <c r="C147" s="4025" t="s">
        <v>3636</v>
      </c>
      <c r="D147" s="3821">
        <v>100</v>
      </c>
      <c r="E147" s="3838"/>
      <c r="F147" s="3833">
        <v>100</v>
      </c>
      <c r="G147" s="3837"/>
      <c r="H147" s="3821">
        <v>100</v>
      </c>
      <c r="I147" s="3838"/>
      <c r="J147" s="3821">
        <v>100</v>
      </c>
    </row>
    <row r="148" spans="1:10" ht="15">
      <c r="A148" s="3827"/>
      <c r="B148" s="3829"/>
      <c r="C148" s="3978" t="s">
        <v>3013</v>
      </c>
      <c r="D148" s="3830"/>
      <c r="E148" s="3817" t="s">
        <v>3013</v>
      </c>
      <c r="F148" s="3829"/>
      <c r="G148" s="3816" t="s">
        <v>3013</v>
      </c>
      <c r="H148" s="3830"/>
      <c r="I148" s="3817" t="s">
        <v>3013</v>
      </c>
      <c r="J148" s="3830"/>
    </row>
    <row r="149" spans="1:10" ht="15">
      <c r="A149" s="3827"/>
      <c r="B149" s="3975" t="s">
        <v>1661</v>
      </c>
      <c r="C149" s="3995" t="s">
        <v>3760</v>
      </c>
      <c r="D149" s="3815">
        <v>100</v>
      </c>
      <c r="E149" s="3995" t="s">
        <v>3761</v>
      </c>
      <c r="F149" s="3975">
        <v>100</v>
      </c>
      <c r="G149" s="3995" t="s">
        <v>3759</v>
      </c>
      <c r="H149" s="3815">
        <v>100</v>
      </c>
      <c r="I149" s="3995" t="s">
        <v>3759</v>
      </c>
      <c r="J149" s="3815">
        <v>100</v>
      </c>
    </row>
    <row r="150" spans="1:10" ht="15">
      <c r="A150" s="3827"/>
      <c r="B150" s="3988" t="s">
        <v>3751</v>
      </c>
      <c r="C150" s="3995" t="s">
        <v>3762</v>
      </c>
      <c r="D150" s="3815">
        <v>100</v>
      </c>
      <c r="E150" s="3995" t="s">
        <v>3762</v>
      </c>
      <c r="F150" s="3975">
        <v>100</v>
      </c>
      <c r="G150" s="3995" t="s">
        <v>3762</v>
      </c>
      <c r="H150" s="3815">
        <v>100</v>
      </c>
      <c r="I150" s="3995" t="s">
        <v>3762</v>
      </c>
      <c r="J150" s="3815">
        <v>100</v>
      </c>
    </row>
    <row r="151" spans="1:10" ht="15">
      <c r="A151" s="3827"/>
      <c r="B151" s="3839" t="s">
        <v>3752</v>
      </c>
      <c r="C151" s="3985" t="s">
        <v>3764</v>
      </c>
      <c r="D151" s="3830">
        <v>100</v>
      </c>
      <c r="E151" s="3985" t="s">
        <v>3763</v>
      </c>
      <c r="F151" s="3829">
        <v>100</v>
      </c>
      <c r="G151" s="3985" t="s">
        <v>3763</v>
      </c>
      <c r="H151" s="3830">
        <v>100</v>
      </c>
      <c r="I151" s="3985" t="s">
        <v>3763</v>
      </c>
      <c r="J151" s="3830">
        <v>100</v>
      </c>
    </row>
    <row r="152" spans="1:10" ht="15.75" thickBot="1">
      <c r="A152" s="3827"/>
      <c r="B152" s="3975" t="s">
        <v>3612</v>
      </c>
      <c r="C152" s="3989" t="s">
        <v>3610</v>
      </c>
      <c r="D152" s="3815">
        <v>100</v>
      </c>
      <c r="E152" s="3989">
        <v>1</v>
      </c>
      <c r="F152" s="3975">
        <v>125</v>
      </c>
      <c r="G152" s="3989">
        <v>1</v>
      </c>
      <c r="H152" s="3815">
        <v>125</v>
      </c>
      <c r="I152" s="3989">
        <v>1</v>
      </c>
      <c r="J152" s="3815">
        <v>125</v>
      </c>
    </row>
    <row r="153" spans="1:10" ht="14.25">
      <c r="A153" s="4026" t="s">
        <v>3644</v>
      </c>
      <c r="B153" s="3971" t="s">
        <v>3753</v>
      </c>
      <c r="C153" s="4031" t="s">
        <v>3766</v>
      </c>
      <c r="D153" s="3812">
        <v>100</v>
      </c>
      <c r="E153" s="4031" t="s">
        <v>3765</v>
      </c>
      <c r="F153" s="3975">
        <v>100</v>
      </c>
      <c r="G153" s="4031" t="s">
        <v>3765</v>
      </c>
      <c r="H153" s="3815">
        <v>100</v>
      </c>
      <c r="I153" s="4031" t="s">
        <v>3765</v>
      </c>
      <c r="J153" s="3812">
        <v>100</v>
      </c>
    </row>
    <row r="154" spans="1:10" ht="14.25">
      <c r="A154" s="4027"/>
      <c r="B154" s="3975" t="s">
        <v>3737</v>
      </c>
      <c r="C154" s="3989">
        <v>1</v>
      </c>
      <c r="D154" s="3815">
        <v>100</v>
      </c>
      <c r="E154" s="3818">
        <v>1</v>
      </c>
      <c r="F154" s="3975">
        <v>100</v>
      </c>
      <c r="G154" s="3819">
        <v>1</v>
      </c>
      <c r="H154" s="3815">
        <v>100</v>
      </c>
      <c r="I154" s="3819">
        <v>1</v>
      </c>
      <c r="J154" s="3815">
        <v>100</v>
      </c>
    </row>
    <row r="155" spans="1:10" ht="14.25">
      <c r="A155" s="4027"/>
      <c r="B155" s="3975" t="s">
        <v>3738</v>
      </c>
      <c r="C155" s="3997" t="s">
        <v>3767</v>
      </c>
      <c r="D155" s="3815">
        <v>100</v>
      </c>
      <c r="E155" s="3996" t="s">
        <v>3008</v>
      </c>
      <c r="F155" s="3975">
        <v>100</v>
      </c>
      <c r="G155" s="3997" t="s">
        <v>3008</v>
      </c>
      <c r="H155" s="3815">
        <v>100</v>
      </c>
      <c r="I155" s="3997" t="s">
        <v>3008</v>
      </c>
      <c r="J155" s="3815">
        <v>100</v>
      </c>
    </row>
    <row r="156" spans="1:10" ht="14.25">
      <c r="A156" s="4027"/>
      <c r="B156" s="3975" t="s">
        <v>3740</v>
      </c>
      <c r="C156" s="4032" t="s">
        <v>3768</v>
      </c>
      <c r="D156" s="3815">
        <v>100</v>
      </c>
      <c r="E156" s="4032" t="s">
        <v>3015</v>
      </c>
      <c r="F156" s="3975">
        <v>100</v>
      </c>
      <c r="G156" s="4032" t="s">
        <v>3015</v>
      </c>
      <c r="H156" s="3815">
        <v>100</v>
      </c>
      <c r="I156" s="4032" t="s">
        <v>3015</v>
      </c>
      <c r="J156" s="3815">
        <v>100</v>
      </c>
    </row>
    <row r="157" spans="1:10" ht="14.25">
      <c r="A157" s="4027"/>
      <c r="B157" s="3975" t="s">
        <v>3741</v>
      </c>
      <c r="C157" s="3992">
        <v>1</v>
      </c>
      <c r="D157" s="3815">
        <v>100</v>
      </c>
      <c r="E157" s="3992">
        <v>1</v>
      </c>
      <c r="F157" s="3975">
        <v>100</v>
      </c>
      <c r="G157" s="3992">
        <v>1</v>
      </c>
      <c r="H157" s="3975">
        <v>100</v>
      </c>
      <c r="I157" s="3992">
        <v>1</v>
      </c>
      <c r="J157" s="3815">
        <v>100</v>
      </c>
    </row>
    <row r="158" spans="1:10" ht="14.25">
      <c r="A158" s="4027"/>
      <c r="B158" s="3983" t="s">
        <v>3743</v>
      </c>
      <c r="C158" s="4032" t="s">
        <v>3769</v>
      </c>
      <c r="D158" s="3815">
        <v>100</v>
      </c>
      <c r="E158" s="4032" t="s">
        <v>3029</v>
      </c>
      <c r="F158" s="3975">
        <v>100</v>
      </c>
      <c r="G158" s="4032" t="s">
        <v>3029</v>
      </c>
      <c r="H158" s="3815">
        <v>100</v>
      </c>
      <c r="I158" s="4032" t="s">
        <v>3029</v>
      </c>
      <c r="J158" s="3815">
        <v>100</v>
      </c>
    </row>
    <row r="159" spans="1:10" ht="14.25">
      <c r="A159" s="4027"/>
      <c r="B159" s="3975" t="s">
        <v>3754</v>
      </c>
      <c r="C159" s="4032" t="s">
        <v>3771</v>
      </c>
      <c r="D159" s="3815">
        <v>100</v>
      </c>
      <c r="E159" s="4032" t="s">
        <v>3770</v>
      </c>
      <c r="F159" s="3975">
        <v>100</v>
      </c>
      <c r="G159" s="4032" t="s">
        <v>3770</v>
      </c>
      <c r="H159" s="3815">
        <v>100</v>
      </c>
      <c r="I159" s="4032" t="s">
        <v>3770</v>
      </c>
      <c r="J159" s="3815">
        <v>100</v>
      </c>
    </row>
    <row r="160" spans="1:10" ht="14.25">
      <c r="A160" s="4027"/>
      <c r="B160" s="3975" t="s">
        <v>3755</v>
      </c>
      <c r="C160" s="3973" t="s">
        <v>3774</v>
      </c>
      <c r="D160" s="3815">
        <v>100</v>
      </c>
      <c r="E160" s="3973" t="s">
        <v>3775</v>
      </c>
      <c r="F160" s="3975">
        <v>100</v>
      </c>
      <c r="G160" s="3973" t="s">
        <v>3775</v>
      </c>
      <c r="H160" s="3815">
        <v>100</v>
      </c>
      <c r="I160" s="3973"/>
      <c r="J160" s="3815">
        <v>100</v>
      </c>
    </row>
    <row r="161" spans="1:11" ht="14.25">
      <c r="A161" s="4027"/>
      <c r="B161" s="3975" t="s">
        <v>3756</v>
      </c>
      <c r="C161" s="3995" t="s">
        <v>3773</v>
      </c>
      <c r="D161" s="3815">
        <v>100</v>
      </c>
      <c r="E161" s="3995" t="s">
        <v>3137</v>
      </c>
      <c r="F161" s="3975">
        <v>100</v>
      </c>
      <c r="G161" s="3995" t="s">
        <v>3137</v>
      </c>
      <c r="H161" s="3815">
        <v>100</v>
      </c>
      <c r="I161" s="3995" t="s">
        <v>3137</v>
      </c>
      <c r="J161" s="3815">
        <v>100</v>
      </c>
    </row>
    <row r="162" spans="1:11" ht="14.25">
      <c r="A162" s="4027"/>
      <c r="B162" s="3975" t="s">
        <v>3746</v>
      </c>
      <c r="C162" s="4032" t="s">
        <v>3772</v>
      </c>
      <c r="D162" s="3815">
        <v>100</v>
      </c>
      <c r="E162" s="4032" t="s">
        <v>3772</v>
      </c>
      <c r="F162" s="3975">
        <v>100</v>
      </c>
      <c r="G162" s="4032" t="s">
        <v>3772</v>
      </c>
      <c r="H162" s="3815">
        <v>100</v>
      </c>
      <c r="I162" s="4032" t="s">
        <v>3772</v>
      </c>
      <c r="J162" s="3815">
        <v>100</v>
      </c>
    </row>
    <row r="163" spans="1:11" ht="15" thickBot="1">
      <c r="A163" s="4027"/>
      <c r="B163" s="3975" t="s">
        <v>3747</v>
      </c>
      <c r="C163" s="4032" t="s">
        <v>3762</v>
      </c>
      <c r="D163" s="3815">
        <v>100</v>
      </c>
      <c r="E163" s="4032" t="s">
        <v>3013</v>
      </c>
      <c r="F163" s="3975">
        <v>100</v>
      </c>
      <c r="G163" s="4032" t="s">
        <v>3013</v>
      </c>
      <c r="H163" s="3815">
        <v>100</v>
      </c>
      <c r="I163" s="4032" t="s">
        <v>3013</v>
      </c>
      <c r="J163" s="3815">
        <v>100</v>
      </c>
    </row>
    <row r="164" spans="1:11" ht="15">
      <c r="A164" s="3842" t="s">
        <v>3757</v>
      </c>
      <c r="B164" s="3998"/>
      <c r="C164" s="3999" t="s">
        <v>952</v>
      </c>
      <c r="D164" s="3845"/>
      <c r="E164" s="4000">
        <v>13000</v>
      </c>
      <c r="F164" s="4001"/>
      <c r="G164" s="4002">
        <v>13500</v>
      </c>
      <c r="H164" s="3845"/>
      <c r="I164" s="4000">
        <v>14800</v>
      </c>
      <c r="J164" s="3845"/>
    </row>
    <row r="165" spans="1:11" ht="15.75" thickBot="1">
      <c r="A165" s="4028" t="s">
        <v>3651</v>
      </c>
      <c r="B165" s="4003"/>
      <c r="C165" s="4004">
        <v>11184</v>
      </c>
      <c r="D165" s="4005"/>
      <c r="E165" s="4006">
        <v>10196</v>
      </c>
      <c r="F165" s="4006"/>
      <c r="G165" s="4004">
        <v>11264</v>
      </c>
      <c r="H165" s="4005"/>
      <c r="I165" s="4006">
        <v>12092</v>
      </c>
      <c r="J165" s="4005"/>
    </row>
    <row r="166" spans="1:11" ht="15.75" thickBot="1">
      <c r="A166" s="4029" t="s">
        <v>3776</v>
      </c>
      <c r="B166" s="4007"/>
      <c r="C166" s="3967">
        <v>11184</v>
      </c>
      <c r="D166" s="3967"/>
      <c r="E166" s="3967"/>
      <c r="F166" s="3967"/>
      <c r="G166" s="3967"/>
      <c r="H166" s="3967"/>
      <c r="I166" s="3967"/>
      <c r="J166" s="3967"/>
    </row>
    <row r="170" spans="1:11" s="3199" customFormat="1" ht="14.25">
      <c r="A170" s="4474" t="s">
        <v>298</v>
      </c>
      <c r="B170" s="4475"/>
      <c r="C170" s="4475"/>
      <c r="D170" s="4475"/>
      <c r="E170" s="4475"/>
      <c r="F170" s="4475"/>
      <c r="G170" s="4475"/>
      <c r="H170" s="4475"/>
      <c r="I170" s="4475"/>
      <c r="J170" s="4033"/>
    </row>
    <row r="171" spans="1:11" s="3199" customFormat="1" ht="28.5">
      <c r="A171" s="4052" t="s">
        <v>299</v>
      </c>
      <c r="B171" s="4039" t="s">
        <v>3777</v>
      </c>
      <c r="C171" s="4040"/>
      <c r="D171" s="4040"/>
      <c r="E171" s="4473"/>
      <c r="F171" s="4473"/>
      <c r="G171" s="4473"/>
      <c r="H171" s="4473"/>
      <c r="I171" s="4473"/>
      <c r="J171" s="4035"/>
      <c r="K171" s="4036"/>
    </row>
    <row r="172" spans="1:11" s="3199" customFormat="1" ht="15">
      <c r="A172" s="4053" t="s">
        <v>321</v>
      </c>
      <c r="B172" s="4041" t="s">
        <v>3778</v>
      </c>
      <c r="C172" s="4034"/>
      <c r="D172" s="4042">
        <v>0.4</v>
      </c>
      <c r="E172" s="4043">
        <v>0.6</v>
      </c>
      <c r="F172" s="4041"/>
      <c r="G172" s="4044"/>
      <c r="H172" s="3889"/>
      <c r="I172" s="4045"/>
      <c r="J172" s="4037"/>
      <c r="K172" s="4036"/>
    </row>
    <row r="173" spans="1:11" s="3199" customFormat="1" ht="15">
      <c r="A173" s="4053"/>
      <c r="B173" s="4038" t="s">
        <v>3779</v>
      </c>
      <c r="C173" s="4034" t="s">
        <v>2939</v>
      </c>
      <c r="D173" s="4034">
        <v>6724</v>
      </c>
      <c r="E173" s="4046">
        <v>11750</v>
      </c>
      <c r="F173" s="4038" t="s">
        <v>3780</v>
      </c>
      <c r="G173" s="4044" t="s">
        <v>2939</v>
      </c>
      <c r="H173" s="3889">
        <v>9740</v>
      </c>
      <c r="I173" s="4045" t="s">
        <v>2940</v>
      </c>
      <c r="J173" s="4037"/>
      <c r="K173" s="4036"/>
    </row>
    <row r="174" spans="1:11" s="3199" customFormat="1" ht="15">
      <c r="A174" s="4053"/>
      <c r="B174" s="4038"/>
      <c r="C174" s="4034" t="s">
        <v>3139</v>
      </c>
      <c r="D174" s="4034">
        <v>993</v>
      </c>
      <c r="E174" s="4046">
        <v>1735</v>
      </c>
      <c r="F174" s="4038"/>
      <c r="G174" s="4044" t="s">
        <v>3139</v>
      </c>
      <c r="H174" s="4045">
        <v>1438</v>
      </c>
      <c r="I174" s="4045" t="s">
        <v>2078</v>
      </c>
      <c r="J174" s="4037"/>
      <c r="K174" s="4036"/>
    </row>
    <row r="175" spans="1:11" s="3199" customFormat="1" ht="15">
      <c r="A175" s="4054" t="s">
        <v>328</v>
      </c>
      <c r="B175" s="4045"/>
      <c r="C175" s="4045" t="s">
        <v>3613</v>
      </c>
      <c r="D175" s="4047">
        <v>1303</v>
      </c>
      <c r="E175" s="4046">
        <v>2278</v>
      </c>
      <c r="F175" s="4038"/>
      <c r="G175" s="4048" t="s">
        <v>3613</v>
      </c>
      <c r="H175" s="4049">
        <v>1888</v>
      </c>
      <c r="I175" s="4045" t="s">
        <v>2078</v>
      </c>
      <c r="J175" s="4037"/>
      <c r="K175" s="4036"/>
    </row>
    <row r="176" spans="1:11" s="3199" customFormat="1">
      <c r="A176" s="4055"/>
      <c r="B176" s="4050"/>
      <c r="C176" s="4050"/>
      <c r="D176" s="4050"/>
      <c r="E176" s="4051"/>
      <c r="F176" s="4050"/>
      <c r="G176" s="4050"/>
      <c r="H176" s="4050">
        <v>126</v>
      </c>
      <c r="I176" s="4050" t="s">
        <v>3614</v>
      </c>
      <c r="J176" s="4036"/>
      <c r="K176" s="4036"/>
    </row>
  </sheetData>
  <mergeCells count="34">
    <mergeCell ref="E171:I171"/>
    <mergeCell ref="C128:D128"/>
    <mergeCell ref="E128:F128"/>
    <mergeCell ref="G128:H128"/>
    <mergeCell ref="I128:J128"/>
    <mergeCell ref="C129:D129"/>
    <mergeCell ref="E129:F129"/>
    <mergeCell ref="G129:H129"/>
    <mergeCell ref="I129:J129"/>
    <mergeCell ref="C130:D130"/>
    <mergeCell ref="E130:F130"/>
    <mergeCell ref="G130:H130"/>
    <mergeCell ref="I130:J130"/>
    <mergeCell ref="A170:I170"/>
    <mergeCell ref="B87:C87"/>
    <mergeCell ref="D87:E87"/>
    <mergeCell ref="F87:G87"/>
    <mergeCell ref="H87:I87"/>
    <mergeCell ref="B88:C88"/>
    <mergeCell ref="D88:E88"/>
    <mergeCell ref="F88:G88"/>
    <mergeCell ref="H88:I88"/>
    <mergeCell ref="B86:C86"/>
    <mergeCell ref="D86:E86"/>
    <mergeCell ref="F86:G86"/>
    <mergeCell ref="H86:I86"/>
    <mergeCell ref="C6:D6"/>
    <mergeCell ref="E6:F6"/>
    <mergeCell ref="G6:H6"/>
    <mergeCell ref="I6:J6"/>
    <mergeCell ref="C7:D7"/>
    <mergeCell ref="E7:F7"/>
    <mergeCell ref="G7:H7"/>
    <mergeCell ref="I7:J7"/>
  </mergeCells>
  <phoneticPr fontId="228" type="noConversion"/>
  <dataValidations count="48">
    <dataValidation type="list" allowBlank="1" showInputMessage="1" showErrorMessage="1" sqref="C28 E28 G28 I28 B101 D101 F101 H101 C146 E146 G146 I146">
      <formula1>基础设施水平</formula1>
    </dataValidation>
    <dataValidation type="list" allowBlank="1" showInputMessage="1" showErrorMessage="1" sqref="E22 G22 I22 C22">
      <formula1>区域土地利用方向</formula1>
    </dataValidation>
    <dataValidation type="list" allowBlank="1" showInputMessage="1" showErrorMessage="1" sqref="C29 E29 G29 I29">
      <formula1>临街状况</formula1>
    </dataValidation>
    <dataValidation type="list" allowBlank="1" showInputMessage="1" showErrorMessage="1" sqref="C36 E36 G36 I36">
      <formula1>套综工程地质条件</formula1>
    </dataValidation>
    <dataValidation type="list" allowBlank="1" showInputMessage="1" showErrorMessage="1" sqref="C35 E35 G35 I35">
      <formula1>套综宗地内开发程度</formula1>
    </dataValidation>
    <dataValidation type="list" allowBlank="1" showInputMessage="1" showErrorMessage="1" sqref="C34 E34 G34 I34">
      <formula1>套综临街宽度及深度</formula1>
    </dataValidation>
    <dataValidation type="list" allowBlank="1" showInputMessage="1" showErrorMessage="1" sqref="C33 E33 G33 I33">
      <formula1>套综宗地形状</formula1>
    </dataValidation>
    <dataValidation type="list" allowBlank="1" showInputMessage="1" showErrorMessage="1" sqref="C31 E31 G31 I31">
      <formula1>套综道路等级</formula1>
    </dataValidation>
    <dataValidation type="list" allowBlank="1" showInputMessage="1" showErrorMessage="1" sqref="E18 C18 G18 I18">
      <formula1>办公集聚程度</formula1>
    </dataValidation>
    <dataValidation type="list" allowBlank="1" showInputMessage="1" showErrorMessage="1" sqref="E16 C16 G16 I16 C140 E140 G140 I140">
      <formula1>商业繁华度</formula1>
    </dataValidation>
    <dataValidation type="list" allowBlank="1" showInputMessage="1" showErrorMessage="1" sqref="C10 E10 G10 I10">
      <formula1>套综用途</formula1>
    </dataValidation>
    <dataValidation type="list" allowBlank="1" showInputMessage="1" showErrorMessage="1" sqref="C9 E9 G9 I9">
      <formula1>套综交易情况</formula1>
    </dataValidation>
    <dataValidation type="list" allowBlank="1" showInputMessage="1" showErrorMessage="1" sqref="B37">
      <formula1>单价内涵</formula1>
    </dataValidation>
    <dataValidation type="list" allowBlank="1" showInputMessage="1" showErrorMessage="1" sqref="C24 E24 G24 I24 D103 F103 H103 B103 E148 G148 I148 C148">
      <formula1>环境</formula1>
    </dataValidation>
    <dataValidation type="list" allowBlank="1" showInputMessage="1" showErrorMessage="1" sqref="E14 G14 I14 C14 D95 F95 H95 B95">
      <formula1>居住社区成熟度</formula1>
    </dataValidation>
    <dataValidation type="list" allowBlank="1" showInputMessage="1" showErrorMessage="1" sqref="E20 C20 G20 I20 D97 F97 H97 B97 E142 G142 I142 C142">
      <formula1>交通便捷度</formula1>
    </dataValidation>
    <dataValidation type="list" allowBlank="1" showInputMessage="1" showErrorMessage="1" sqref="E26 C26 I26 G26 B99 F99 H99 D99 C144 G144 I144 E144">
      <formula1>公共配套设施</formula1>
    </dataValidation>
    <dataValidation type="list" allowBlank="1" showInputMessage="1" showErrorMessage="1" sqref="C23 D105 F105 H105 B105">
      <formula1>住宅朝向</formula1>
    </dataValidation>
    <dataValidation type="list" allowBlank="1" showInputMessage="1" showErrorMessage="1" sqref="G63">
      <formula1>"已全部缴纳,已部分缴纳"</formula1>
    </dataValidation>
    <dataValidation type="list" allowBlank="1" showInputMessage="1" showErrorMessage="1" sqref="C50:K50 B44 C83 D125">
      <formula1>项目类型</formula1>
    </dataValidation>
    <dataValidation type="list" allowBlank="1" showInputMessage="1" showErrorMessage="1" sqref="E83 F125">
      <formula1>"售价,租金"</formula1>
    </dataValidation>
    <dataValidation type="list" allowBlank="1" showInputMessage="1" showErrorMessage="1" sqref="D91 F91 H91">
      <formula1>住宅用途</formula1>
    </dataValidation>
    <dataValidation type="list" allowBlank="1" showInputMessage="1" showErrorMessage="1" sqref="B92 D92 F92 H92 C134 E134 G134 I134">
      <formula1>土地年限区间</formula1>
    </dataValidation>
    <dataValidation type="list" allowBlank="1" showInputMessage="1" showErrorMessage="1" sqref="D90 F90 H90 B90">
      <formula1>住宅交易情况</formula1>
    </dataValidation>
    <dataValidation type="list" allowBlank="1" showInputMessage="1" showErrorMessage="1" sqref="D118 F118 H118 B118 C163 E163 G163 I163">
      <formula1>内部装修维护情况</formula1>
    </dataValidation>
    <dataValidation type="list" allowBlank="1" showInputMessage="1" showErrorMessage="1" sqref="D117 F117 H117 B117">
      <formula1>住宅内部装修</formula1>
    </dataValidation>
    <dataValidation type="list" allowBlank="1" showInputMessage="1" showErrorMessage="1" sqref="D115 F115 H115 B115">
      <formula1>住宅房型</formula1>
    </dataValidation>
    <dataValidation type="list" allowBlank="1" showInputMessage="1" showErrorMessage="1" sqref="D114 F114 H114 B114">
      <formula1>住宅基础设施水平</formula1>
    </dataValidation>
    <dataValidation type="list" allowBlank="1" showInputMessage="1" showErrorMessage="1" sqref="D113 F113 H113 B113">
      <formula1>住宅物业管理</formula1>
    </dataValidation>
    <dataValidation type="list" allowBlank="1" showInputMessage="1" showErrorMessage="1" sqref="D111 F111 H111 B111">
      <formula1>住宅公共部分装修</formula1>
    </dataValidation>
    <dataValidation type="list" allowBlank="1" showInputMessage="1" showErrorMessage="1" sqref="D110 F110 H110 B110">
      <formula1>住宅建筑品质</formula1>
    </dataValidation>
    <dataValidation type="list" allowBlank="1" showInputMessage="1" showErrorMessage="1" sqref="D109 F109 H109 B109 E155 G155 I155">
      <formula1>住宅建筑结构</formula1>
    </dataValidation>
    <dataValidation type="list" allowBlank="1" showInputMessage="1" showErrorMessage="1" sqref="D108 F108 H108 B108">
      <formula1>住宅建筑类型</formula1>
    </dataValidation>
    <dataValidation type="list" allowBlank="1" showInputMessage="1" showErrorMessage="1" sqref="D104 F104 H104 B104">
      <formula1>住宅楼层</formula1>
    </dataValidation>
    <dataValidation type="list" allowBlank="1" showInputMessage="1" showErrorMessage="1" sqref="C132 E132 G132 I132">
      <formula1>商业交易情况</formula1>
    </dataValidation>
    <dataValidation type="list" allowBlank="1" showInputMessage="1" showErrorMessage="1" sqref="C160 E160 G160 I160">
      <formula1>商业层高</formula1>
    </dataValidation>
    <dataValidation type="list" allowBlank="1" showInputMessage="1" showErrorMessage="1" sqref="C159 E159 G159 I159">
      <formula1>商业业态</formula1>
    </dataValidation>
    <dataValidation type="list" allowBlank="1" showInputMessage="1" showErrorMessage="1" sqref="E133 G133 I133">
      <formula1>商业用途</formula1>
    </dataValidation>
    <dataValidation type="list" allowBlank="1" showInputMessage="1" showErrorMessage="1" sqref="C162 G162 E162 I162">
      <formula1>商业内部装修</formula1>
    </dataValidation>
    <dataValidation type="list" allowBlank="1" showInputMessage="1" showErrorMessage="1" sqref="C161 E161 G161 I161">
      <formula1>商业进深比</formula1>
    </dataValidation>
    <dataValidation type="list" allowBlank="1" showInputMessage="1" showErrorMessage="1" sqref="C158 E158 G158 I158">
      <formula1>商业基础设施水平</formula1>
    </dataValidation>
    <dataValidation type="list" allowBlank="1" showInputMessage="1" showErrorMessage="1" sqref="C156 E156 G156 I156">
      <formula1>商业公共部分装修</formula1>
    </dataValidation>
    <dataValidation type="list" allowBlank="1" showInputMessage="1" showErrorMessage="1" sqref="C155">
      <formula1>商业建筑结构</formula1>
    </dataValidation>
    <dataValidation type="list" allowBlank="1" showInputMessage="1" showErrorMessage="1" sqref="C153 E153 G153 I153">
      <formula1>商业类型</formula1>
    </dataValidation>
    <dataValidation type="list" allowBlank="1" showInputMessage="1" showErrorMessage="1" sqref="C152 E152 G152 I152">
      <formula1>商业楼层</formula1>
    </dataValidation>
    <dataValidation type="list" allowBlank="1" showInputMessage="1" showErrorMessage="1" sqref="C151 E151 G151 I151">
      <formula1>商业人流量</formula1>
    </dataValidation>
    <dataValidation type="list" allowBlank="1" showInputMessage="1" showErrorMessage="1" sqref="C149 E149 G149 I149">
      <formula1>商业临街状况</formula1>
    </dataValidation>
    <dataValidation type="list" allowBlank="1" showInputMessage="1" showErrorMessage="1" sqref="C171:D171">
      <formula1>估价方法</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60" t="s">
        <v>2038</v>
      </c>
      <c r="B1" s="4060"/>
      <c r="C1" s="4060"/>
      <c r="D1" s="4060"/>
      <c r="E1" s="4060"/>
      <c r="F1" s="4060"/>
      <c r="G1" s="4060"/>
      <c r="H1" s="4060"/>
      <c r="I1" s="4060"/>
      <c r="J1" s="4060"/>
      <c r="K1" s="4060"/>
      <c r="L1" s="4060"/>
      <c r="M1" s="4060"/>
      <c r="N1" s="4060"/>
      <c r="O1" s="4060"/>
      <c r="P1" s="4060"/>
      <c r="Q1" s="4060"/>
      <c r="R1" s="4060"/>
    </row>
    <row r="2" spans="1:18">
      <c r="A2" s="1792" t="s">
        <v>2040</v>
      </c>
      <c r="B2" s="1792"/>
      <c r="C2" s="1792"/>
      <c r="D2" s="1792"/>
      <c r="E2" s="1792"/>
      <c r="F2" s="1792"/>
      <c r="G2" s="1792"/>
      <c r="H2" s="1792"/>
      <c r="I2" s="1793"/>
      <c r="J2" s="1793"/>
      <c r="K2" s="1794" t="str">
        <f>"估价期日："&amp;TEXT(项目基本情况!D3,"yyyy年m月d日;;")</f>
        <v>估价期日：2019年7月1日</v>
      </c>
      <c r="L2" s="1792"/>
      <c r="M2" s="1792"/>
      <c r="N2" s="1792"/>
      <c r="O2" s="1792"/>
      <c r="P2" s="1792"/>
      <c r="Q2" s="1792"/>
      <c r="R2" s="1794" t="str">
        <f>"估价期日的国有建设用地使用权性质："&amp;项目基本情况!B16</f>
        <v>估价期日的国有建设用地使用权性质：出让</v>
      </c>
    </row>
    <row r="3" spans="1:18" ht="23.25" customHeight="1">
      <c r="A3" s="4061" t="s">
        <v>2029</v>
      </c>
      <c r="B3" s="4061" t="s">
        <v>2729</v>
      </c>
      <c r="C3" s="4062" t="s">
        <v>2030</v>
      </c>
      <c r="D3" s="4061" t="s">
        <v>2733</v>
      </c>
      <c r="E3" s="4064" t="s">
        <v>2031</v>
      </c>
      <c r="F3" s="4064"/>
      <c r="G3" s="4064"/>
      <c r="H3" s="4064" t="s">
        <v>2032</v>
      </c>
      <c r="I3" s="4064"/>
      <c r="J3" s="4064"/>
      <c r="K3" s="4062" t="s">
        <v>2033</v>
      </c>
      <c r="L3" s="4062" t="s">
        <v>2034</v>
      </c>
      <c r="M3" s="4061" t="s">
        <v>2730</v>
      </c>
      <c r="N3" s="4063" t="str">
        <f>"（分摊）"&amp;项目基本情况!B16&amp;"国有建设用地使用权面积/㎡"</f>
        <v>（分摊）出让国有建设用地使用权面积/㎡</v>
      </c>
      <c r="O3" s="4061" t="s">
        <v>2063</v>
      </c>
      <c r="P3" s="4062" t="s">
        <v>2043</v>
      </c>
      <c r="Q3" s="4062" t="s">
        <v>2064</v>
      </c>
      <c r="R3" s="4062" t="s">
        <v>2035</v>
      </c>
    </row>
    <row r="4" spans="1:18" ht="36.75" customHeight="1">
      <c r="A4" s="4061"/>
      <c r="B4" s="4061"/>
      <c r="C4" s="4062"/>
      <c r="D4" s="4061"/>
      <c r="E4" s="2613" t="s">
        <v>2042</v>
      </c>
      <c r="F4" s="2613" t="s">
        <v>2742</v>
      </c>
      <c r="G4" s="2613" t="s">
        <v>2036</v>
      </c>
      <c r="H4" s="2613" t="s">
        <v>2037</v>
      </c>
      <c r="I4" s="2613" t="s">
        <v>2743</v>
      </c>
      <c r="J4" s="2613" t="s">
        <v>2036</v>
      </c>
      <c r="K4" s="4062"/>
      <c r="L4" s="4062"/>
      <c r="M4" s="4061"/>
      <c r="N4" s="4063"/>
      <c r="O4" s="4061"/>
      <c r="P4" s="4062"/>
      <c r="Q4" s="4062"/>
      <c r="R4" s="4062"/>
    </row>
    <row r="5" spans="1:18" ht="135" customHeight="1">
      <c r="A5" s="1928" t="s">
        <v>2653</v>
      </c>
      <c r="B5" s="2822" t="s">
        <v>2651</v>
      </c>
      <c r="C5" s="2612">
        <v>22</v>
      </c>
      <c r="D5" s="2611" t="s">
        <v>2652</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55432.25</v>
      </c>
      <c r="O5" s="1795">
        <f>项目基本情况!C21</f>
        <v>67713.23</v>
      </c>
      <c r="P5" s="1795">
        <f ca="1">结果表!E42</f>
        <v>1720</v>
      </c>
      <c r="Q5" s="1795">
        <f ca="1">结果表!D42</f>
        <v>1408</v>
      </c>
      <c r="R5" s="1796">
        <f ca="1">结果表!C42</f>
        <v>9534</v>
      </c>
    </row>
    <row r="6" spans="1:18">
      <c r="A6" s="4057" t="str">
        <f>IF(项目基本情况!B9="市场价格","——","抵押价格")</f>
        <v>抵押价格</v>
      </c>
      <c r="B6" s="4058"/>
      <c r="C6" s="4058"/>
      <c r="D6" s="4058"/>
      <c r="E6" s="4058"/>
      <c r="F6" s="4058"/>
      <c r="G6" s="4058"/>
      <c r="H6" s="4058"/>
      <c r="I6" s="4058"/>
      <c r="J6" s="4058"/>
      <c r="K6" s="4058"/>
      <c r="L6" s="4058"/>
      <c r="M6" s="4058"/>
      <c r="N6" s="4058"/>
      <c r="O6" s="4058"/>
      <c r="P6" s="4058"/>
      <c r="Q6" s="4059"/>
      <c r="R6" s="1797">
        <f ca="1">结果表!O39</f>
        <v>9534</v>
      </c>
    </row>
    <row r="7" spans="1:18">
      <c r="A7" s="4057" t="str">
        <f>IF(项目基本情况!B9="市场价格","——",IF(项目基本情况!E8="已注销及未注销","抵押担保权已注销时的抵押价格","——"))</f>
        <v>——</v>
      </c>
      <c r="B7" s="4058"/>
      <c r="C7" s="4058"/>
      <c r="D7" s="4058"/>
      <c r="E7" s="4058"/>
      <c r="F7" s="4058"/>
      <c r="G7" s="4058"/>
      <c r="H7" s="4058"/>
      <c r="I7" s="4058"/>
      <c r="J7" s="4058"/>
      <c r="K7" s="4058"/>
      <c r="L7" s="4058"/>
      <c r="M7" s="4058"/>
      <c r="N7" s="4058"/>
      <c r="O7" s="4058"/>
      <c r="P7" s="4058"/>
      <c r="Q7" s="4059"/>
      <c r="R7" s="1797" t="str">
        <f>结果表!O40</f>
        <v>——</v>
      </c>
    </row>
    <row r="8" spans="1:18">
      <c r="A8" s="4057">
        <f>IF(项目基本情况!B9="市场价格","——",项目基本情况!E9)</f>
        <v>0</v>
      </c>
      <c r="B8" s="4058"/>
      <c r="C8" s="4058"/>
      <c r="D8" s="4058"/>
      <c r="E8" s="4058"/>
      <c r="F8" s="4058"/>
      <c r="G8" s="4058"/>
      <c r="H8" s="4058"/>
      <c r="I8" s="4058"/>
      <c r="J8" s="4058"/>
      <c r="K8" s="4058"/>
      <c r="L8" s="4058"/>
      <c r="M8" s="4058"/>
      <c r="N8" s="4058"/>
      <c r="O8" s="4058"/>
      <c r="P8" s="4058"/>
      <c r="Q8" s="4059"/>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4066" t="s">
        <v>2065</v>
      </c>
      <c r="B1" s="4066"/>
      <c r="C1" s="4066"/>
      <c r="D1" s="4066"/>
    </row>
    <row r="2" spans="1:4" ht="47.25" customHeight="1">
      <c r="A2" s="4067" t="str">
        <f>"1.权利限制："&amp;项目基本情况!L24&amp;"未设定租赁等其他他项权利。"</f>
        <v>1.权利限制：根据估价对象《不动产权证书》原件、《国有土地使用权》复印件，截至估价期日，估价对象抵押权未见登记。未设定租赁等其他他项权利。</v>
      </c>
      <c r="B2" s="4067"/>
      <c r="C2" s="4067"/>
      <c r="D2" s="4067"/>
    </row>
    <row r="3" spans="1:4" ht="48" customHeight="1">
      <c r="A3" s="406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66"/>
      <c r="C3" s="4066"/>
      <c r="D3" s="4066"/>
    </row>
    <row r="4" spans="1:4" ht="36.75" customHeight="1">
      <c r="A4" s="4066" t="str">
        <f>"3.估价规划限制条件：详见"&amp;项目基本情况!E21&amp;"。"</f>
        <v>3.估价规划限制条件：详见《建设工程规划许可证》[]、《出让合同》[]。</v>
      </c>
      <c r="B4" s="4066"/>
      <c r="C4" s="4066"/>
      <c r="D4" s="4066"/>
    </row>
    <row r="5" spans="1:4">
      <c r="A5" s="4065" t="s">
        <v>2066</v>
      </c>
      <c r="B5" s="4065"/>
      <c r="C5" s="4065"/>
      <c r="D5" s="4065"/>
    </row>
    <row r="6" spans="1:4">
      <c r="A6" s="4066" t="s">
        <v>2044</v>
      </c>
      <c r="B6" s="4066"/>
      <c r="C6" s="4066"/>
      <c r="D6" s="4066"/>
    </row>
    <row r="7" spans="1:4" ht="33" customHeight="1">
      <c r="A7" s="4066" t="s">
        <v>2573</v>
      </c>
      <c r="B7" s="4066"/>
      <c r="C7" s="4066"/>
      <c r="D7" s="4066"/>
    </row>
    <row r="8" spans="1:4" ht="32.25" customHeight="1">
      <c r="A8" s="406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4066"/>
      <c r="C8" s="4066"/>
      <c r="D8" s="4066"/>
    </row>
    <row r="9" spans="1:4" ht="33.75" customHeight="1">
      <c r="A9" s="406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4066"/>
      <c r="C9" s="4066"/>
      <c r="D9" s="4066"/>
    </row>
    <row r="10" spans="1:4">
      <c r="A10" s="4066" t="str">
        <f>IF(项目基本情况!B8="抵押","4.估价师所知悉的法定优先受偿款情况为：","——")</f>
        <v>4.估价师所知悉的法定优先受偿款情况为：</v>
      </c>
      <c r="B10" s="4066"/>
      <c r="C10" s="4066"/>
      <c r="D10" s="4066"/>
    </row>
    <row r="11" spans="1:4" ht="37.5" customHeight="1">
      <c r="A11" s="406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4068"/>
      <c r="C11" s="4068"/>
      <c r="D11" s="4068"/>
    </row>
    <row r="12" spans="1:4" ht="168" customHeight="1">
      <c r="A12" s="4065" t="s">
        <v>2068</v>
      </c>
      <c r="B12" s="4065"/>
      <c r="C12" s="4065"/>
      <c r="D12" s="4065"/>
    </row>
    <row r="13" spans="1:4">
      <c r="A13" s="4069" t="s">
        <v>2744</v>
      </c>
      <c r="B13" s="4069"/>
      <c r="C13" s="4069"/>
      <c r="D13" s="4069"/>
    </row>
    <row r="14" spans="1:4">
      <c r="A14" s="4068" t="str">
        <f>IF(项目基本情况!B8="抵押","综上，"&amp;结果表!K47,"——")</f>
        <v>综上，本次评估不存在估价师知悉的法定优先受偿款</v>
      </c>
      <c r="B14" s="4068"/>
      <c r="C14" s="4068"/>
      <c r="D14" s="4068"/>
    </row>
    <row r="15" spans="1:4" ht="58.5" customHeight="1">
      <c r="A15" s="406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66"/>
      <c r="C15" s="4066"/>
      <c r="D15" s="4066"/>
    </row>
    <row r="16" spans="1:4" ht="70.5" customHeight="1">
      <c r="A16" s="406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66"/>
      <c r="C16" s="4066"/>
      <c r="D16" s="4066"/>
    </row>
    <row r="17" spans="1:4">
      <c r="A17" s="4066" t="s">
        <v>2700</v>
      </c>
      <c r="B17" s="4066"/>
      <c r="C17" s="4066"/>
      <c r="D17" s="4066"/>
    </row>
    <row r="18" spans="1:4">
      <c r="A18" s="4066" t="s">
        <v>2692</v>
      </c>
      <c r="B18" s="4066"/>
      <c r="C18" s="4066"/>
      <c r="D18" s="4066"/>
    </row>
    <row r="19" spans="1:4">
      <c r="A19" s="2823" t="s">
        <v>2693</v>
      </c>
      <c r="B19" s="2823" t="s">
        <v>2694</v>
      </c>
      <c r="C19" s="2823" t="s">
        <v>2695</v>
      </c>
      <c r="D19" s="2823" t="s">
        <v>2696</v>
      </c>
    </row>
    <row r="20" spans="1:4">
      <c r="A20" s="2823" t="str">
        <f>项目基本情况!B4</f>
        <v>土地估价师</v>
      </c>
      <c r="B20" s="2823">
        <f>项目基本情况!C4</f>
        <v>0</v>
      </c>
      <c r="C20" s="2825"/>
      <c r="D20" s="1785" t="s">
        <v>2701</v>
      </c>
    </row>
    <row r="21" spans="1:4">
      <c r="A21" s="2823" t="str">
        <f>项目基本情况!D4</f>
        <v>土地估价师</v>
      </c>
      <c r="B21" s="2823">
        <f>项目基本情况!E4</f>
        <v>0</v>
      </c>
      <c r="C21" s="2825"/>
      <c r="D21" s="1785" t="s">
        <v>2702</v>
      </c>
    </row>
    <row r="23" spans="1:4">
      <c r="A23" s="4066" t="s">
        <v>2697</v>
      </c>
      <c r="B23" s="4066"/>
      <c r="C23" s="4066"/>
      <c r="D23" s="4066"/>
    </row>
    <row r="24" spans="1:4">
      <c r="A24" s="2823" t="s">
        <v>2693</v>
      </c>
      <c r="B24" s="2823" t="s">
        <v>2698</v>
      </c>
      <c r="C24" s="2823" t="s">
        <v>2695</v>
      </c>
      <c r="D24" s="2823" t="s">
        <v>2696</v>
      </c>
    </row>
    <row r="25" spans="1:4">
      <c r="A25" s="2826" t="s">
        <v>2699</v>
      </c>
      <c r="B25" s="2823" t="s">
        <v>952</v>
      </c>
      <c r="C25" s="2825"/>
      <c r="D25" s="1785" t="s">
        <v>2702</v>
      </c>
    </row>
    <row r="29" spans="1:4">
      <c r="D29" s="2824" t="s">
        <v>2039</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4077" t="s">
        <v>53</v>
      </c>
      <c r="B15" s="4078" t="s">
        <v>846</v>
      </c>
      <c r="C15" s="4074"/>
    </row>
    <row r="16" spans="1:7" ht="14.25">
      <c r="A16" s="4077"/>
      <c r="B16" s="4075" t="s">
        <v>54</v>
      </c>
      <c r="C16" s="1168" t="s">
        <v>53</v>
      </c>
    </row>
    <row r="17" spans="1:3" ht="14.25">
      <c r="A17" s="4077"/>
      <c r="B17" s="4075"/>
      <c r="C17" s="1168" t="s">
        <v>55</v>
      </c>
    </row>
    <row r="18" spans="1:3" ht="14.25">
      <c r="A18" s="4077"/>
      <c r="B18" s="4075"/>
      <c r="C18" s="1168" t="s">
        <v>56</v>
      </c>
    </row>
    <row r="19" spans="1:3" ht="14.25">
      <c r="A19" s="4077"/>
      <c r="B19" s="4073" t="s">
        <v>57</v>
      </c>
      <c r="C19" s="4074"/>
    </row>
    <row r="20" spans="1:3" ht="14.25">
      <c r="A20" s="1169" t="s">
        <v>58</v>
      </c>
      <c r="B20" s="1170"/>
      <c r="C20" s="1171"/>
    </row>
    <row r="21" spans="1:3" ht="14.25">
      <c r="A21" s="4076" t="s">
        <v>59</v>
      </c>
      <c r="B21" s="4073" t="s">
        <v>60</v>
      </c>
      <c r="C21" s="4074"/>
    </row>
    <row r="22" spans="1:3" ht="14.25">
      <c r="A22" s="4076"/>
      <c r="B22" s="4073" t="s">
        <v>61</v>
      </c>
      <c r="C22" s="4074"/>
    </row>
    <row r="23" spans="1:3" ht="14.25">
      <c r="A23" s="4076"/>
      <c r="B23" s="4073" t="s">
        <v>62</v>
      </c>
      <c r="C23" s="4074"/>
    </row>
    <row r="24" spans="1:3" ht="14.25">
      <c r="A24" s="4076"/>
      <c r="B24" s="4079" t="s">
        <v>63</v>
      </c>
      <c r="C24" s="1172" t="s">
        <v>837</v>
      </c>
    </row>
    <row r="25" spans="1:3" ht="14.25">
      <c r="A25" s="4076"/>
      <c r="B25" s="4080"/>
      <c r="C25" s="1172" t="s">
        <v>838</v>
      </c>
    </row>
    <row r="26" spans="1:3" ht="14.25">
      <c r="A26" s="4076"/>
      <c r="B26" s="4080"/>
      <c r="C26" s="1172" t="s">
        <v>839</v>
      </c>
    </row>
    <row r="27" spans="1:3" ht="14.25">
      <c r="A27" s="4076"/>
      <c r="B27" s="4080"/>
      <c r="C27" s="1172" t="s">
        <v>840</v>
      </c>
    </row>
    <row r="28" spans="1:3" ht="14.25">
      <c r="A28" s="4076"/>
      <c r="B28" s="4080"/>
      <c r="C28" s="1172" t="s">
        <v>841</v>
      </c>
    </row>
    <row r="29" spans="1:3" ht="14.25">
      <c r="A29" s="4076"/>
      <c r="B29" s="4080"/>
      <c r="C29" s="1172" t="s">
        <v>842</v>
      </c>
    </row>
    <row r="30" spans="1:3" ht="14.25">
      <c r="A30" s="4076"/>
      <c r="B30" s="4080"/>
      <c r="C30" s="1172" t="s">
        <v>843</v>
      </c>
    </row>
    <row r="31" spans="1:3" ht="14.25">
      <c r="A31" s="4076"/>
      <c r="B31" s="4080"/>
      <c r="C31" s="1172" t="s">
        <v>844</v>
      </c>
    </row>
    <row r="32" spans="1:3" ht="14.25">
      <c r="A32" s="4076"/>
      <c r="B32" s="4080"/>
      <c r="C32" s="1172" t="s">
        <v>1646</v>
      </c>
    </row>
    <row r="33" spans="1:3" ht="14.25">
      <c r="A33" s="4076"/>
      <c r="B33" s="4070" t="s">
        <v>1652</v>
      </c>
      <c r="C33" s="1172" t="s">
        <v>1647</v>
      </c>
    </row>
    <row r="34" spans="1:3" ht="14.25">
      <c r="A34" s="4076"/>
      <c r="B34" s="4071"/>
      <c r="C34" s="1177" t="s">
        <v>1648</v>
      </c>
    </row>
    <row r="35" spans="1:3" ht="14.25">
      <c r="A35" s="4076"/>
      <c r="B35" s="4071"/>
      <c r="C35" s="1178" t="s">
        <v>1649</v>
      </c>
    </row>
    <row r="36" spans="1:3" ht="14.25">
      <c r="A36" s="4076"/>
      <c r="B36" s="4071"/>
      <c r="C36" s="1178" t="s">
        <v>1650</v>
      </c>
    </row>
    <row r="37" spans="1:3" ht="14.25">
      <c r="A37" s="4076"/>
      <c r="B37" s="407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43671</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f ca="1">IF(C10&lt;B2,"已过期",1120060040)</f>
        <v>1120060040</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2976</v>
      </c>
      <c r="B14" s="3131">
        <f ca="1">IF(C14&lt;B2,"已过期",1120040230)</f>
        <v>1120040230</v>
      </c>
      <c r="C14" s="3135">
        <v>43835</v>
      </c>
      <c r="D14" s="3136" t="s">
        <v>2977</v>
      </c>
      <c r="E14" s="3131">
        <f ca="1">IF(F14&lt;B2,"已过期",98030020)</f>
        <v>98030020</v>
      </c>
      <c r="F14" s="3134">
        <v>47118</v>
      </c>
    </row>
    <row r="15" spans="1:6" ht="20.25" customHeight="1">
      <c r="A15" s="3131" t="s">
        <v>2572</v>
      </c>
      <c r="B15" s="3131">
        <f ca="1">IF(C15&lt;B2,"已过期",1120070085)</f>
        <v>1120070085</v>
      </c>
      <c r="C15" s="3135">
        <v>43814</v>
      </c>
      <c r="D15" s="3131" t="s">
        <v>2978</v>
      </c>
      <c r="E15" s="3131">
        <f ca="1">IF(F15&lt;B2,"已过期",2004110128)</f>
        <v>2004110128</v>
      </c>
      <c r="F15" s="3137">
        <v>47118</v>
      </c>
    </row>
    <row r="16" spans="1:6" ht="20.25" customHeight="1">
      <c r="A16" s="3131" t="s">
        <v>1923</v>
      </c>
      <c r="B16" s="3131">
        <f ca="1">IF(C16&lt;B2,"已过期",1120140022)</f>
        <v>1120140022</v>
      </c>
      <c r="C16" s="3133">
        <v>44029</v>
      </c>
      <c r="D16" s="3131" t="s">
        <v>2979</v>
      </c>
      <c r="E16" s="3131">
        <f ca="1">IF(F16&lt;B2,"已过期",2008110059)</f>
        <v>2008110059</v>
      </c>
      <c r="F16" s="3134">
        <v>47177</v>
      </c>
    </row>
    <row r="17" spans="1:7" ht="20.25" customHeight="1">
      <c r="A17" s="3131"/>
      <c r="B17" s="3131"/>
      <c r="C17" s="3133"/>
      <c r="D17" s="3136" t="s">
        <v>2980</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4081" t="s">
        <v>1926</v>
      </c>
      <c r="B25" s="4081"/>
      <c r="C25" s="4081"/>
      <c r="D25" s="4081"/>
      <c r="E25" s="4081"/>
      <c r="F25" s="4081"/>
      <c r="G25" s="4081"/>
    </row>
    <row r="26" spans="1:7" ht="20.25" customHeight="1">
      <c r="A26" s="4082" t="s">
        <v>1927</v>
      </c>
      <c r="B26" s="4082"/>
      <c r="C26" s="4082"/>
      <c r="D26" s="4082" t="s">
        <v>1928</v>
      </c>
      <c r="E26" s="4082"/>
      <c r="F26" s="4082"/>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2988</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35" priority="121">
      <formula>AND($C24-TODAY()&lt;30,TODAY()&lt;$C24)</formula>
    </cfRule>
  </conditionalFormatting>
  <conditionalFormatting sqref="C28">
    <cfRule type="expression" dxfId="234" priority="120">
      <formula>AND($C28-TODAY()&lt;30,TODAY()&lt;$C28)</formula>
    </cfRule>
  </conditionalFormatting>
  <conditionalFormatting sqref="C28 F4">
    <cfRule type="cellIs" dxfId="233" priority="122" stopIfTrue="1" operator="lessThan">
      <formula>$B$2</formula>
    </cfRule>
  </conditionalFormatting>
  <conditionalFormatting sqref="F5">
    <cfRule type="cellIs" dxfId="232" priority="118" stopIfTrue="1" operator="lessThan">
      <formula>$B$2</formula>
    </cfRule>
  </conditionalFormatting>
  <conditionalFormatting sqref="F6 F8 F10">
    <cfRule type="cellIs" dxfId="231" priority="116" stopIfTrue="1" operator="lessThan">
      <formula>$B$2</formula>
    </cfRule>
  </conditionalFormatting>
  <conditionalFormatting sqref="C24:D24">
    <cfRule type="expression" dxfId="230" priority="114">
      <formula>AND($C24-TODAY()&lt;30,TODAY()&lt;$C24)</formula>
    </cfRule>
  </conditionalFormatting>
  <conditionalFormatting sqref="F7 F9 F11 C24:D24">
    <cfRule type="cellIs" dxfId="229" priority="115" stopIfTrue="1" operator="lessThan">
      <formula>$B$2</formula>
    </cfRule>
  </conditionalFormatting>
  <conditionalFormatting sqref="F18">
    <cfRule type="cellIs" dxfId="228" priority="87" stopIfTrue="1" operator="lessThan">
      <formula>$B$2</formula>
    </cfRule>
  </conditionalFormatting>
  <conditionalFormatting sqref="F22">
    <cfRule type="cellIs" dxfId="227" priority="86" stopIfTrue="1" operator="lessThan">
      <formula>$B$2</formula>
    </cfRule>
  </conditionalFormatting>
  <conditionalFormatting sqref="F21">
    <cfRule type="cellIs" dxfId="226" priority="85" stopIfTrue="1" operator="lessThan">
      <formula>$B$2</formula>
    </cfRule>
  </conditionalFormatting>
  <conditionalFormatting sqref="B4:B11 E4:E11 E18:E23 B17:B23 B13 E13">
    <cfRule type="cellIs" dxfId="225" priority="83" stopIfTrue="1" operator="equal">
      <formula>"已过期"</formula>
    </cfRule>
  </conditionalFormatting>
  <conditionalFormatting sqref="F28">
    <cfRule type="cellIs" dxfId="224" priority="80" stopIfTrue="1" operator="lessThan">
      <formula>$B$2</formula>
    </cfRule>
  </conditionalFormatting>
  <conditionalFormatting sqref="F28">
    <cfRule type="expression" dxfId="223" priority="124">
      <formula>AND($E28-TODAY()&lt;30,TODAY()&lt;$E28)</formula>
    </cfRule>
  </conditionalFormatting>
  <conditionalFormatting sqref="C5">
    <cfRule type="expression" dxfId="222" priority="75">
      <formula>AND($C5-TODAY()&lt;30,TODAY()&lt;$C5)</formula>
    </cfRule>
  </conditionalFormatting>
  <conditionalFormatting sqref="C5">
    <cfRule type="cellIs" dxfId="221" priority="76" stopIfTrue="1" operator="lessThan">
      <formula>$B$2</formula>
    </cfRule>
  </conditionalFormatting>
  <conditionalFormatting sqref="C4:C6">
    <cfRule type="expression" dxfId="220" priority="73">
      <formula>AND($C4-TODAY()&lt;30,TODAY()&lt;$C4)</formula>
    </cfRule>
  </conditionalFormatting>
  <conditionalFormatting sqref="C4:C6">
    <cfRule type="cellIs" dxfId="219" priority="74" stopIfTrue="1" operator="lessThan">
      <formula>$B$2</formula>
    </cfRule>
  </conditionalFormatting>
  <conditionalFormatting sqref="C8:C9">
    <cfRule type="expression" dxfId="218" priority="71">
      <formula>AND($C8-TODAY()&lt;30,TODAY()&lt;$C8)</formula>
    </cfRule>
  </conditionalFormatting>
  <conditionalFormatting sqref="C8:C9">
    <cfRule type="cellIs" dxfId="217" priority="72" stopIfTrue="1" operator="lessThan">
      <formula>$B$2</formula>
    </cfRule>
  </conditionalFormatting>
  <conditionalFormatting sqref="C7">
    <cfRule type="expression" dxfId="216" priority="54">
      <formula>AND($C7-TODAY()&lt;30,TODAY()&lt;$C7)</formula>
    </cfRule>
  </conditionalFormatting>
  <conditionalFormatting sqref="C7">
    <cfRule type="cellIs" dxfId="215" priority="55" stopIfTrue="1" operator="lessThan">
      <formula>$B$2</formula>
    </cfRule>
  </conditionalFormatting>
  <conditionalFormatting sqref="C13 C23 C17:C21">
    <cfRule type="expression" dxfId="214" priority="52">
      <formula>AND($C13-TODAY()&lt;30,TODAY()&lt;$C13)</formula>
    </cfRule>
  </conditionalFormatting>
  <conditionalFormatting sqref="C13 C23 C17:C21">
    <cfRule type="cellIs" dxfId="213" priority="53" stopIfTrue="1" operator="lessThan">
      <formula>$B$2</formula>
    </cfRule>
  </conditionalFormatting>
  <conditionalFormatting sqref="F13">
    <cfRule type="cellIs" dxfId="212" priority="51" stopIfTrue="1" operator="lessThan">
      <formula>$B$2</formula>
    </cfRule>
  </conditionalFormatting>
  <conditionalFormatting sqref="F12">
    <cfRule type="cellIs" dxfId="211" priority="43" stopIfTrue="1" operator="lessThan">
      <formula>$B$2</formula>
    </cfRule>
  </conditionalFormatting>
  <conditionalFormatting sqref="B12 E12">
    <cfRule type="cellIs" dxfId="210" priority="42" stopIfTrue="1" operator="equal">
      <formula>"已过期"</formula>
    </cfRule>
  </conditionalFormatting>
  <conditionalFormatting sqref="C12">
    <cfRule type="expression" dxfId="209" priority="40">
      <formula>AND($C12-TODAY()&lt;30,TODAY()&lt;$C12)</formula>
    </cfRule>
  </conditionalFormatting>
  <conditionalFormatting sqref="C12">
    <cfRule type="cellIs" dxfId="208" priority="41" stopIfTrue="1" operator="lessThan">
      <formula>$B$2</formula>
    </cfRule>
  </conditionalFormatting>
  <conditionalFormatting sqref="C22">
    <cfRule type="expression" dxfId="207" priority="32">
      <formula>AND($C22-TODAY()&lt;30,TODAY()&lt;$C22)</formula>
    </cfRule>
  </conditionalFormatting>
  <conditionalFormatting sqref="C22">
    <cfRule type="cellIs" dxfId="206" priority="33" stopIfTrue="1" operator="lessThan">
      <formula>$B$2</formula>
    </cfRule>
  </conditionalFormatting>
  <conditionalFormatting sqref="C16">
    <cfRule type="expression" dxfId="205" priority="30">
      <formula>AND($C16-TODAY()&lt;30,TODAY()&lt;$C16)</formula>
    </cfRule>
  </conditionalFormatting>
  <conditionalFormatting sqref="C16">
    <cfRule type="cellIs" dxfId="204" priority="31" stopIfTrue="1" operator="lessThan">
      <formula>$B$2</formula>
    </cfRule>
  </conditionalFormatting>
  <conditionalFormatting sqref="C16">
    <cfRule type="expression" dxfId="203" priority="28">
      <formula>AND($C16-TODAY()&lt;30,TODAY()&lt;$C16)</formula>
    </cfRule>
  </conditionalFormatting>
  <conditionalFormatting sqref="C16">
    <cfRule type="cellIs" dxfId="202" priority="29" stopIfTrue="1" operator="lessThan">
      <formula>$B$2</formula>
    </cfRule>
  </conditionalFormatting>
  <conditionalFormatting sqref="B16">
    <cfRule type="cellIs" dxfId="201" priority="27" stopIfTrue="1" operator="equal">
      <formula>"已过期"</formula>
    </cfRule>
  </conditionalFormatting>
  <conditionalFormatting sqref="C14:C15">
    <cfRule type="expression" dxfId="200" priority="25">
      <formula>AND($C14-TODAY()&lt;30,TODAY()&lt;$C14)</formula>
    </cfRule>
  </conditionalFormatting>
  <conditionalFormatting sqref="C14:C15">
    <cfRule type="cellIs" dxfId="199" priority="26" stopIfTrue="1" operator="lessThan">
      <formula>$B$2</formula>
    </cfRule>
  </conditionalFormatting>
  <conditionalFormatting sqref="C14">
    <cfRule type="expression" dxfId="198" priority="23">
      <formula>AND($C14-TODAY()&lt;30,TODAY()&lt;$C14)</formula>
    </cfRule>
  </conditionalFormatting>
  <conditionalFormatting sqref="C14">
    <cfRule type="cellIs" dxfId="197" priority="24" stopIfTrue="1" operator="lessThan">
      <formula>$B$2</formula>
    </cfRule>
  </conditionalFormatting>
  <conditionalFormatting sqref="C15">
    <cfRule type="expression" dxfId="196" priority="21">
      <formula>AND($C15-TODAY()&lt;30,TODAY()&lt;$C15)</formula>
    </cfRule>
  </conditionalFormatting>
  <conditionalFormatting sqref="C15">
    <cfRule type="cellIs" dxfId="195" priority="22" stopIfTrue="1" operator="lessThan">
      <formula>$B$2</formula>
    </cfRule>
  </conditionalFormatting>
  <conditionalFormatting sqref="B14">
    <cfRule type="cellIs" dxfId="194" priority="20" stopIfTrue="1" operator="equal">
      <formula>"已过期"</formula>
    </cfRule>
  </conditionalFormatting>
  <conditionalFormatting sqref="B15">
    <cfRule type="cellIs" dxfId="193" priority="19" stopIfTrue="1" operator="equal">
      <formula>"已过期"</formula>
    </cfRule>
  </conditionalFormatting>
  <conditionalFormatting sqref="A15">
    <cfRule type="cellIs" dxfId="192" priority="18" stopIfTrue="1" operator="equal">
      <formula>"已过期"</formula>
    </cfRule>
  </conditionalFormatting>
  <conditionalFormatting sqref="C15">
    <cfRule type="expression" dxfId="191" priority="17">
      <formula>AND($C15-TODAY()&lt;30,TODAY()&lt;$C15)</formula>
    </cfRule>
  </conditionalFormatting>
  <conditionalFormatting sqref="F16">
    <cfRule type="cellIs" dxfId="190" priority="16" stopIfTrue="1" operator="lessThan">
      <formula>$B$2</formula>
    </cfRule>
  </conditionalFormatting>
  <conditionalFormatting sqref="E16">
    <cfRule type="cellIs" dxfId="189" priority="15" stopIfTrue="1" operator="equal">
      <formula>"已过期"</formula>
    </cfRule>
  </conditionalFormatting>
  <conditionalFormatting sqref="E15">
    <cfRule type="cellIs" dxfId="188" priority="14" stopIfTrue="1" operator="equal">
      <formula>"已过期"</formula>
    </cfRule>
  </conditionalFormatting>
  <conditionalFormatting sqref="D15">
    <cfRule type="cellIs" dxfId="187" priority="13" stopIfTrue="1" operator="equal">
      <formula>"已过期"</formula>
    </cfRule>
  </conditionalFormatting>
  <conditionalFormatting sqref="F17">
    <cfRule type="cellIs" dxfId="186" priority="12" stopIfTrue="1" operator="lessThan">
      <formula>$B$2</formula>
    </cfRule>
  </conditionalFormatting>
  <conditionalFormatting sqref="E17">
    <cfRule type="cellIs" dxfId="185" priority="11" stopIfTrue="1" operator="equal">
      <formula>"已过期"</formula>
    </cfRule>
  </conditionalFormatting>
  <conditionalFormatting sqref="E14">
    <cfRule type="cellIs" dxfId="184" priority="10" stopIfTrue="1" operator="equal">
      <formula>"已过期"</formula>
    </cfRule>
  </conditionalFormatting>
  <conditionalFormatting sqref="F14">
    <cfRule type="cellIs" dxfId="183" priority="9" stopIfTrue="1" operator="lessThan">
      <formula>$B$2</formula>
    </cfRule>
  </conditionalFormatting>
  <conditionalFormatting sqref="C10:C11">
    <cfRule type="expression" dxfId="182" priority="5">
      <formula>AND($C10-TODAY()&lt;30,TODAY()&lt;$C10)</formula>
    </cfRule>
  </conditionalFormatting>
  <conditionalFormatting sqref="C10:C11">
    <cfRule type="cellIs" dxfId="181" priority="6" stopIfTrue="1" operator="lessThan">
      <formula>$B$2</formula>
    </cfRule>
  </conditionalFormatting>
  <conditionalFormatting sqref="F29">
    <cfRule type="cellIs" dxfId="180" priority="1" stopIfTrue="1" operator="lessThan">
      <formula>$B$2</formula>
    </cfRule>
  </conditionalFormatting>
  <conditionalFormatting sqref="F29">
    <cfRule type="expression" dxfId="179"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I29" sqref="AI2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3" t="s">
        <v>2950</v>
      </c>
      <c r="C18" s="1540"/>
    </row>
    <row r="19" spans="1:3">
      <c r="A19" s="8" t="s">
        <v>120</v>
      </c>
      <c r="B19" s="3063" t="s">
        <v>2958</v>
      </c>
      <c r="C19" s="1540"/>
    </row>
    <row r="20" spans="1:3">
      <c r="A20" s="8" t="s">
        <v>121</v>
      </c>
      <c r="B20" s="3063" t="s">
        <v>3006</v>
      </c>
      <c r="C20" s="1540"/>
    </row>
    <row r="21" spans="1:3">
      <c r="A21" s="8" t="s">
        <v>122</v>
      </c>
      <c r="B21" s="3063" t="s">
        <v>3596</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4083"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c r="D53" s="1752"/>
      <c r="E53" s="1752"/>
    </row>
    <row r="54" spans="1:5">
      <c r="A54" s="4083"/>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4083"/>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4083"/>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4083"/>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面积表(已废)</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 (车库)</vt:lpstr>
      <vt:lpstr>存贷款利率</vt:lpstr>
      <vt:lpstr>Sheet2</vt:lpstr>
      <vt:lpstr>不动产比较法-(商业)</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'不动产比较法-(商业)'!住宅朝向</vt:lpstr>
      <vt:lpstr>住宅朝向</vt:lpstr>
      <vt:lpstr>'不动产比较法-(商业)'!住宅房型</vt:lpstr>
      <vt:lpstr>住宅房型</vt:lpstr>
      <vt:lpstr>'不动产比较法-(商业)'!住宅公共部分装修</vt:lpstr>
      <vt:lpstr>住宅公共部分装修</vt:lpstr>
      <vt:lpstr>'不动产比较法-(商业)'!住宅基础设施水平</vt:lpstr>
      <vt:lpstr>住宅基础设施水平</vt:lpstr>
      <vt:lpstr>'不动产比较法-(商业)'!住宅建筑结构</vt:lpstr>
      <vt:lpstr>住宅建筑结构</vt:lpstr>
      <vt:lpstr>'不动产比较法-(商业)'!住宅建筑类型</vt:lpstr>
      <vt:lpstr>住宅建筑类型</vt:lpstr>
      <vt:lpstr>'不动产比较法-(商业)'!住宅建筑品质</vt:lpstr>
      <vt:lpstr>住宅建筑品质</vt:lpstr>
      <vt:lpstr>'不动产比较法-(商业)'!住宅交易情况</vt:lpstr>
      <vt:lpstr>住宅交易情况</vt:lpstr>
      <vt:lpstr>'不动产比较法-(商业)'!住宅楼层</vt:lpstr>
      <vt:lpstr>住宅楼层</vt:lpstr>
      <vt:lpstr>'不动产比较法-(商业)'!住宅内部装修</vt:lpstr>
      <vt:lpstr>住宅内部装修</vt:lpstr>
      <vt:lpstr>'不动产比较法-(商业)'!住宅物业管理</vt:lpstr>
      <vt:lpstr>住宅物业管理</vt:lpstr>
      <vt:lpstr>'不动产比较法-(商业)'!住宅用途</vt:lpstr>
      <vt:lpstr>住宅用途</vt:lpstr>
      <vt:lpstr>'不动产比较法-(商业)'!住宅主力户型面积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2019-07-25T08:23:30Z</dcterms:modified>
</cp:coreProperties>
</file>