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D:\桌面\密云麦当劳中行郑燚询价2.5\"/>
    </mc:Choice>
  </mc:AlternateContent>
  <xr:revisionPtr revIDLastSave="0" documentId="13_ncr:1_{6C11C6B2-C903-4EC4-B57C-EA5E2DD585B6}"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0" i="1" l="1"/>
  <c r="C30" i="1"/>
  <c r="I20" i="1"/>
  <c r="C6" i="11" l="1"/>
  <c r="B37" i="1" l="1"/>
  <c r="C27" i="62"/>
  <c r="F53" i="15"/>
  <c r="G20" i="1" l="1"/>
  <c r="E13" i="1"/>
  <c r="D14" i="9" l="1"/>
  <c r="D2" i="4"/>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G22" i="11" s="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P35" i="59"/>
  <c r="AA35" i="59" s="1"/>
  <c r="O35" i="59"/>
  <c r="Y35" i="59" s="1"/>
  <c r="Z35" i="59" s="1"/>
  <c r="N35" i="59"/>
  <c r="X35" i="59" s="1"/>
  <c r="Q34" i="59"/>
  <c r="P34" i="59"/>
  <c r="AA34" i="59" s="1"/>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AA30" i="59" s="1"/>
  <c r="O30" i="59"/>
  <c r="Y30" i="59" s="1"/>
  <c r="Z30" i="59" s="1"/>
  <c r="C31" i="59"/>
  <c r="D31" i="59" s="1"/>
  <c r="N30" i="59"/>
  <c r="B31" i="59"/>
  <c r="B32" i="59" s="1"/>
  <c r="B33" i="59" s="1"/>
  <c r="S33" i="59" s="1"/>
  <c r="D30" i="59"/>
  <c r="O29" i="59"/>
  <c r="N29" i="59"/>
  <c r="B29" i="59" s="1"/>
  <c r="C29" i="59"/>
  <c r="T29" i="59"/>
  <c r="Y26" i="59"/>
  <c r="Z26" i="59"/>
  <c r="Y27" i="59"/>
  <c r="Z27" i="59"/>
  <c r="Y29" i="59"/>
  <c r="Z29" i="59"/>
  <c r="Y28" i="59"/>
  <c r="Z28" i="59"/>
  <c r="X29" i="59"/>
  <c r="X26" i="59"/>
  <c r="C32" i="59"/>
  <c r="C33" i="59" s="1"/>
  <c r="C36" i="59"/>
  <c r="C37" i="59" s="1"/>
  <c r="C40" i="59"/>
  <c r="C41" i="59" s="1"/>
  <c r="D39" i="59"/>
  <c r="C44" i="59"/>
  <c r="C45" i="59" s="1"/>
  <c r="D43" i="59"/>
  <c r="C48" i="59"/>
  <c r="D48" i="59" s="1"/>
  <c r="D47" i="59"/>
  <c r="C52" i="59"/>
  <c r="D51" i="59"/>
  <c r="P29" i="59"/>
  <c r="U73" i="59"/>
  <c r="E72" i="59"/>
  <c r="E71" i="59" s="1"/>
  <c r="Q29" i="59"/>
  <c r="F29" i="59" s="1"/>
  <c r="N68" i="59"/>
  <c r="B67" i="59"/>
  <c r="N66" i="59" s="1"/>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9" i="59"/>
  <c r="AA26" i="59"/>
  <c r="C28" i="59"/>
  <c r="D29" i="59"/>
  <c r="C83" i="59"/>
  <c r="D83" i="59" s="1"/>
  <c r="D76" i="59"/>
  <c r="C53" i="59"/>
  <c r="T53" i="59" s="1"/>
  <c r="D52" i="59"/>
  <c r="D88" i="59"/>
  <c r="C87" i="59"/>
  <c r="D87" i="59"/>
  <c r="C79" i="59"/>
  <c r="D79" i="59" s="1"/>
  <c r="C67" i="59"/>
  <c r="D67" i="59" s="1"/>
  <c r="O68" i="59"/>
  <c r="D68" i="59"/>
  <c r="N67" i="59"/>
  <c r="D44" i="59"/>
  <c r="D40" i="59"/>
  <c r="D36" i="59"/>
  <c r="D32" i="59"/>
  <c r="D28" i="59"/>
  <c r="C27" i="59"/>
  <c r="D27" i="59" s="1"/>
  <c r="E28" i="59"/>
  <c r="E27" i="59" s="1"/>
  <c r="U29" i="59"/>
  <c r="O67" i="59"/>
  <c r="O66" i="59"/>
  <c r="D53" i="59"/>
  <c r="Q25" i="40"/>
  <c r="Z25" i="40" s="1"/>
  <c r="D93" i="40"/>
  <c r="E93" i="40" s="1"/>
  <c r="F93" i="40" s="1"/>
  <c r="G93" i="40" s="1"/>
  <c r="H25" i="40"/>
  <c r="U25" i="40" s="1"/>
  <c r="F25" i="40"/>
  <c r="AA25" i="40" s="1"/>
  <c r="Q27" i="39"/>
  <c r="Z27" i="39" s="1"/>
  <c r="D100" i="39"/>
  <c r="E100" i="39"/>
  <c r="F100" i="39" s="1"/>
  <c r="G100"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F71" i="15" s="1"/>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H22" i="35"/>
  <c r="AB22" i="35" s="1"/>
  <c r="U31" i="35"/>
  <c r="S32" i="35"/>
  <c r="S31" i="35"/>
  <c r="W31" i="35"/>
  <c r="U32" i="35"/>
  <c r="F36" i="34"/>
  <c r="AA36" i="34" s="1"/>
  <c r="U39" i="34"/>
  <c r="H39" i="33"/>
  <c r="AB39" i="33"/>
  <c r="S40" i="33"/>
  <c r="W8" i="21"/>
  <c r="H39" i="37"/>
  <c r="AB39" i="37" s="1"/>
  <c r="S27" i="35"/>
  <c r="F11" i="40"/>
  <c r="AA11" i="40" s="1"/>
  <c r="S8" i="40"/>
  <c r="H11" i="40"/>
  <c r="AB11" i="40"/>
  <c r="U9" i="40"/>
  <c r="U34" i="40"/>
  <c r="W39"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A12" i="33"/>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c r="F36" i="40"/>
  <c r="AA36" i="40"/>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H55" i="39"/>
  <c r="S30" i="40"/>
  <c r="H16" i="44"/>
  <c r="D17" i="43"/>
  <c r="I17" i="43"/>
  <c r="D108" i="9"/>
  <c r="F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C25" i="57"/>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78" i="9"/>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s="1"/>
  <c r="D19" i="11"/>
  <c r="C20" i="12"/>
  <c r="C19" i="12"/>
  <c r="G41" i="11"/>
  <c r="E48" i="43"/>
  <c r="H113" i="43"/>
  <c r="X7" i="43"/>
  <c r="E59" i="43"/>
  <c r="B57" i="43" s="1"/>
  <c r="E70" i="43"/>
  <c r="B68" i="43" s="1"/>
  <c r="AG11" i="43"/>
  <c r="AC11" i="43"/>
  <c r="Y11" i="43"/>
  <c r="Y13" i="43" s="1"/>
  <c r="AH11" i="43"/>
  <c r="AD11" i="43"/>
  <c r="Z11" i="43"/>
  <c r="B46" i="43"/>
  <c r="C7" i="39"/>
  <c r="C67" i="39" s="1"/>
  <c r="C69" i="39" s="1"/>
  <c r="C53" i="10"/>
  <c r="D123" i="9"/>
  <c r="D6" i="52" s="1"/>
  <c r="D124" i="9"/>
  <c r="D7" i="52"/>
  <c r="N49" i="57"/>
  <c r="B58" i="60"/>
  <c r="L109"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M12" i="43"/>
  <c r="M8" i="43"/>
  <c r="N7" i="43"/>
  <c r="M3" i="43"/>
  <c r="M11" i="43"/>
  <c r="N8" i="43"/>
  <c r="H8" i="44"/>
  <c r="H12" i="44"/>
  <c r="C62" i="39"/>
  <c r="M85" i="43"/>
  <c r="N85" i="43" s="1"/>
  <c r="K85" i="43"/>
  <c r="J85" i="43" s="1"/>
  <c r="D85" i="43"/>
  <c r="M82" i="43"/>
  <c r="N82" i="43"/>
  <c r="K83" i="43"/>
  <c r="J83" i="43"/>
  <c r="D83" i="43"/>
  <c r="H81" i="43"/>
  <c r="B115" i="43"/>
  <c r="C115" i="43" s="1"/>
  <c r="D118" i="43"/>
  <c r="E118" i="43" s="1"/>
  <c r="F118" i="43" s="1"/>
  <c r="M7" i="15"/>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K87" i="43"/>
  <c r="J87" i="43" s="1"/>
  <c r="D87" i="43"/>
  <c r="C3" i="4"/>
  <c r="B4" i="55" s="1"/>
  <c r="B53" i="60" s="1"/>
  <c r="L106" i="9"/>
  <c r="A18" i="55" s="1"/>
  <c r="B48" i="60" s="1"/>
  <c r="M84" i="43"/>
  <c r="N84" i="43" s="1"/>
  <c r="K84" i="43"/>
  <c r="J84" i="43" s="1"/>
  <c r="D84" i="43"/>
  <c r="E81" i="43" s="1"/>
  <c r="B79" i="43" s="1"/>
  <c r="M81" i="43"/>
  <c r="N81" i="43"/>
  <c r="K81" i="43"/>
  <c r="J81" i="43"/>
  <c r="D81" i="43"/>
  <c r="M88" i="43"/>
  <c r="N88" i="43" s="1"/>
  <c r="K88" i="43"/>
  <c r="J88" i="43" s="1"/>
  <c r="D88" i="43"/>
  <c r="I114" i="57"/>
  <c r="D131" i="57"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F20" i="59" s="1"/>
  <c r="F19" i="59" s="1"/>
  <c r="F18" i="59" s="1"/>
  <c r="F17" i="59" s="1"/>
  <c r="C22" i="59"/>
  <c r="X3" i="59"/>
  <c r="Y3" i="59"/>
  <c r="Z3" i="59" s="1"/>
  <c r="F48" i="43"/>
  <c r="H50" i="43" s="1"/>
  <c r="G4" i="47"/>
  <c r="S25" i="59"/>
  <c r="B24" i="59"/>
  <c r="B23" i="59"/>
  <c r="B22" i="59" s="1"/>
  <c r="B21" i="59" s="1"/>
  <c r="V21" i="59"/>
  <c r="AC30" i="35"/>
  <c r="AB30" i="35"/>
  <c r="U30" i="35"/>
  <c r="I116" i="57"/>
  <c r="D133" i="57" s="1"/>
  <c r="I14" i="62" s="1"/>
  <c r="B8" i="62" s="1"/>
  <c r="D120" i="57"/>
  <c r="I114" i="9"/>
  <c r="D129" i="9" s="1"/>
  <c r="I112" i="9"/>
  <c r="D116" i="9"/>
  <c r="D114" i="9"/>
  <c r="D115" i="9"/>
  <c r="I113" i="9" s="1"/>
  <c r="H23" i="31"/>
  <c r="F6" i="61"/>
  <c r="E2" i="33"/>
  <c r="D20" i="57"/>
  <c r="D3" i="61"/>
  <c r="E2" i="11"/>
  <c r="D19" i="57"/>
  <c r="F4" i="61"/>
  <c r="E2" i="34"/>
  <c r="E2" i="35"/>
  <c r="F7" i="61"/>
  <c r="F3" i="61"/>
  <c r="E2" i="37"/>
  <c r="F5" i="61"/>
  <c r="E2" i="36"/>
  <c r="D5" i="61"/>
  <c r="C20" i="57"/>
  <c r="E2" i="21"/>
  <c r="C19" i="57"/>
  <c r="F19" i="1" l="1"/>
  <c r="D19" i="1"/>
  <c r="D18" i="1"/>
  <c r="D24" i="15"/>
  <c r="C27" i="15"/>
  <c r="C21" i="11"/>
  <c r="C29" i="11" s="1"/>
  <c r="D27" i="11" s="1"/>
  <c r="J6" i="15"/>
  <c r="C18" i="9"/>
  <c r="D18" i="9" s="1"/>
  <c r="C14" i="12"/>
  <c r="D95" i="57"/>
  <c r="D93" i="9"/>
  <c r="M60" i="15"/>
  <c r="F18" i="1"/>
  <c r="C11" i="12" s="1"/>
  <c r="C15" i="12" s="1"/>
  <c r="F50" i="11"/>
  <c r="D20" i="1"/>
  <c r="F34" i="11"/>
  <c r="D39" i="50"/>
  <c r="D40" i="50" s="1"/>
  <c r="C116" i="9"/>
  <c r="H114" i="9" s="1"/>
  <c r="C106" i="9"/>
  <c r="H102" i="9" s="1"/>
  <c r="C114" i="57"/>
  <c r="H109" i="57" s="1"/>
  <c r="J22" i="43"/>
  <c r="D116" i="43"/>
  <c r="E116" i="43" s="1"/>
  <c r="F116" i="43" s="1"/>
  <c r="G116" i="43" s="1"/>
  <c r="H116" i="43" s="1"/>
  <c r="B116" i="43"/>
  <c r="C116" i="43" s="1"/>
  <c r="D115" i="43"/>
  <c r="E115" i="43" s="1"/>
  <c r="F115" i="43" s="1"/>
  <c r="G104" i="43"/>
  <c r="D102" i="43"/>
  <c r="H104" i="43"/>
  <c r="N104" i="46"/>
  <c r="K106" i="43"/>
  <c r="Z7" i="43"/>
  <c r="AB11" i="43"/>
  <c r="AB13" i="43" s="1"/>
  <c r="AF11" i="43"/>
  <c r="AF13" i="43" s="1"/>
  <c r="AJ11" i="43"/>
  <c r="AJ13" i="43" s="1"/>
  <c r="AA11" i="43"/>
  <c r="AA13" i="43" s="1"/>
  <c r="AE11" i="43"/>
  <c r="AE13" i="43" s="1"/>
  <c r="AI11" i="43"/>
  <c r="AI13" i="43" s="1"/>
  <c r="H102" i="43"/>
  <c r="G103" i="43"/>
  <c r="F101" i="43"/>
  <c r="J101" i="43"/>
  <c r="N101" i="43"/>
  <c r="E101" i="43"/>
  <c r="I101" i="43"/>
  <c r="M101" i="43"/>
  <c r="D42" i="50"/>
  <c r="D43" i="50" s="1"/>
  <c r="B20" i="59"/>
  <c r="B19" i="59" s="1"/>
  <c r="B18" i="59" s="1"/>
  <c r="B17" i="59" s="1"/>
  <c r="S21" i="59"/>
  <c r="C21" i="59"/>
  <c r="D22" i="59"/>
  <c r="F16" i="59"/>
  <c r="F15" i="59" s="1"/>
  <c r="F14" i="59" s="1"/>
  <c r="F13" i="59" s="1"/>
  <c r="V17" i="59"/>
  <c r="U23" i="39"/>
  <c r="S27" i="36"/>
  <c r="S24" i="36"/>
  <c r="W17" i="21"/>
  <c r="AB15" i="34"/>
  <c r="U15" i="34"/>
  <c r="W38" i="21"/>
  <c r="AC38" i="21"/>
  <c r="AB8" i="33"/>
  <c r="U8" i="33"/>
  <c r="AC10" i="33"/>
  <c r="W10" i="33"/>
  <c r="AC9" i="35"/>
  <c r="W9" i="35"/>
  <c r="U34" i="36"/>
  <c r="AB34" i="36"/>
  <c r="AA25" i="33"/>
  <c r="S25" i="33"/>
  <c r="U39" i="39"/>
  <c r="AB39" i="39"/>
  <c r="F12" i="21"/>
  <c r="J12" i="21"/>
  <c r="H12" i="21"/>
  <c r="U12" i="33"/>
  <c r="AB12" i="33"/>
  <c r="J26" i="33"/>
  <c r="F26" i="33"/>
  <c r="F9" i="35"/>
  <c r="H9" i="35"/>
  <c r="F12" i="35"/>
  <c r="H12" i="35"/>
  <c r="J36" i="35"/>
  <c r="D4" i="47"/>
  <c r="F4" i="47" s="1"/>
  <c r="B2" i="47" s="1"/>
  <c r="B75" i="43"/>
  <c r="B55" i="43"/>
  <c r="B66" i="43"/>
  <c r="F28" i="59"/>
  <c r="F27" i="59" s="1"/>
  <c r="V29" i="59"/>
  <c r="D37" i="59"/>
  <c r="T37" i="59"/>
  <c r="B28" i="59"/>
  <c r="B27" i="59" s="1"/>
  <c r="S29" i="59"/>
  <c r="F25" i="37"/>
  <c r="J25" i="37"/>
  <c r="F44" i="39"/>
  <c r="S21" i="21"/>
  <c r="S21" i="37"/>
  <c r="C29" i="39"/>
  <c r="C25" i="40"/>
  <c r="D45" i="59"/>
  <c r="T45" i="59"/>
  <c r="D41" i="59"/>
  <c r="T41" i="59"/>
  <c r="D33" i="59"/>
  <c r="T33" i="59"/>
  <c r="D55" i="59"/>
  <c r="C56" i="59"/>
  <c r="D59" i="59"/>
  <c r="C60" i="59"/>
  <c r="D63" i="59"/>
  <c r="C64" i="59"/>
  <c r="D72" i="59"/>
  <c r="AA3" i="59"/>
  <c r="AA28" i="59"/>
  <c r="AB28" i="59"/>
  <c r="AB26" i="59"/>
  <c r="X27" i="59"/>
  <c r="X28" i="59"/>
  <c r="X30" i="59"/>
  <c r="E31" i="59"/>
  <c r="E32" i="59" s="1"/>
  <c r="E33" i="59" s="1"/>
  <c r="U33" i="59" s="1"/>
  <c r="AB30" i="59"/>
  <c r="F31" i="59"/>
  <c r="F32" i="59" s="1"/>
  <c r="F33" i="59" s="1"/>
  <c r="V33" i="59" s="1"/>
  <c r="AB31" i="59"/>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7" i="59"/>
  <c r="Z7" i="59" s="1"/>
  <c r="Y5" i="59"/>
  <c r="Z5" i="59" s="1"/>
  <c r="Y6" i="59"/>
  <c r="Z6" i="59" s="1"/>
  <c r="Y8" i="59"/>
  <c r="Z8" i="59" s="1"/>
  <c r="Y10" i="59"/>
  <c r="Z10" i="59" s="1"/>
  <c r="Y9" i="59"/>
  <c r="Z9" i="59" s="1"/>
  <c r="Y12" i="59"/>
  <c r="Z12" i="59" s="1"/>
  <c r="AA7" i="59"/>
  <c r="AA8" i="59"/>
  <c r="AA9" i="59"/>
  <c r="AA5" i="59"/>
  <c r="AA6" i="59"/>
  <c r="AA11" i="59"/>
  <c r="AA10" i="59"/>
  <c r="F68" i="59"/>
  <c r="E68" i="59"/>
  <c r="N69" i="59"/>
  <c r="B72" i="59"/>
  <c r="B71" i="59" s="1"/>
  <c r="F72" i="59"/>
  <c r="F71" i="59" s="1"/>
  <c r="AE10" i="43"/>
  <c r="Z12" i="43"/>
  <c r="Z13" i="43" s="1"/>
  <c r="Z10" i="43"/>
  <c r="AD12" i="43"/>
  <c r="AD13" i="43" s="1"/>
  <c r="AD10" i="43"/>
  <c r="AH12" i="43"/>
  <c r="AH13" i="43" s="1"/>
  <c r="AH10" i="43"/>
  <c r="AA22" i="59"/>
  <c r="AA25" i="59"/>
  <c r="E16" i="59"/>
  <c r="E15" i="59" s="1"/>
  <c r="E14" i="59" s="1"/>
  <c r="E13" i="59" s="1"/>
  <c r="U17" i="59"/>
  <c r="Y25" i="59"/>
  <c r="Z25" i="59" s="1"/>
  <c r="AB23" i="59"/>
  <c r="AB22" i="59"/>
  <c r="Y22" i="59"/>
  <c r="Z22" i="59" s="1"/>
  <c r="AA18" i="59"/>
  <c r="AA17" i="59"/>
  <c r="X8" i="59"/>
  <c r="X6" i="59"/>
  <c r="X5" i="59"/>
  <c r="X7" i="59"/>
  <c r="X11" i="59"/>
  <c r="X9" i="59"/>
  <c r="X10" i="59"/>
  <c r="X12" i="59"/>
  <c r="AB8" i="59"/>
  <c r="AB6" i="59"/>
  <c r="AB7" i="59"/>
  <c r="AB5" i="59"/>
  <c r="AB10" i="59"/>
  <c r="AB9" i="59"/>
  <c r="AB11" i="59"/>
  <c r="P69" i="59"/>
  <c r="AC12" i="43"/>
  <c r="AC13" i="43" s="1"/>
  <c r="AC10" i="43"/>
  <c r="AG12" i="43"/>
  <c r="AG13" i="43" s="1"/>
  <c r="AG10" i="43"/>
  <c r="X23" i="59"/>
  <c r="AA20" i="59"/>
  <c r="X22" i="59"/>
  <c r="Y20" i="59"/>
  <c r="Z20" i="59" s="1"/>
  <c r="AB18" i="59"/>
  <c r="X18" i="59"/>
  <c r="AB17" i="59"/>
  <c r="Y19" i="59"/>
  <c r="Z19" i="59" s="1"/>
  <c r="Y13" i="59"/>
  <c r="Z13" i="59" s="1"/>
  <c r="AB15" i="59"/>
  <c r="A8" i="52"/>
  <c r="B65" i="60" s="1"/>
  <c r="Y24" i="59"/>
  <c r="Z24" i="59" s="1"/>
  <c r="X16" i="59"/>
  <c r="AA16" i="59"/>
  <c r="AB14" i="59"/>
  <c r="AA12" i="59"/>
  <c r="AA13" i="59"/>
  <c r="AA15" i="59"/>
  <c r="X14" i="59"/>
  <c r="X13" i="59"/>
  <c r="V25" i="59"/>
  <c r="X25" i="59"/>
  <c r="Y18" i="59"/>
  <c r="Z18" i="59" s="1"/>
  <c r="Y16" i="59"/>
  <c r="Z16" i="59" s="1"/>
  <c r="AB16" i="59"/>
  <c r="AB13" i="59"/>
  <c r="AB12" i="59"/>
  <c r="Y11" i="59"/>
  <c r="Z11" i="59" s="1"/>
  <c r="Y14" i="59"/>
  <c r="Z14" i="59" s="1"/>
  <c r="Y15" i="59"/>
  <c r="Z15" i="59" s="1"/>
  <c r="AA14"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E104" i="43"/>
  <c r="E107" i="43"/>
  <c r="N103" i="43"/>
  <c r="J106" i="43"/>
  <c r="F105" i="43"/>
  <c r="N104"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7" i="61"/>
  <c r="D6" i="61"/>
  <c r="D4" i="61"/>
  <c r="G1" i="61"/>
  <c r="J18" i="15" l="1"/>
  <c r="C105" i="57"/>
  <c r="H1" i="15"/>
  <c r="C12" i="12"/>
  <c r="C16" i="12" s="1"/>
  <c r="I102" i="43"/>
  <c r="I103" i="43"/>
  <c r="N107" i="43"/>
  <c r="N106" i="43"/>
  <c r="N109" i="43"/>
  <c r="N102" i="43"/>
  <c r="N105" i="43"/>
  <c r="F104" i="43"/>
  <c r="F106" i="43"/>
  <c r="F103" i="43"/>
  <c r="F102" i="43"/>
  <c r="I106" i="43"/>
  <c r="F109" i="43"/>
  <c r="I109" i="43"/>
  <c r="M109" i="43"/>
  <c r="M104" i="43"/>
  <c r="M107" i="43"/>
  <c r="E109" i="43"/>
  <c r="E102" i="43"/>
  <c r="S7" i="43" s="1"/>
  <c r="E105" i="43"/>
  <c r="E106" i="43"/>
  <c r="J102" i="43"/>
  <c r="J107" i="43"/>
  <c r="J104" i="43"/>
  <c r="J7" i="37"/>
  <c r="AC7" i="37" s="1"/>
  <c r="V42" i="37" s="1"/>
  <c r="I42" i="37" s="1"/>
  <c r="H67" i="39"/>
  <c r="H69" i="39" s="1"/>
  <c r="F7" i="35"/>
  <c r="S7" i="35" s="1"/>
  <c r="D69" i="39"/>
  <c r="H7" i="37"/>
  <c r="AB7" i="37" s="1"/>
  <c r="T42" i="37" s="1"/>
  <c r="G42" i="37" s="1"/>
  <c r="G46" i="37" s="1"/>
  <c r="H46" i="37" s="1"/>
  <c r="F67" i="59"/>
  <c r="Q68" i="59"/>
  <c r="M19" i="43"/>
  <c r="U41" i="59"/>
  <c r="AC25" i="37"/>
  <c r="W25" i="37"/>
  <c r="AC36" i="35"/>
  <c r="W36" i="35"/>
  <c r="S12" i="35"/>
  <c r="AA12" i="35"/>
  <c r="AA9" i="35"/>
  <c r="S9" i="35"/>
  <c r="W26" i="33"/>
  <c r="AC26" i="33"/>
  <c r="AC12" i="21"/>
  <c r="W12" i="21"/>
  <c r="P68" i="59"/>
  <c r="E67" i="59"/>
  <c r="D64" i="59"/>
  <c r="C65" i="59"/>
  <c r="D60" i="59"/>
  <c r="C61" i="59"/>
  <c r="D56" i="59"/>
  <c r="C57" i="59"/>
  <c r="AA44" i="39"/>
  <c r="S44" i="39"/>
  <c r="AA25" i="37"/>
  <c r="S25" i="37"/>
  <c r="U12" i="35"/>
  <c r="AB12" i="35"/>
  <c r="AB9" i="35"/>
  <c r="U9" i="35"/>
  <c r="S26" i="33"/>
  <c r="AA26" i="33"/>
  <c r="AB12" i="21"/>
  <c r="U12" i="21"/>
  <c r="S12" i="21"/>
  <c r="AA12" i="21"/>
  <c r="C20" i="59"/>
  <c r="D21" i="59"/>
  <c r="T21" i="59"/>
  <c r="B16" i="59"/>
  <c r="B15" i="59" s="1"/>
  <c r="B14" i="59" s="1"/>
  <c r="B13" i="59" s="1"/>
  <c r="S17" i="59"/>
  <c r="F69" i="39"/>
  <c r="C7" i="43"/>
  <c r="U9" i="59"/>
  <c r="E8" i="59"/>
  <c r="V9" i="59"/>
  <c r="F8" i="59"/>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W7" i="37"/>
  <c r="AB7" i="33"/>
  <c r="T48" i="33" s="1"/>
  <c r="G48" i="33" s="1"/>
  <c r="U7" i="33"/>
  <c r="F58" i="21"/>
  <c r="E59" i="34"/>
  <c r="AA7" i="35"/>
  <c r="R38" i="35" s="1"/>
  <c r="AA7" i="33"/>
  <c r="R48" i="33" s="1"/>
  <c r="S7" i="33"/>
  <c r="S6" i="43"/>
  <c r="C23" i="43"/>
  <c r="AB7" i="35"/>
  <c r="T38" i="35" s="1"/>
  <c r="G38" i="35" s="1"/>
  <c r="U7" i="35"/>
  <c r="S2" i="43"/>
  <c r="E46" i="36"/>
  <c r="F46" i="36" s="1"/>
  <c r="G46" i="36" s="1"/>
  <c r="H46" i="36" s="1"/>
  <c r="I46" i="36" s="1"/>
  <c r="J46" i="36" s="1"/>
  <c r="K46" i="36" s="1"/>
  <c r="L46" i="36" s="1"/>
  <c r="M46" i="36" s="1"/>
  <c r="N46" i="36" s="1"/>
  <c r="O46" i="36" s="1"/>
  <c r="I67"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S3" i="43" l="1"/>
  <c r="S5" i="43"/>
  <c r="S4" i="43"/>
  <c r="E42" i="37"/>
  <c r="C19" i="15"/>
  <c r="C20" i="15" s="1"/>
  <c r="C26" i="15" s="1"/>
  <c r="C19" i="59"/>
  <c r="D20" i="59"/>
  <c r="Q67" i="59"/>
  <c r="Q66" i="59"/>
  <c r="J7" i="36"/>
  <c r="S13" i="59"/>
  <c r="B12" i="59"/>
  <c r="B11" i="59" s="1"/>
  <c r="B10" i="59" s="1"/>
  <c r="B9" i="59" s="1"/>
  <c r="D57" i="59"/>
  <c r="T57" i="59"/>
  <c r="D61" i="59"/>
  <c r="T61" i="59"/>
  <c r="D65" i="59"/>
  <c r="T65" i="59"/>
  <c r="P66" i="59"/>
  <c r="P67" i="59"/>
  <c r="F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S9" i="59" l="1"/>
  <c r="B8" i="59"/>
  <c r="B7" i="59" s="1"/>
  <c r="B6" i="59" s="1"/>
  <c r="C18" i="59"/>
  <c r="D19"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D18" i="59"/>
  <c r="C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C16" i="59" l="1"/>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6" i="59" l="1"/>
  <c r="C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20" i="9"/>
  <c r="C19" i="9"/>
  <c r="C102" i="9" l="1"/>
  <c r="C101" i="9"/>
  <c r="C98" i="57"/>
  <c r="E98" i="57" s="1"/>
  <c r="E99" i="57" s="1"/>
  <c r="C14" i="59"/>
  <c r="D15"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3" i="59" l="1"/>
  <c r="D14"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T13" i="59" l="1"/>
  <c r="D13" i="59"/>
  <c r="C12" i="59"/>
  <c r="D35" i="9"/>
  <c r="D34" i="9" s="1"/>
  <c r="L64" i="40"/>
  <c r="M62" i="40"/>
  <c r="AA7" i="39"/>
  <c r="R47" i="39" s="1"/>
  <c r="R48" i="39" s="1"/>
  <c r="S7" i="39"/>
  <c r="M59" i="34"/>
  <c r="N59" i="34" s="1"/>
  <c r="O59" i="34" s="1"/>
  <c r="H7" i="34" s="1"/>
  <c r="AB7" i="39"/>
  <c r="U7" i="39"/>
  <c r="AC7" i="39"/>
  <c r="W7" i="39"/>
  <c r="L58" i="15"/>
  <c r="L61" i="15" s="1"/>
  <c r="C11" i="59" l="1"/>
  <c r="D12"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0" i="59" l="1"/>
  <c r="D11"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D22" i="9"/>
  <c r="G19" i="9"/>
  <c r="H17" i="1" s="1"/>
  <c r="D102" i="9"/>
  <c r="G20" i="9"/>
  <c r="D10" i="59"/>
  <c r="C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G17" i="1"/>
  <c r="C8" i="59"/>
  <c r="D9" i="59"/>
  <c r="T9" i="59"/>
  <c r="AC7" i="40"/>
  <c r="V42" i="40" s="1"/>
  <c r="I42" i="40" s="1"/>
  <c r="I46" i="40" s="1"/>
  <c r="J46" i="40" s="1"/>
  <c r="W7" i="40"/>
  <c r="S7" i="40"/>
  <c r="AA7" i="40"/>
  <c r="R42" i="40" s="1"/>
  <c r="R43" i="40" s="1"/>
  <c r="AB7" i="40"/>
  <c r="T42" i="40" s="1"/>
  <c r="G42" i="40" s="1"/>
  <c r="G46" i="40" s="1"/>
  <c r="H46" i="40" s="1"/>
  <c r="U7" i="40"/>
  <c r="C7" i="59" l="1"/>
  <c r="D8" i="59"/>
  <c r="G47" i="40"/>
  <c r="H47" i="40" s="1"/>
  <c r="E42" i="40"/>
  <c r="C6" i="59" l="1"/>
  <c r="D7" i="59"/>
  <c r="I47" i="40"/>
  <c r="J47" i="40" s="1"/>
  <c r="E47" i="40"/>
  <c r="F47" i="40" s="1"/>
  <c r="E46" i="40"/>
  <c r="F46" i="40" s="1"/>
  <c r="C43" i="40"/>
  <c r="C42" i="40"/>
  <c r="C5" i="59" l="1"/>
  <c r="D6"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8" i="9" l="1"/>
  <c r="N68" i="9" s="1"/>
  <c r="M67" i="9"/>
  <c r="N67" i="9" s="1"/>
  <c r="M63" i="9"/>
  <c r="N63" i="9" s="1"/>
  <c r="N69" i="9" s="1"/>
  <c r="O69" i="9" s="1"/>
  <c r="M64" i="9"/>
  <c r="N64" i="9" s="1"/>
  <c r="M66" i="9"/>
  <c r="N66" i="9" s="1"/>
  <c r="D8" i="50"/>
  <c r="B22" i="60" s="1"/>
  <c r="T5" i="59"/>
  <c r="M20" i="43"/>
  <c r="D5" i="59"/>
  <c r="F121" i="9"/>
  <c r="G121" i="9" s="1"/>
  <c r="D121" i="9"/>
  <c r="E121" i="9" s="1"/>
  <c r="H121" i="9"/>
  <c r="H122" i="9" s="1"/>
  <c r="F122" i="9" l="1"/>
  <c r="D122" i="9"/>
  <c r="D14" i="62"/>
  <c r="D27" i="62" s="1"/>
  <c r="C103" i="9"/>
  <c r="D106" i="9"/>
  <c r="D112" i="9" s="1"/>
  <c r="I102" i="9"/>
  <c r="I121" i="9"/>
  <c r="D107" i="9" l="1"/>
  <c r="D113" i="9" s="1"/>
  <c r="I111" i="9" s="1"/>
  <c r="D126" i="9" s="1"/>
  <c r="C104" i="9"/>
  <c r="I103" i="9"/>
  <c r="D117" i="9"/>
  <c r="I115" i="9" s="1"/>
  <c r="I110" i="9"/>
  <c r="D125" i="9" s="1"/>
  <c r="G14" i="62" s="1"/>
  <c r="B6" i="62" s="1"/>
  <c r="N48" i="9"/>
  <c r="D45" i="9"/>
  <c r="F14" i="62"/>
  <c r="B5" i="62"/>
  <c r="E14" i="62"/>
  <c r="C6" i="62" l="1"/>
  <c r="D6" i="62"/>
  <c r="D5" i="62"/>
  <c r="C5" i="62"/>
  <c r="D53" i="9"/>
  <c r="D48" i="9" s="1"/>
  <c r="N52" i="9" s="1"/>
  <c r="O57" i="9" s="1"/>
  <c r="C85" i="9"/>
  <c r="C72" i="9"/>
  <c r="C93" i="9"/>
  <c r="C86" i="9" s="1"/>
  <c r="C78" i="9"/>
  <c r="C73" i="9" s="1"/>
  <c r="C64" i="9"/>
  <c r="C63" i="9" s="1"/>
  <c r="C67" i="9" s="1"/>
  <c r="C68" i="9" s="1"/>
  <c r="D54" i="9" s="1"/>
  <c r="D52" i="9"/>
  <c r="C79" i="9" l="1"/>
  <c r="C95" i="9"/>
  <c r="O59" i="9"/>
  <c r="O58" i="9"/>
  <c r="Q57" i="9"/>
  <c r="C96" i="9" l="1"/>
  <c r="E96" i="9" s="1"/>
  <c r="E97" i="9" s="1"/>
  <c r="O60" i="9"/>
  <c r="O61" i="9"/>
  <c r="C80" i="9"/>
  <c r="E80" i="9" s="1"/>
  <c r="E81"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<sst xmlns="http://schemas.openxmlformats.org/spreadsheetml/2006/main" count="6905" uniqueCount="3046">
  <si>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</si>
  <si>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</si>
  <si>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</si>
  <si>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</si>
  <si>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</si>
  <si>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</si>
  <si>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</si>
  <si>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</si>
  <si>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</si>
  <si>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</si>
  <si>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</si>
  <si>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</si>
  <si>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</si>
  <si>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</si>
  <si>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</si>
  <si>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</si>
  <si>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</si>
  <si>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</si>
  <si>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</si>
  <si>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</si>
  <si>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</si>
  <si>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</si>
  <si>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</si>
  <si>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</si>
  <si>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</si>
  <si>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</si>
  <si>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</si>
  <si>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</si>
  <si>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</si>
  <si>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</si>
  <si>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</si>
  <si>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</si>
  <si>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</si>
  <si>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</si>
  <si>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</si>
  <si>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</si>
  <si>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</si>
  <si>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</si>
  <si>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</si>
  <si>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</si>
  <si>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</si>
  <si>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</si>
  <si>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</si>
  <si>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</si>
  <si>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</si>
  <si>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</si>
  <si>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</si>
  <si>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</si>
  <si>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</si>
  <si>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</si>
  <si>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</si>
  <si>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</si>
  <si>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</si>
  <si>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</si>
  <si>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</si>
  <si>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</si>
  <si>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</si>
  <si>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</si>
  <si>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</si>
  <si>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</si>
  <si>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</si>
  <si>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</si>
  <si>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</si>
  <si>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</si>
  <si>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</si>
  <si>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</si>
  <si>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</si>
  <si>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</si>
  <si>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</si>
  <si>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</si>
  <si>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</si>
  <si>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</si>
  <si>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</si>
  <si>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</si>
  <si>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</si>
  <si>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</si>
  <si>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</si>
  <si>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</si>
  <si>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</si>
  <si>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</si>
  <si>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</si>
  <si>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</si>
  <si>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</si>
  <si>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</si>
  <si>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</si>
  <si>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</si>
  <si>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</si>
  <si>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</si>
  <si>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</si>
  <si>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</si>
  <si>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</si>
  <si>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</si>
  <si>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</si>
  <si>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</si>
  <si>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</si>
  <si>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</si>
  <si>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</si>
  <si>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</si>
  <si>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</si>
  <si>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</si>
  <si>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</si>
  <si>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</si>
  <si>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</si>
  <si>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</si>
  <si>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</si>
  <si>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</si>
  <si>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</si>
  <si>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</si>
  <si>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</si>
  <si>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</si>
  <si>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</si>
  <si>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</si>
  <si>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</si>
  <si>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</si>
  <si>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</si>
  <si>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</si>
  <si>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</si>
  <si>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</si>
  <si>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</si>
  <si>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</si>
  <si>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</si>
  <si>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</si>
  <si>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</si>
  <si>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</si>
  <si>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</si>
  <si>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</si>
  <si>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</si>
  <si>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</si>
  <si>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</si>
  <si>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</si>
  <si>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</si>
  <si>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</si>
  <si>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</si>
  <si>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</si>
  <si>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</si>
  <si>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</si>
  <si>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</si>
  <si>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</si>
  <si>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</si>
  <si>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</si>
  <si>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</si>
  <si>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</si>
  <si>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</si>
  <si>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</si>
  <si>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</si>
  <si>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</si>
  <si>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</si>
  <si>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</si>
  <si>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</si>
  <si>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</si>
  <si>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</si>
  <si>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</si>
  <si>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</si>
  <si>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</si>
  <si>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</si>
  <si>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</si>
  <si>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</si>
  <si>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</si>
  <si>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</si>
  <si>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</si>
  <si>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</si>
  <si>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</si>
  <si>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</si>
  <si>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</si>
  <si>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</si>
  <si>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</si>
  <si>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</si>
  <si>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</si>
  <si>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</si>
  <si>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</si>
  <si>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</si>
  <si>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</si>
  <si>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</si>
  <si>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</si>
  <si>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</si>
  <si>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</si>
  <si>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</si>
  <si>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</si>
  <si>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</si>
  <si>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</si>
  <si>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</si>
  <si>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</si>
  <si>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</si>
  <si>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</si>
  <si>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</si>
  <si>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</si>
  <si>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</si>
  <si>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</si>
  <si>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</si>
  <si>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</si>
  <si>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</si>
  <si>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</si>
  <si>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</si>
  <si>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</si>
  <si>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</si>
  <si>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</si>
  <si>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</si>
  <si>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</si>
  <si>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</si>
  <si>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</si>
  <si>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</si>
  <si>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</si>
  <si>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</si>
  <si>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</si>
  <si>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</si>
  <si>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</si>
  <si>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</si>
  <si>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</si>
  <si>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</si>
  <si>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</si>
  <si>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</si>
  <si>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</si>
  <si>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</si>
  <si>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</si>
  <si>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</si>
  <si>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</si>
  <si>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</si>
  <si>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</si>
  <si>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</si>
  <si>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</si>
  <si>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</si>
  <si>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</si>
  <si>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</si>
  <si>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</si>
  <si>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</si>
  <si>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</si>
  <si>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</si>
  <si>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</si>
  <si>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</si>
  <si>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</si>
  <si>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</si>
  <si>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</si>
  <si>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</si>
  <si>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</si>
  <si>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</si>
  <si>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</si>
  <si>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</si>
  <si>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</si>
  <si>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</si>
  <si>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</si>
  <si>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</si>
  <si>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</si>
  <si>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</si>
  <si>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</si>
  <si>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</si>
  <si>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</si>
  <si>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</si>
  <si>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</si>
  <si>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</si>
  <si>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</si>
  <si>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</si>
  <si>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</si>
  <si>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</si>
  <si>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</si>
  <si>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</si>
  <si>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</si>
  <si>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</si>
  <si>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</si>
  <si>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</si>
  <si>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</si>
  <si>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</si>
  <si>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</si>
  <si>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</si>
  <si>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</si>
  <si>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</si>
  <si>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</si>
  <si>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</si>
  <si>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</si>
  <si>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</si>
  <si>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</si>
  <si>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</si>
  <si>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</si>
  <si>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</si>
  <si>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</si>
  <si>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</si>
  <si>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</si>
  <si>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</si>
  <si>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</si>
  <si>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</si>
  <si>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</si>
  <si>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</si>
  <si>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</si>
  <si>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</si>
  <si>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</si>
  <si>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</si>
  <si>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</si>
  <si>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</si>
  <si>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</si>
  <si>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</si>
  <si>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</si>
  <si>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</si>
  <si>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</si>
  <si>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</si>
  <si>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</si>
  <si>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</si>
  <si>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</si>
  <si>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</si>
  <si>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</si>
  <si>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</si>
  <si>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</si>
  <si>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</si>
  <si>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</si>
  <si>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</si>
  <si>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</si>
  <si>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</si>
  <si>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</si>
  <si>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</si>
  <si>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</si>
  <si>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</si>
  <si>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</si>
  <si>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</si>
  <si>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</si>
  <si>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</si>
  <si>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</si>
  <si>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</si>
  <si>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</si>
  <si>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</si>
  <si>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</si>
  <si>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</si>
  <si>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</si>
  <si>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</si>
  <si>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</si>
  <si>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</si>
  <si>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</si>
  <si>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</si>
  <si>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</si>
  <si>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</si>
  <si>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</si>
  <si>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</si>
  <si>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</si>
  <si>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</si>
  <si>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</si>
  <si>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</si>
  <si>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</si>
  <si>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</si>
  <si>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</si>
  <si>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</si>
  <si>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</si>
  <si>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</si>
  <si>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</si>
  <si>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</si>
  <si>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</si>
  <si>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</si>
  <si>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</si>
  <si>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</si>
  <si>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</si>
  <si>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</si>
  <si>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</si>
  <si>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</si>
  <si>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</si>
  <si>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</si>
  <si>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</si>
  <si>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</si>
  <si>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</si>
  <si>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</si>
  <si>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</si>
  <si>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</si>
  <si>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</si>
  <si>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</si>
  <si>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</si>
  <si>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</si>
  <si>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</si>
  <si>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</si>
  <si>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</si>
  <si>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</si>
  <si>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</si>
  <si>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</si>
  <si>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</si>
  <si>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</si>
  <si>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</si>
  <si>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</si>
  <si>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</si>
  <si>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</si>
  <si>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</si>
  <si>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</si>
  <si>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</si>
  <si>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</si>
  <si>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</si>
  <si>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</si>
  <si>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</si>
  <si>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</si>
  <si>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</si>
  <si>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</si>
  <si>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</si>
  <si>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</si>
  <si>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</si>
  <si>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</si>
  <si>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</si>
  <si>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</si>
  <si>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</si>
  <si>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</si>
  <si>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</si>
  <si>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</si>
  <si>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</si>
  <si>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</si>
  <si>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</si>
  <si>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</si>
  <si>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</si>
  <si>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</si>
  <si>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</si>
  <si>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</si>
  <si>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</si>
  <si>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</si>
  <si>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</si>
  <si>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</si>
  <si>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</si>
  <si>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</si>
  <si>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</si>
  <si>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</si>
  <si>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</si>
  <si>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</si>
  <si>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</si>
  <si>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</si>
  <si>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</si>
  <si>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</si>
  <si>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</si>
  <si>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</si>
  <si>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</si>
  <si>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</si>
  <si>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</si>
  <si>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</si>
  <si>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</si>
  <si>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</si>
  <si>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</si>
  <si>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</si>
  <si>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</si>
  <si>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</si>
  <si>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</si>
  <si>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</si>
  <si>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</si>
  <si>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</si>
  <si>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</si>
  <si>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</si>
  <si>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</si>
  <si>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</si>
  <si>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</si>
  <si>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</si>
  <si>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</si>
  <si>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</si>
  <si>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</si>
  <si>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</si>
  <si>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</si>
  <si>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</si>
  <si>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</si>
  <si>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</si>
  <si>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</si>
  <si>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</si>
  <si>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</si>
  <si>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</si>
  <si>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</si>
  <si>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</si>
  <si>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</si>
  <si>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</si>
  <si>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</si>
  <si>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</si>
  <si>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</si>
  <si>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</si>
  <si>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</si>
  <si>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</si>
  <si>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</si>
  <si>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</si>
  <si>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</si>
  <si>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</si>
  <si>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</si>
  <si>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</si>
  <si>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</si>
  <si>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</si>
  <si>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</si>
  <si>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</si>
  <si>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</si>
  <si>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</si>
  <si>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</si>
  <si>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</si>
  <si>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</si>
  <si>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</si>
  <si>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</si>
  <si>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</si>
  <si>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</si>
  <si>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</si>
  <si>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</si>
  <si>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</si>
  <si>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</si>
  <si>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</si>
  <si>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</si>
  <si>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</si>
  <si>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</si>
  <si>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</si>
  <si>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</si>
  <si>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</si>
  <si>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</si>
  <si>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</si>
  <si>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</si>
  <si>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</si>
  <si>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</si>
  <si>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</si>
  <si>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</si>
  <si>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</si>
  <si>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</si>
  <si>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</si>
  <si>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</si>
  <si>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</si>
  <si>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</si>
  <si>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</si>
  <si>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</si>
  <si>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</si>
  <si>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</si>
  <si>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</si>
  <si>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</si>
  <si>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</si>
  <si>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</si>
  <si>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</si>
  <si>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</si>
  <si>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</si>
  <si>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</si>
  <si>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</si>
  <si>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</si>
  <si>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</si>
  <si>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</si>
  <si>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</si>
  <si>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</si>
  <si>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</si>
  <si>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</si>
  <si>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</si>
  <si>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</si>
  <si>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</si>
  <si>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</si>
  <si>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</si>
  <si>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</si>
  <si>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</si>
  <si>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</si>
  <si>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</si>
  <si>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</si>
  <si>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</si>
  <si>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</si>
  <si>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</si>
  <si>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</si>
  <si>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</si>
  <si>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</si>
  <si>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</si>
  <si>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</si>
  <si>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</si>
  <si>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</si>
  <si>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</si>
  <si>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</si>
  <si>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</si>
  <si>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</si>
  <si>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</si>
  <si>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</si>
  <si>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</si>
  <si>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</si>
  <si>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</si>
  <si>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</si>
  <si>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</si>
  <si>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</si>
  <si>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</si>
  <si>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</si>
  <si>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</si>
  <si>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</si>
  <si>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</si>
  <si>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</si>
  <si>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</si>
  <si>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</si>
  <si>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</si>
  <si>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</si>
  <si>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</si>
  <si>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</si>
  <si>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</si>
  <si>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</si>
  <si>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</si>
  <si>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</si>
  <si>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</si>
  <si>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</si>
  <si>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</si>
  <si>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</si>
  <si>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</si>
  <si>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</si>
  <si>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</si>
  <si>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</si>
  <si>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</si>
  <si>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</si>
  <si>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</si>
  <si>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</si>
  <si>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</si>
  <si>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</si>
  <si>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</si>
  <si>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</si>
  <si>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</si>
  <si>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</si>
  <si>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</si>
  <si>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</si>
  <si>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</si>
  <si>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</si>
  <si>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</si>
  <si>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</si>
  <si>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</si>
  <si>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</si>
  <si>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</si>
  <si>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</si>
  <si>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</si>
  <si>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</si>
  <si>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</si>
  <si>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</si>
  <si>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</si>
  <si>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</si>
  <si>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</si>
  <si>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</si>
  <si>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</si>
  <si>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</si>
  <si>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</si>
  <si>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</si>
  <si>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</si>
  <si>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</si>
  <si>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</si>
  <si>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</si>
  <si>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</si>
  <si>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</si>
  <si>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</si>
  <si>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</si>
  <si>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</si>
  <si>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</si>
  <si>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</si>
  <si>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</si>
  <si>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</si>
  <si>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</si>
  <si>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</si>
  <si>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</si>
  <si>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</si>
  <si>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</si>
  <si>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</si>
  <si>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</si>
  <si>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</si>
  <si>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</si>
  <si>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</si>
  <si>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</si>
  <si>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</si>
  <si>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</si>
  <si>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</si>
  <si>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</si>
  <si>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</si>
  <si>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</si>
  <si>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</si>
  <si>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</si>
  <si>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</si>
  <si>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</si>
  <si>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</si>
  <si>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</si>
  <si>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</si>
  <si>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</si>
  <si>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</si>
  <si>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</si>
  <si>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</si>
  <si>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</si>
  <si>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</si>
  <si>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</si>
  <si>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</si>
  <si>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</si>
  <si>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</si>
  <si>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</si>
  <si>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</si>
  <si>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</si>
  <si>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</si>
  <si>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</si>
  <si>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</si>
  <si>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</si>
  <si>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</si>
  <si>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</si>
  <si>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</si>
  <si>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</si>
  <si>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</si>
  <si>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</si>
  <si>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</si>
  <si>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</si>
  <si>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</si>
  <si>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</si>
  <si>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</si>
  <si>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</si>
  <si>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</si>
  <si>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</si>
  <si>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</si>
  <si>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</si>
  <si>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</si>
  <si>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</si>
  <si>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</si>
  <si>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</si>
  <si>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</si>
  <si>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</si>
  <si>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</si>
  <si>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</si>
  <si>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</si>
  <si>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</si>
  <si>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</si>
  <si>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</si>
  <si>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</si>
  <si>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</si>
  <si>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</si>
  <si>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</si>
  <si>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</si>
  <si>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</si>
  <si>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</si>
  <si>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</si>
  <si>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</si>
  <si>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</si>
  <si>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</si>
  <si>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</si>
  <si>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</si>
  <si>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</si>
  <si>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</si>
  <si>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</si>
  <si>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</si>
  <si>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</si>
  <si>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</si>
  <si>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</si>
  <si>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</si>
  <si>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</si>
  <si>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</si>
  <si>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</si>
  <si>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</si>
  <si>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</si>
  <si>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</si>
  <si>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</si>
  <si>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</si>
  <si>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</si>
  <si>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</si>
  <si>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</si>
  <si>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</si>
  <si>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</si>
  <si>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</si>
  <si>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</si>
  <si>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</si>
  <si>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</si>
  <si>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</si>
  <si>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</si>
  <si>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</si>
  <si>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</si>
  <si>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</si>
  <si>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</si>
  <si>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</si>
  <si>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</si>
  <si>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</si>
  <si>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</si>
  <si>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</si>
  <si>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</si>
  <si>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</si>
  <si>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</si>
  <si>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</si>
  <si>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</si>
  <si>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</si>
  <si>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</si>
  <si>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</si>
  <si>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</si>
  <si>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</si>
  <si>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</si>
  <si>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</si>
  <si>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</si>
  <si>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</si>
  <si>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</si>
  <si>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</si>
  <si>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</si>
  <si>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</si>
  <si>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</si>
  <si>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</si>
  <si>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</si>
  <si>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</si>
  <si>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</si>
  <si>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</si>
  <si>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</si>
  <si>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</si>
  <si>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</si>
  <si>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</si>
  <si>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</si>
  <si>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</si>
  <si>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</si>
  <si>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</si>
  <si>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</si>
  <si>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</si>
  <si>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</si>
  <si>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</si>
  <si>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</si>
  <si>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</si>
  <si>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</si>
  <si>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</si>
  <si>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</si>
  <si>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</si>
  <si>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</si>
  <si>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</si>
  <si>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</si>
  <si>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</si>
  <si>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</si>
  <si>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</si>
  <si>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</si>
  <si>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</si>
  <si>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</si>
  <si>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</si>
  <si>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</si>
  <si>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</si>
  <si>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</si>
  <si>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</si>
  <si>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</si>
  <si>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</si>
  <si>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</si>
  <si>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</si>
  <si>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</si>
  <si>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</si>
  <si>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</si>
  <si>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</si>
  <si>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</si>
  <si>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</si>
  <si>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</si>
  <si>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</si>
  <si>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</si>
  <si>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</si>
  <si>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</si>
  <si>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</si>
  <si>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</si>
  <si>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</si>
  <si>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</si>
  <si>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</si>
  <si>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</si>
  <si>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</si>
  <si>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</si>
  <si>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</si>
  <si>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</si>
  <si>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</si>
  <si>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</si>
  <si>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</si>
  <si>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</si>
  <si>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</si>
  <si>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</si>
  <si>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</si>
  <si>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</si>
  <si>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</si>
  <si>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</si>
  <si>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</si>
  <si>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</si>
  <si>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</si>
  <si>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</si>
  <si>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</si>
  <si>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</si>
  <si>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</si>
  <si>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</si>
  <si>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</si>
  <si>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</si>
  <si>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</si>
  <si>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</si>
  <si>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</si>
  <si>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</si>
  <si>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</si>
  <si>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</si>
  <si>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</si>
  <si>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</si>
  <si>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</si>
  <si>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</si>
  <si>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</si>
  <si>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</si>
  <si>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</si>
  <si>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</si>
  <si>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</si>
  <si>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</si>
  <si>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</si>
  <si>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</si>
  <si>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</si>
  <si>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</si>
  <si>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</si>
  <si>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</si>
  <si>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</si>
  <si>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</si>
  <si>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</si>
  <si>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</si>
  <si>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</si>
  <si>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</si>
  <si>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</si>
  <si>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</si>
  <si>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</si>
  <si>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</si>
  <si>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</si>
  <si>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</si>
  <si>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</si>
  <si>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</si>
  <si>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</si>
  <si>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</si>
  <si>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</si>
  <si>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</si>
  <si>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</si>
  <si>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</si>
  <si>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</si>
  <si>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</si>
  <si>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</si>
  <si>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</si>
  <si>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</si>
  <si>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</si>
  <si>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</si>
  <si>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</si>
  <si>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</si>
  <si>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</si>
  <si>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</si>
  <si>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</si>
  <si>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</si>
  <si>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</si>
  <si>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</si>
  <si>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</si>
  <si>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</si>
  <si>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</si>
  <si>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</si>
  <si>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</si>
  <si>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</si>
  <si>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</si>
  <si>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</si>
  <si>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</si>
  <si>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</si>
  <si>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</si>
  <si>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</si>
  <si>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</si>
  <si>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</si>
  <si>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</si>
  <si>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</si>
  <si>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</si>
  <si>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</si>
  <si>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</si>
  <si>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</si>
  <si>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</si>
  <si>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</si>
  <si>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</si>
  <si>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</si>
  <si>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</si>
  <si>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</si>
  <si>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</si>
  <si>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</si>
  <si>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</si>
  <si>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</si>
  <si>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</si>
  <si>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</si>
  <si>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</si>
  <si>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</si>
  <si>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</si>
  <si>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</si>
  <si>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</si>
  <si>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</si>
  <si>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</si>
  <si>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</si>
  <si>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</si>
  <si>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</si>
  <si>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</si>
  <si>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</si>
  <si>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</si>
  <si>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</si>
  <si>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</si>
  <si>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</si>
  <si>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</si>
  <si>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</si>
  <si>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</si>
  <si>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</si>
  <si>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</si>
  <si>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</si>
  <si>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</si>
  <si>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</si>
  <si>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</si>
  <si>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</si>
  <si>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</si>
  <si>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</si>
  <si>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</si>
  <si>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</si>
  <si>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</si>
  <si>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</si>
  <si>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</si>
  <si>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</si>
  <si>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</si>
  <si>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</si>
  <si>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</si>
  <si>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</si>
  <si>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</si>
  <si>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</si>
  <si>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</si>
  <si>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</si>
  <si>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</si>
  <si>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</si>
  <si>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</si>
  <si>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</si>
  <si>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</si>
  <si>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</si>
  <si>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</si>
  <si>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</si>
  <si>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</si>
  <si>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</si>
  <si>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</si>
  <si>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</si>
  <si>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</si>
  <si>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</si>
  <si>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</si>
  <si>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</si>
  <si>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</si>
  <si>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</si>
  <si>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</si>
  <si>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</si>
  <si>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</si>
  <si>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</si>
  <si>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</si>
  <si>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</si>
  <si>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</si>
  <si>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</si>
  <si>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</si>
  <si>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</si>
  <si>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</si>
  <si>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</si>
  <si>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</si>
  <si>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</si>
  <si>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</si>
  <si>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</si>
  <si>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</si>
  <si>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</si>
  <si>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</si>
  <si>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</si>
  <si>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</si>
  <si>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</si>
  <si>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</si>
  <si>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</si>
  <si>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</si>
  <si>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</si>
  <si>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</si>
  <si>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</si>
  <si>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</si>
  <si>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</si>
  <si>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</si>
  <si>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</si>
  <si>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</si>
  <si>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</si>
  <si>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</si>
  <si>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</si>
  <si>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</si>
  <si>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</si>
  <si>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</si>
  <si>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</si>
  <si>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</si>
  <si>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</si>
  <si>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</si>
  <si>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</si>
  <si>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</si>
  <si>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</si>
  <si>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</si>
  <si>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</si>
  <si>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</si>
  <si>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</si>
  <si>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</si>
  <si>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</si>
  <si>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</si>
  <si>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</si>
  <si>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</si>
  <si>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</si>
  <si>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</si>
  <si>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</si>
  <si>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</si>
  <si>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</si>
  <si>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</si>
  <si>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</si>
  <si>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</si>
  <si>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</si>
  <si>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</si>
  <si>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</si>
  <si>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</si>
  <si>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</si>
  <si>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</si>
  <si>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</si>
  <si>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</si>
  <si>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</si>
  <si>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</si>
  <si>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</si>
  <si>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</si>
  <si>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</si>
  <si>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</si>
  <si>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</si>
  <si>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</si>
  <si>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</si>
  <si>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</si>
  <si>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</si>
  <si>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</si>
  <si>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</si>
  <si>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</si>
  <si>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</si>
  <si>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</si>
  <si>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</si>
  <si>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</si>
  <si>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</si>
  <si>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</si>
  <si>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</si>
  <si>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</si>
  <si>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</si>
  <si>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</si>
  <si>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</si>
  <si>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</si>
  <si>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</si>
  <si>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</si>
  <si>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</si>
  <si>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</si>
  <si>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</si>
  <si>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</si>
  <si>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</si>
  <si>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</si>
  <si>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</si>
  <si>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</si>
  <si>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</si>
  <si>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</si>
  <si>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</si>
  <si>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</si>
  <si>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</si>
  <si>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</si>
  <si>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</si>
  <si>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</si>
  <si>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</si>
  <si>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</si>
  <si>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</si>
  <si>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</si>
  <si>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</si>
  <si>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</si>
  <si>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</si>
  <si>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</si>
  <si>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</si>
  <si>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</si>
  <si>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</si>
  <si>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</si>
  <si>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</si>
  <si>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</si>
  <si>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</si>
  <si>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</si>
  <si>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</si>
  <si>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</si>
  <si>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</si>
  <si>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</si>
  <si>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</si>
  <si>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</si>
  <si>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</si>
  <si>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</si>
  <si>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</si>
  <si>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</si>
  <si>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</si>
  <si>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</si>
  <si>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</si>
  <si>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</si>
  <si>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</si>
  <si>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</si>
  <si>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</si>
  <si>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</si>
  <si>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</si>
  <si>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</si>
  <si>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</si>
  <si>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</si>
  <si>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</si>
  <si>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</si>
  <si>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</si>
  <si>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</si>
  <si>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</si>
  <si>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</si>
  <si>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</si>
  <si>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</si>
  <si>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</si>
  <si>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</si>
  <si>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</si>
  <si>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</si>
  <si>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</si>
  <si>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</si>
  <si>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</si>
  <si>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</si>
  <si>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</si>
  <si>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</si>
  <si>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</si>
  <si>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</si>
  <si>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</si>
  <si>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</si>
  <si>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</si>
  <si>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</si>
  <si>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</si>
  <si>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</si>
  <si>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</si>
  <si>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</si>
  <si>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</si>
  <si>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</si>
  <si>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</si>
  <si>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</si>
  <si>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</si>
  <si>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</si>
  <si>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</si>
  <si>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</si>
  <si>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</si>
  <si>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</si>
  <si>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</si>
  <si>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</si>
  <si>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</si>
  <si>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</si>
  <si>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</si>
  <si>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</si>
  <si>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</si>
  <si>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</si>
  <si>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</si>
  <si>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</si>
  <si>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</si>
  <si>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</si>
  <si>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</si>
  <si>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</si>
  <si>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</si>
  <si>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</si>
  <si>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</si>
  <si>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</si>
  <si>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</si>
  <si>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</si>
  <si>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</si>
  <si>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</si>
  <si>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</si>
  <si>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</si>
  <si>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</si>
  <si>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</si>
  <si>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</si>
  <si>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</si>
  <si>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</si>
  <si>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</si>
  <si>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</si>
  <si>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</si>
  <si>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</si>
  <si>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</si>
  <si>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</si>
  <si>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</si>
  <si>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</si>
  <si>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</si>
  <si>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</si>
  <si>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</si>
  <si>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</si>
  <si>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</si>
  <si>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</si>
  <si>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</si>
  <si>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</si>
  <si>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</si>
  <si>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</si>
  <si>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</si>
  <si>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</si>
  <si>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</si>
  <si>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</si>
  <si>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</si>
  <si>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</si>
  <si>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</si>
  <si>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</si>
  <si>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</si>
  <si>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</si>
  <si>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</si>
  <si>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</si>
  <si>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</si>
  <si>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</si>
  <si>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</si>
  <si>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</si>
  <si>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</si>
  <si>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</si>
  <si>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</si>
  <si>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</si>
  <si>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</si>
  <si>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</si>
  <si>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</si>
  <si>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</si>
  <si>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</si>
  <si>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</si>
  <si>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</si>
  <si>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</si>
  <si>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</si>
  <si>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</si>
  <si>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</si>
  <si>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</si>
  <si>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</si>
  <si>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</si>
  <si>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</si>
  <si>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</si>
  <si>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</si>
  <si>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</si>
  <si>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</si>
  <si>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</si>
  <si>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</si>
  <si>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</si>
  <si>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</si>
  <si>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</si>
  <si>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</si>
  <si>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</si>
  <si>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</si>
  <si>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</si>
  <si>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</si>
  <si>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</si>
  <si>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</si>
  <si>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</si>
  <si>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</si>
  <si>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</si>
  <si>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</si>
  <si>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</si>
  <si>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</si>
  <si>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</si>
  <si>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</si>
  <si>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</si>
  <si>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</si>
  <si>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</si>
  <si>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</si>
  <si>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</si>
  <si>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</si>
  <si>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</si>
  <si>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</si>
  <si>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</si>
  <si>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</si>
  <si>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</si>
  <si>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</si>
  <si>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</si>
  <si>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</si>
  <si>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</si>
  <si>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</si>
  <si>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</si>
  <si>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</si>
  <si>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</si>
  <si>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</si>
  <si>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</si>
  <si>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</si>
  <si>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</si>
  <si>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</si>
  <si>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</si>
  <si>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</si>
  <si>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</si>
  <si>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</si>
  <si>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</si>
  <si>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</si>
  <si>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</si>
  <si>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</si>
  <si>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</si>
  <si>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</si>
  <si>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</si>
  <si>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</si>
  <si>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</si>
  <si>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</si>
  <si>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</si>
  <si>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</si>
  <si>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</si>
  <si>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</si>
  <si>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</si>
  <si>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</si>
  <si>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</si>
  <si>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</si>
  <si>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</si>
  <si>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</si>
  <si>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</si>
  <si>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</si>
  <si>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</si>
  <si>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</si>
  <si>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</si>
  <si>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</si>
  <si>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</si>
  <si>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</si>
  <si>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</si>
  <si>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</si>
  <si>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</si>
  <si>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</si>
  <si>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</si>
  <si>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</si>
  <si>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</si>
  <si>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</si>
  <si>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</si>
  <si>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</si>
  <si>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</si>
  <si>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</si>
  <si>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</si>
  <si>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</si>
  <si>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</si>
  <si>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</si>
  <si>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</si>
  <si>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</si>
  <si>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</si>
  <si>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</si>
  <si>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</si>
  <si>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</si>
  <si>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</si>
  <si>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</si>
  <si>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</si>
  <si>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</si>
  <si>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</si>
  <si>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</si>
  <si>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</si>
  <si>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</si>
  <si>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</si>
  <si>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</si>
  <si>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</si>
  <si>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</si>
  <si>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</si>
  <si>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</si>
  <si>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</si>
  <si>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</si>
  <si>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</si>
  <si>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</si>
  <si>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</si>
  <si>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</si>
  <si>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</si>
  <si>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</si>
  <si>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</si>
  <si>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</si>
  <si>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</si>
  <si>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</si>
  <si>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</si>
  <si>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</si>
  <si>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</si>
  <si>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</si>
  <si>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</si>
  <si>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</si>
  <si>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</si>
  <si>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</si>
  <si>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</si>
  <si>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</si>
  <si>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</si>
  <si>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</si>
  <si>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</si>
  <si>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</si>
  <si>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</si>
  <si>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</si>
  <si>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</si>
  <si>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</si>
  <si>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</si>
  <si>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</si>
  <si>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</si>
  <si>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</si>
  <si>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</si>
  <si>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</si>
  <si>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</si>
  <si>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</si>
  <si>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</si>
  <si>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</si>
  <si>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</si>
  <si>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</si>
  <si>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</si>
  <si>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</si>
  <si>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</si>
  <si>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</si>
  <si>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</si>
  <si>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</si>
  <si>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</si>
  <si>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</si>
  <si>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</si>
  <si>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</si>
  <si>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</si>
  <si>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</si>
  <si>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</si>
  <si>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</si>
  <si>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</si>
  <si>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</si>
  <si>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</si>
  <si>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</si>
  <si>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</si>
  <si>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</si>
  <si>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</si>
  <si>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</si>
  <si>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</si>
  <si>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</si>
  <si>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</si>
  <si>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</si>
  <si>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</si>
  <si>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</si>
  <si>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</si>
  <si>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</si>
  <si>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</si>
  <si>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</si>
  <si>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</si>
  <si>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</si>
  <si>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</si>
  <si>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</si>
  <si>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</si>
  <si>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</si>
  <si>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</si>
  <si>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</si>
  <si>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</si>
  <si>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</si>
  <si>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</si>
  <si>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</si>
  <si>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</si>
  <si>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</si>
  <si>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</si>
  <si>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</si>
  <si>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</si>
  <si>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</si>
  <si>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</si>
  <si>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</si>
  <si>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</si>
  <si>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</si>
  <si>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</si>
  <si>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</si>
  <si>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</si>
  <si>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</si>
  <si>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</si>
  <si>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</si>
  <si>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</si>
  <si>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</si>
  <si>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</si>
  <si>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</si>
  <si>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</si>
  <si>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</si>
  <si>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</si>
  <si>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</si>
  <si>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</si>
  <si>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</si>
  <si>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</si>
  <si>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</si>
  <si>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</si>
  <si>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</si>
  <si>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</si>
  <si>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</si>
  <si>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</si>
  <si>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</si>
  <si>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</si>
  <si>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</si>
  <si>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</si>
  <si>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</si>
  <si>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</si>
  <si>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</si>
  <si>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</si>
  <si>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</si>
  <si>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</si>
  <si>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</si>
  <si>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</si>
  <si>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</si>
  <si>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</si>
  <si>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</si>
  <si>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</si>
  <si>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</si>
  <si>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</si>
  <si>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</si>
  <si>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</si>
  <si>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</si>
  <si>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</si>
  <si>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</si>
  <si>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</si>
  <si>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</si>
  <si>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</si>
  <si>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</si>
  <si>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</si>
  <si>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</si>
  <si>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</si>
  <si>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</si>
  <si>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</si>
  <si>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</si>
  <si>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</si>
  <si>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</si>
  <si>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</si>
  <si>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</si>
  <si>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</si>
  <si>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</si>
  <si>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</si>
  <si>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</si>
  <si>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</si>
  <si>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</si>
  <si>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</si>
  <si>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</si>
  <si>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</si>
  <si>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</si>
  <si>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</si>
  <si>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</si>
  <si>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</si>
  <si>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</si>
  <si>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</si>
  <si>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</si>
  <si>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</si>
  <si>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</si>
  <si>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</si>
  <si>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</si>
  <si>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</si>
  <si>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</si>
  <si>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</si>
  <si>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</si>
  <si>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</si>
  <si>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</si>
  <si>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</si>
  <si>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</si>
  <si>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</si>
  <si>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</si>
  <si>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</si>
  <si>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</si>
  <si>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</si>
  <si>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</si>
  <si>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</si>
  <si>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</si>
  <si>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</si>
  <si>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</si>
  <si>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</si>
  <si>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</si>
  <si>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</si>
  <si>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</si>
  <si>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</si>
  <si>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</si>
  <si>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</si>
  <si>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</si>
  <si>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</si>
  <si>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</si>
  <si>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</si>
  <si>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</si>
  <si>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</si>
  <si>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</si>
  <si>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</si>
  <si>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</si>
  <si>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</si>
  <si>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</si>
  <si>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</si>
  <si>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</si>
  <si>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</si>
  <si>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</si>
  <si>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</si>
  <si>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</si>
  <si>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</si>
  <si>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</si>
  <si>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</si>
  <si>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</si>
  <si>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</si>
  <si>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</si>
  <si>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</si>
  <si>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</si>
  <si>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</si>
  <si>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</si>
  <si>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</si>
  <si>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</si>
  <si>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</si>
  <si>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</si>
  <si>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</si>
  <si>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</si>
  <si>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</si>
  <si>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</si>
  <si>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</si>
  <si>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</si>
  <si>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</si>
  <si>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</si>
  <si>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</si>
  <si>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</si>
  <si>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</si>
  <si>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</si>
  <si>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</si>
  <si>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</si>
  <si>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</si>
  <si>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</si>
  <si>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</si>
  <si>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</si>
  <si>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</si>
  <si>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</si>
  <si>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</si>
  <si>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</si>
  <si>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</si>
  <si>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</si>
  <si>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</si>
  <si>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</si>
  <si>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</si>
  <si>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</si>
  <si>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</si>
  <si>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</si>
  <si>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</si>
  <si>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</si>
  <si>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</si>
  <si>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</si>
  <si>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</si>
  <si>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</si>
  <si>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</si>
  <si>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</si>
  <si>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</si>
  <si>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</si>
  <si>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</si>
  <si>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</si>
  <si>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</si>
  <si>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</si>
  <si>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</si>
  <si>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</si>
  <si>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</si>
  <si>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</si>
  <si>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</si>
  <si>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</si>
  <si>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</si>
  <si>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</si>
  <si>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</si>
  <si>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</si>
  <si>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</si>
  <si>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</si>
  <si>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</si>
  <si>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</si>
  <si>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</si>
  <si>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</si>
  <si>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</si>
  <si>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</si>
  <si>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</si>
  <si>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</si>
  <si>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</si>
  <si>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</si>
  <si>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</si>
  <si>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</si>
  <si>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</si>
  <si>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</si>
  <si>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</si>
  <si>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</si>
  <si>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</si>
  <si>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</si>
  <si>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</si>
  <si>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</si>
  <si>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</si>
  <si>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</si>
  <si>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</si>
  <si>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</si>
  <si>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</si>
  <si>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</si>
  <si>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</si>
  <si>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</si>
  <si>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</si>
  <si>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</si>
  <si>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</si>
  <si>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</si>
  <si>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</si>
  <si>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</si>
  <si>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</si>
  <si>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</si>
  <si>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</si>
  <si>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</si>
  <si>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</si>
  <si>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</si>
  <si>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</si>
  <si>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</si>
  <si>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</si>
  <si>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</si>
  <si>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</si>
  <si>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</si>
  <si>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</si>
  <si>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</si>
  <si>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</si>
  <si>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</si>
  <si>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</si>
  <si>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</si>
  <si>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</si>
  <si>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</si>
  <si>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</si>
  <si>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</si>
  <si>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</si>
  <si>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</si>
  <si>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</si>
  <si>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</si>
  <si>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</si>
  <si>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</si>
  <si>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</si>
  <si>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</si>
  <si>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</si>
  <si>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</si>
  <si>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</si>
  <si>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</si>
  <si>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</si>
  <si>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</si>
  <si>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</si>
  <si>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</si>
  <si>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</si>
  <si>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</si>
  <si>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</si>
  <si>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</si>
  <si>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</si>
  <si>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</si>
  <si>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</si>
  <si>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</si>
  <si>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</si>
  <si>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</si>
  <si>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</si>
  <si>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</si>
  <si>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</si>
  <si>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</si>
  <si>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</si>
  <si>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</si>
  <si>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</si>
  <si>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</si>
  <si>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</si>
  <si>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</si>
  <si>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</si>
  <si>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</si>
  <si>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</si>
  <si>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</si>
  <si>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</si>
  <si>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</si>
  <si>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</si>
  <si>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</si>
  <si>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</si>
  <si>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</si>
  <si>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</si>
  <si>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</si>
  <si>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</si>
  <si>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</si>
  <si>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</si>
  <si>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</si>
  <si>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</si>
  <si>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</si>
  <si>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</si>
  <si>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</si>
  <si>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</si>
  <si>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</si>
  <si>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</si>
  <si>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</si>
  <si>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</si>
  <si>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</si>
  <si>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</si>
  <si>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</si>
  <si>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</si>
  <si>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</si>
  <si>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</si>
  <si>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</si>
  <si>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</si>
  <si>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</si>
  <si>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</si>
  <si>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</si>
  <si>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</si>
  <si>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</si>
  <si>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</si>
  <si>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</si>
  <si>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</si>
  <si>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</si>
  <si>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</si>
  <si>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</si>
  <si>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</si>
  <si>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</si>
  <si>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</si>
  <si>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</si>
  <si>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</si>
  <si>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</si>
  <si>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</si>
  <si>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</si>
  <si>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</si>
  <si>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</si>
  <si>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</si>
  <si>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</si>
  <si>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</si>
  <si>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</si>
  <si>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</si>
  <si>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</si>
  <si>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</si>
  <si>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</si>
  <si>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</si>
  <si>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</si>
  <si>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</si>
  <si>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</si>
  <si>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</si>
  <si>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</si>
  <si>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</si>
  <si>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</si>
  <si>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</si>
  <si>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</si>
  <si>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</si>
  <si>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</si>
  <si>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</si>
  <si>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</si>
  <si>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</si>
  <si>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</si>
  <si>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</si>
  <si>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</si>
  <si>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</si>
  <si>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</si>
  <si>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</si>
  <si>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</si>
  <si>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</si>
  <si>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</si>
  <si>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</si>
  <si>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</si>
  <si>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</si>
  <si>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</si>
  <si>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</si>
  <si>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</si>
  <si>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</si>
  <si>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</si>
  <si>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</si>
  <si>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</si>
  <si>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</si>
  <si>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</si>
  <si>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</si>
  <si>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</si>
  <si>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</si>
  <si>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</si>
  <si>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</si>
  <si>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</si>
  <si>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</si>
  <si>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</si>
  <si>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</si>
  <si>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</si>
  <si>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</si>
  <si>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</si>
  <si>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</si>
  <si>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</si>
  <si>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</si>
  <si>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</si>
  <si>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</si>
  <si>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</si>
  <si>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</si>
  <si>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</si>
  <si>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</si>
  <si>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</si>
  <si>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</si>
  <si>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</si>
  <si>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</si>
  <si>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</si>
  <si>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</si>
  <si>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</si>
  <si>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</si>
  <si>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</si>
  <si>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</si>
  <si>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</si>
  <si>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</si>
  <si>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</si>
  <si>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</si>
  <si>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</si>
  <si>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</si>
  <si>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</si>
  <si>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</si>
  <si>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</si>
  <si>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</si>
  <si>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</si>
  <si>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</si>
  <si>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</si>
  <si>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</si>
  <si>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</si>
  <si>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</si>
  <si>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</si>
  <si>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</si>
  <si>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</si>
  <si>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</si>
  <si>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</si>
  <si>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</si>
  <si>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</si>
  <si>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</si>
  <si>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</si>
  <si>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</si>
  <si>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</si>
  <si>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</si>
  <si>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</si>
  <si>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</si>
  <si>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</si>
  <si>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</si>
  <si>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</si>
  <si>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</si>
  <si>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</si>
  <si>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</si>
  <si>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</si>
  <si>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</si>
  <si>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</si>
  <si>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</si>
  <si>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</si>
  <si>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</si>
  <si>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</si>
  <si>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</si>
  <si>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</si>
  <si>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</si>
  <si>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</si>
  <si>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</si>
  <si>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</si>
  <si>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</si>
  <si>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</si>
  <si>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</si>
  <si>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</si>
  <si>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</si>
  <si>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</si>
  <si>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</si>
  <si>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</si>
  <si>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</si>
  <si>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</si>
  <si>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</si>
  <si>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</si>
  <si>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</si>
  <si>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</si>
  <si>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</si>
  <si>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</si>
  <si>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</si>
  <si>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</si>
  <si>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</si>
  <si>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</si>
  <si>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</si>
  <si>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</si>
  <si>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</si>
  <si>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</si>
  <si>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</si>
  <si>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</si>
  <si>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</si>
  <si>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</si>
  <si>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</si>
  <si>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</si>
  <si>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</si>
  <si>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</si>
  <si>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</si>
  <si>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</si>
  <si>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</si>
  <si>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</si>
  <si>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</si>
  <si>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</si>
  <si>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</si>
  <si>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</si>
  <si>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</si>
  <si>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</si>
  <si>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</si>
  <si>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</si>
  <si>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</si>
  <si>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</si>
  <si>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</si>
  <si>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</si>
  <si>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</si>
  <si>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</si>
  <si>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</si>
  <si>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</si>
  <si>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</si>
  <si>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</si>
  <si>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</si>
  <si>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</si>
  <si>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</si>
  <si>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</si>
  <si>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</si>
  <si>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</si>
  <si>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</si>
  <si>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</si>
  <si>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</si>
  <si>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</si>
  <si>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</si>
  <si>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</si>
  <si>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</si>
  <si>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</si>
  <si>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</si>
  <si>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</si>
  <si>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</si>
  <si>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</si>
  <si>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</si>
  <si>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</si>
  <si>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</si>
  <si>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</si>
  <si>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</si>
  <si>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</si>
  <si>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</si>
  <si>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</si>
  <si>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</si>
  <si>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</si>
  <si>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</si>
  <si>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</si>
  <si>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</si>
  <si>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</si>
  <si>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</si>
  <si>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</si>
  <si>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</si>
  <si>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</si>
  <si>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</si>
  <si>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</si>
  <si>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</si>
  <si>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</si>
  <si>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</si>
  <si>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</si>
  <si>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</si>
  <si>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</si>
  <si>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</si>
  <si>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</si>
  <si>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</si>
  <si>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</si>
  <si>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</si>
  <si>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</si>
  <si>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</si>
  <si>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</si>
  <si>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</si>
  <si>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</si>
  <si>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</si>
  <si>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</si>
  <si>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</si>
  <si>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</si>
  <si>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</si>
  <si>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</si>
  <si>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</si>
  <si>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</si>
  <si>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</si>
  <si>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</si>
  <si>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</si>
  <si>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</si>
  <si>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</si>
  <si>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</si>
  <si>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</si>
  <si>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</si>
  <si>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</si>
  <si>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</si>
  <si>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</si>
  <si>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</si>
  <si>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</si>
  <si>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</si>
  <si>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</si>
  <si>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</si>
  <si>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</si>
  <si>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</si>
  <si>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</si>
  <si>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</si>
  <si>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</si>
  <si>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</si>
  <si>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</si>
  <si>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</si>
  <si>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</si>
  <si>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</si>
  <si>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</si>
  <si>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</si>
  <si>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</si>
  <si>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</si>
  <si>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</si>
  <si>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</si>
  <si>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</si>
  <si>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</si>
  <si>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</si>
  <si>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</si>
  <si>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</si>
  <si>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</si>
  <si>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</si>
  <si>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</si>
  <si>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</si>
  <si>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</si>
  <si>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</si>
  <si>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</si>
  <si>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</si>
  <si>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</si>
  <si>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</si>
  <si>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</si>
  <si>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</si>
  <si>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</si>
  <si>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</si>
  <si>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</si>
  <si>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</si>
  <si>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</si>
  <si>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</si>
  <si>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</si>
  <si>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</si>
  <si>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</si>
  <si>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</si>
  <si>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</si>
  <si>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</si>
  <si>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</si>
  <si>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</si>
  <si>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</si>
  <si>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</si>
  <si>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</si>
  <si>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</si>
  <si>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</si>
  <si>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</si>
  <si>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</si>
  <si>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</si>
  <si>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</si>
  <si>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</si>
  <si>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</si>
  <si>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</si>
  <si>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</si>
  <si>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</si>
  <si>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</si>
  <si>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</si>
  <si>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</si>
  <si>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</si>
  <si>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</si>
  <si>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</si>
  <si>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</si>
  <si>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</si>
  <si>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</si>
  <si>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</si>
  <si>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</si>
  <si>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</si>
  <si>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</si>
  <si>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</si>
  <si>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</si>
  <si>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</si>
  <si>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</si>
  <si>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</si>
  <si>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</si>
  <si>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</si>
  <si>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</si>
  <si>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</si>
  <si>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</si>
  <si>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</si>
  <si>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</si>
  <si>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</si>
  <si>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</si>
  <si>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</si>
  <si>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</si>
  <si>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</si>
  <si>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</si>
  <si>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</si>
  <si>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</si>
  <si>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</si>
  <si>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</si>
  <si>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</si>
  <si>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</si>
  <si>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</si>
  <si>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</si>
  <si>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</si>
  <si>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</si>
  <si>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</si>
  <si>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</si>
  <si>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</si>
  <si>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</si>
  <si>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</si>
  <si>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</si>
  <si>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</si>
  <si>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</si>
  <si>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</si>
  <si>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</si>
  <si>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</si>
  <si>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</si>
  <si>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</si>
  <si>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</si>
  <si>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</si>
  <si>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</si>
  <si>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</si>
  <si>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</si>
  <si>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</si>
  <si>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</si>
  <si>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</si>
  <si>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</si>
  <si>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</si>
  <si>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</si>
  <si>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</si>
  <si>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</si>
  <si>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</si>
  <si>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</si>
  <si>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</si>
  <si>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</si>
  <si>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</si>
  <si>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</si>
  <si>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</si>
  <si>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</si>
  <si>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</si>
  <si>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</si>
  <si>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</si>
  <si>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</si>
  <si>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</si>
  <si>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</si>
  <si>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</si>
  <si>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</si>
  <si>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</si>
  <si>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</si>
  <si>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</si>
  <si>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</si>
  <si>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</si>
  <si>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</si>
  <si>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</si>
  <si>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</si>
  <si>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</si>
  <si>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</si>
  <si>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</si>
  <si>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</si>
  <si>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</si>
  <si>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</si>
  <si>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</si>
  <si>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</si>
  <si>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</si>
  <si>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</si>
  <si>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</si>
  <si>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</si>
  <si>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</si>
  <si>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</si>
  <si>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</si>
  <si>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</si>
  <si>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</si>
  <si>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</si>
  <si>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</si>
  <si>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</si>
  <si>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</si>
  <si>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</si>
  <si>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</si>
  <si>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</si>
  <si>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</si>
  <si>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</si>
  <si>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</si>
  <si>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</si>
  <si>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</si>
  <si>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</si>
  <si>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</si>
  <si>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</si>
  <si>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</si>
  <si>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</si>
  <si>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</si>
  <si>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</si>
  <si>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</si>
  <si>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</si>
  <si>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</si>
  <si>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</si>
  <si>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</si>
  <si>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</si>
  <si>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</si>
  <si>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</si>
  <si>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</si>
  <si>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</si>
  <si>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</si>
  <si>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</si>
  <si>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</si>
  <si>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</si>
  <si>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</si>
  <si>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</si>
  <si>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</si>
  <si>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</si>
  <si>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</si>
  <si>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</si>
  <si>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</si>
  <si>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</si>
  <si>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</si>
  <si>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</si>
  <si>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</si>
  <si>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</si>
  <si>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</si>
  <si>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</si>
  <si>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</si>
  <si>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</si>
  <si>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</si>
  <si>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</si>
  <si>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</si>
  <si>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</si>
  <si>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</si>
  <si>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</si>
  <si>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</si>
  <si>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</si>
  <si>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</si>
  <si>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</si>
  <si>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</si>
  <si>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</si>
  <si>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</si>
  <si>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</si>
  <si>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</si>
  <si>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</si>
  <si>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</si>
  <si>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</si>
  <si>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</si>
  <si>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</si>
  <si>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</si>
  <si>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</si>
  <si>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</si>
  <si>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</si>
  <si>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</si>
  <si>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</si>
  <si>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</si>
  <si>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</si>
  <si>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</si>
  <si>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</si>
  <si>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</si>
  <si>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</si>
  <si>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</si>
  <si>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</si>
  <si>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</si>
  <si>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</si>
  <si>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</si>
  <si>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</si>
  <si>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</si>
  <si>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</si>
  <si>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</si>
  <si>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</si>
  <si>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</si>
  <si>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</si>
  <si>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</si>
  <si>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</si>
  <si>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</si>
  <si>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</si>
  <si>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</si>
  <si>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</si>
  <si>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</si>
  <si>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</si>
  <si>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</si>
  <si>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</si>
  <si>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</si>
  <si>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</si>
  <si>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</si>
  <si>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</si>
  <si>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</si>
  <si>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</si>
  <si>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</si>
  <si>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</si>
  <si>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</si>
  <si>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</si>
  <si>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</si>
  <si>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</si>
  <si>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</si>
  <si>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</si>
  <si>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</si>
  <si>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</si>
  <si>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</si>
  <si>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</si>
  <si>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</si>
  <si>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</si>
  <si>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</si>
  <si>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</si>
  <si>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</si>
  <si>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</si>
  <si>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</si>
  <si>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</si>
  <si>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</si>
  <si>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</si>
  <si>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</si>
  <si>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</si>
  <si>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</si>
  <si>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</si>
  <si>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</si>
  <si>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</si>
  <si>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</si>
  <si>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</si>
  <si>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</si>
  <si>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</si>
  <si>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</si>
  <si>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</si>
  <si>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</si>
  <si>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</si>
  <si>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</si>
  <si>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</si>
  <si>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</si>
  <si>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</si>
  <si>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</si>
  <si>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</si>
  <si>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</si>
  <si>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</si>
  <si>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</si>
  <si>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</si>
  <si>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</si>
  <si>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</si>
  <si>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</si>
  <si>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</si>
  <si>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</si>
  <si>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</si>
  <si>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</si>
  <si>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</si>
  <si>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</si>
  <si>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</si>
  <si>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</si>
  <si>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</si>
  <si>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</si>
  <si>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</si>
  <si>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</si>
  <si>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</si>
  <si>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</si>
  <si>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</si>
  <si>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</si>
  <si>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</si>
  <si>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</si>
  <si>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</si>
  <si>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</si>
  <si>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</si>
  <si>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</si>
  <si>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</si>
  <si>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</si>
  <si>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</si>
  <si>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</si>
  <si>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</si>
  <si>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</si>
  <si>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</si>
  <si>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</si>
  <si>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</si>
  <si>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</si>
  <si>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</si>
  <si>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</si>
  <si>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</si>
  <si>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</si>
  <si>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</si>
  <si>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</si>
  <si>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</si>
  <si>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</si>
  <si>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</si>
  <si>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</si>
  <si>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</si>
  <si>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</si>
  <si>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</si>
  <si>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</si>
  <si>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</si>
  <si>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</si>
  <si>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</si>
  <si>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</si>
  <si>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</si>
  <si>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</si>
  <si>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</si>
  <si>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</si>
  <si>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</si>
  <si>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</si>
  <si>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</si>
  <si>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</si>
  <si>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</si>
  <si>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</si>
  <si>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</si>
  <si>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</si>
  <si>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</si>
  <si>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</si>
  <si>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</si>
  <si>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</si>
  <si>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</si>
  <si>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</si>
  <si>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</si>
  <si>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</si>
  <si>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</si>
  <si>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</si>
  <si>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</si>
  <si>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</si>
  <si>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</si>
  <si>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</si>
  <si>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</si>
  <si>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</si>
  <si>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</si>
  <si>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</si>
  <si>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</si>
  <si>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</si>
  <si>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</si>
  <si>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</si>
  <si>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</si>
  <si>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</si>
  <si>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</si>
  <si>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</si>
  <si>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</si>
  <si>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</si>
  <si>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</si>
  <si>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</si>
  <si>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</si>
  <si>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</si>
  <si>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</si>
  <si>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</si>
  <si>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</si>
  <si>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</si>
  <si>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</si>
  <si>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</si>
  <si>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</si>
  <si>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</si>
  <si>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</si>
  <si>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</si>
  <si>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</si>
  <si>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</si>
  <si>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</si>
  <si>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</si>
  <si>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</si>
  <si>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</si>
  <si>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</si>
  <si>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</si>
  <si>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</si>
  <si>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</si>
  <si>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</si>
  <si>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</si>
  <si>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</si>
  <si>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</si>
  <si>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</si>
  <si>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</si>
  <si>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</si>
  <si>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</si>
  <si>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</si>
  <si>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</si>
  <si>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</si>
  <si>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</si>
  <si>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</si>
  <si>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</si>
  <si>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</si>
  <si>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</si>
  <si>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</si>
  <si>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</si>
  <si>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</si>
  <si>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</si>
  <si>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</si>
  <si>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</si>
  <si>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</si>
  <si>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</si>
  <si>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</si>
  <si>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</si>
  <si>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</si>
  <si>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</si>
  <si>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</si>
  <si>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</si>
  <si>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</si>
  <si>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</si>
  <si>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</si>
  <si>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</si>
  <si>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</si>
  <si>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</si>
  <si>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</si>
  <si>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</si>
  <si>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</si>
  <si>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</si>
  <si>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</si>
  <si>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</si>
  <si>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</si>
  <si>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</si>
  <si>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</si>
  <si>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</si>
  <si>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</si>
  <si>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</si>
  <si>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</si>
  <si>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</si>
  <si>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</si>
  <si>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</si>
  <si>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</si>
  <si>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</si>
  <si>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</si>
  <si>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</si>
  <si>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</si>
  <si>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</si>
  <si>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</si>
  <si>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</si>
  <si>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</si>
  <si>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</si>
  <si>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</si>
  <si>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</si>
  <si>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</si>
  <si>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</si>
  <si>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</si>
  <si>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</si>
  <si>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</si>
  <si>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</si>
  <si>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</si>
  <si>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</si>
  <si>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</si>
  <si>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</si>
  <si>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</si>
  <si>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</si>
  <si>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</si>
  <si>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</si>
  <si>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</si>
  <si>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</si>
  <si>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</si>
  <si>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</si>
  <si>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</si>
  <si>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</si>
  <si>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</si>
  <si>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</si>
  <si>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</si>
  <si>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</si>
  <si>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</si>
  <si>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</si>
  <si>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</si>
  <si>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</si>
  <si>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</si>
  <si>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</si>
  <si>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</si>
  <si>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</si>
  <si>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</si>
  <si>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</si>
  <si>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</si>
  <si>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</si>
  <si>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</si>
  <si>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</si>
  <si>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</si>
  <si>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</si>
  <si>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</si>
  <si>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</si>
  <si>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</si>
  <si>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</si>
  <si>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</si>
  <si>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</si>
  <si>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</si>
  <si>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</si>
  <si>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</si>
  <si>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</si>
  <si>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</si>
  <si>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</si>
  <si>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</si>
  <si>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</si>
  <si>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</si>
  <si>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</si>
  <si>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</si>
  <si>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</si>
  <si>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</si>
  <si>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</si>
  <si>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</si>
  <si>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</si>
  <si>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</si>
  <si>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</si>
  <si>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</si>
  <si>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</si>
  <si>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</si>
  <si>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</si>
  <si>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</si>
  <si>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</si>
  <si>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</si>
  <si>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</si>
  <si>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</si>
  <si>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</si>
  <si>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</si>
  <si>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</si>
  <si>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</si>
  <si>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</si>
  <si>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</si>
  <si>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</si>
  <si>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</si>
  <si>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</si>
  <si>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</si>
  <si>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</si>
  <si>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</si>
  <si>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</si>
  <si>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</si>
  <si>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</si>
  <si>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</si>
  <si>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</si>
  <si>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</si>
  <si>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</si>
  <si>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</si>
  <si>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</si>
  <si>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</si>
  <si>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</si>
  <si>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</si>
  <si>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</si>
  <si>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</si>
  <si>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</si>
  <si>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</si>
  <si>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</si>
  <si>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</si>
  <si>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</si>
  <si>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</si>
  <si>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</si>
  <si>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</si>
  <si>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</si>
  <si>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</si>
  <si>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</si>
  <si>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</si>
  <si>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</si>
  <si>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</si>
  <si>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</si>
  <si>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</si>
  <si>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</si>
  <si>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</si>
  <si>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</si>
  <si>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</si>
  <si>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</si>
  <si>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</si>
  <si>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</si>
  <si>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</si>
  <si>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</si>
  <si>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</si>
  <si>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</si>
  <si>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</si>
  <si>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</si>
  <si>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</si>
  <si>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</si>
  <si>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</si>
  <si>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</si>
  <si>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</si>
  <si>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</si>
  <si>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</si>
  <si>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</si>
  <si>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</si>
  <si>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</si>
  <si>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</si>
  <si>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</si>
  <si>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</si>
  <si>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</si>
  <si>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</si>
  <si>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</si>
  <si>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</si>
  <si>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</si>
  <si>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</si>
  <si>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</si>
  <si>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</si>
  <si>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</si>
  <si>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</si>
  <si>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</si>
  <si>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</si>
  <si>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</si>
  <si>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</si>
  <si>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</si>
  <si>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</si>
  <si>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</si>
  <si>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</si>
  <si>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</si>
  <si>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</si>
  <si>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</si>
  <si>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</si>
  <si>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</si>
  <si>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</si>
  <si>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</si>
  <si>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</si>
  <si>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</si>
  <si>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</si>
  <si>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</si>
  <si>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</si>
  <si>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</si>
  <si>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</si>
  <si>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</si>
  <si>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</si>
  <si>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</si>
  <si>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</si>
  <si>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</si>
  <si>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</si>
  <si>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</si>
  <si>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</si>
  <si>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</si>
  <si>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</si>
  <si>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</si>
  <si>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</si>
  <si>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</si>
  <si>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</si>
  <si>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</si>
  <si>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</si>
  <si>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</si>
  <si>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</si>
  <si>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</si>
  <si>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</si>
  <si>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</si>
  <si>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</si>
  <si>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</si>
  <si>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</si>
  <si>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</si>
  <si>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</si>
  <si>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</si>
  <si>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</si>
  <si>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</si>
  <si>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</si>
  <si>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</si>
  <si>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</si>
  <si>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</si>
  <si>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</si>
  <si>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</si>
  <si>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</si>
  <si>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</si>
  <si>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</si>
  <si>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</si>
  <si>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</si>
  <si>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</si>
  <si>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</si>
  <si>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</si>
  <si>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</si>
  <si>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</si>
  <si>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</si>
  <si>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</si>
  <si>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</si>
  <si>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</si>
  <si>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</si>
  <si>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</si>
  <si>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</si>
  <si>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</si>
  <si>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</si>
  <si>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</si>
  <si>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</si>
  <si>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</si>
  <si>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</si>
  <si>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</si>
  <si>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</si>
  <si>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</si>
  <si>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</si>
  <si>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</si>
  <si>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</si>
  <si>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</si>
  <si>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</si>
  <si>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</si>
  <si>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</si>
  <si>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</si>
  <si>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</si>
  <si>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</si>
  <si>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</si>
  <si>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</si>
  <si>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</si>
  <si>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</si>
  <si>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</si>
  <si>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</si>
  <si>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</si>
  <si>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</si>
  <si>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</si>
  <si>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</si>
  <si>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</si>
  <si>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</si>
  <si>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</si>
  <si>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</si>
  <si>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</si>
  <si>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</si>
  <si>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</si>
  <si>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</si>
  <si>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</si>
  <si>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</si>
  <si>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</si>
  <si>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</si>
  <si>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</si>
  <si>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</si>
  <si>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</si>
  <si>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</si>
  <si>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</si>
  <si>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</si>
  <si>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</si>
  <si>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</si>
  <si>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</si>
  <si>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</si>
  <si>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</si>
  <si>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</si>
  <si>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</si>
  <si>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</si>
  <si>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</si>
  <si>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</si>
  <si>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</si>
  <si>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</si>
  <si>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</si>
  <si>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</si>
  <si>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</si>
  <si>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</si>
  <si>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</si>
  <si>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</si>
  <si>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</si>
  <si>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</si>
  <si>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</si>
  <si>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</si>
  <si>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</si>
  <si>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</si>
  <si>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</si>
  <si>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</si>
  <si>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</si>
  <si>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</si>
  <si>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</si>
  <si>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</si>
  <si>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</si>
  <si>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</si>
  <si>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</si>
  <si>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</si>
  <si>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</si>
  <si>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</si>
  <si>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</si>
  <si>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</si>
  <si>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</si>
  <si>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</si>
  <si>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</si>
  <si>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</si>
  <si>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</si>
  <si>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</si>
  <si>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</si>
  <si>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</si>
  <si>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</si>
  <si>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</si>
  <si>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</si>
  <si>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</si>
  <si>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</si>
  <si>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</si>
  <si>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</si>
  <si>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</si>
  <si>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</si>
  <si>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</si>
  <si>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</si>
  <si>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</si>
  <si>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</si>
  <si>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</si>
  <si>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</si>
  <si>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</si>
  <si>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</si>
  <si>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</si>
  <si>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</si>
  <si>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</si>
  <si>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</si>
  <si>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</si>
  <si>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</si>
  <si>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</si>
  <si>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</si>
  <si>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</si>
  <si>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</si>
  <si>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</si>
  <si>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</si>
  <si>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</si>
  <si>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</si>
  <si>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</si>
  <si>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</si>
  <si>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</si>
  <si>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</si>
  <si>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</si>
  <si>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</si>
  <si>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</si>
  <si>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</si>
  <si>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</si>
  <si>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</si>
  <si>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</si>
  <si>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</si>
  <si>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</si>
  <si>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</si>
  <si>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</si>
  <si>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</si>
  <si>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</si>
  <si>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</si>
  <si>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</si>
  <si>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</si>
  <si>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</si>
  <si>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</si>
  <si>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</si>
  <si>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</si>
  <si>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</si>
  <si>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</si>
  <si>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</si>
  <si>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</si>
  <si>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</si>
  <si>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</si>
  <si>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</si>
  <si>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</si>
  <si>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</si>
  <si>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</si>
  <si>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</si>
  <si>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</si>
  <si>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</si>
  <si>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</si>
  <si>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</si>
  <si>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</si>
  <si>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</si>
  <si>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</si>
  <si>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</si>
  <si>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</si>
  <si>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</si>
  <si>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</si>
  <si>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</si>
  <si>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</si>
  <si>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</si>
  <si>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</si>
  <si>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</si>
  <si>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</si>
  <si>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</si>
  <si>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</si>
  <si>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</si>
  <si>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</si>
  <si>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</si>
  <si>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</si>
  <si>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</si>
  <si>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</si>
  <si>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</si>
  <si>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</si>
  <si>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</si>
  <si>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</si>
  <si>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</si>
  <si>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</si>
  <si>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</si>
  <si>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</si>
  <si>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</si>
  <si>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</si>
  <si>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</si>
  <si>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</si>
  <si>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</si>
  <si>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</si>
  <si>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</si>
  <si>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</si>
  <si>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</si>
  <si>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</si>
  <si>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</si>
  <si>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</si>
  <si>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</si>
  <si>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</si>
  <si>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</si>
  <si>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</si>
  <si>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</si>
  <si>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</si>
  <si>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</si>
  <si>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</si>
  <si>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</si>
  <si>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</si>
  <si>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</si>
  <si>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</si>
  <si>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</si>
  <si>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</si>
  <si>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</si>
  <si>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</si>
  <si>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</si>
  <si>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</si>
  <si>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</si>
  <si>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</si>
  <si>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</si>
  <si>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</si>
  <si>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</si>
  <si>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</si>
  <si>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</si>
  <si>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</si>
  <si>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</si>
  <si>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</si>
  <si>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万元</t>
  </si>
  <si>
    <t>总价</t>
  </si>
  <si>
    <t>商业</t>
  </si>
  <si>
    <t>利息：取LPR加浮动点数</t>
  </si>
  <si>
    <t>钢混</t>
  </si>
  <si>
    <t>成本法</t>
  </si>
  <si>
    <t>收益法</t>
  </si>
  <si>
    <t>已包含在土地取得成本中</t>
  </si>
  <si>
    <t>租赁期内按合同租金</t>
  </si>
  <si>
    <t>押一</t>
  </si>
  <si>
    <t>非生产用房</t>
  </si>
  <si>
    <t>未包含在土地购买价格中</t>
  </si>
  <si>
    <t>自定义</t>
  </si>
  <si>
    <t>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</si>
</sst>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protection locked="0"/>
    </xf>
    <xf numFmtId="196" fontId="49" fillId="8" borderId="6" xfId="0" applyNumberFormat="1"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2" fontId="0" fillId="0" borderId="0" xfId="0" applyNumberFormat="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W2">
            <v>2439410.38</v>
          </cell>
        </row>
        <row r="3">
          <cell r="W3">
            <v>1880275.2450000001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估价对象为北京市房地产，为所有。根据《》[]，估价对象建筑面积为497.23平方米。根据《》[]，估价对象（分摊）出让国有建设用地使用权面积为平方米。估价对象用途为。</v>
      </c>
    </row>
    <row r="8" spans="1:2">
      <c r="A8" s="1138" t="s">
        <v>863</v>
      </c>
      <c r="B8" s="1125"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2022年4月25日（评估专业人员实地查勘之日）</v>
      </c>
    </row>
    <row r="10" spans="1:2">
      <c r="A10" s="1138" t="s">
        <v>865</v>
      </c>
      <c r="B10" s="1125" t="str">
        <f>'预评函-1'!A13</f>
        <v>本次估价的“房地产价值”是指在正常市场情况下，在价值时点2022年4月25日，估价对象规划用途为，假定未设立法定优先受偿款下的房地产市场价值。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本次评估采用的主估价方法为基准地价系数修正法和基准地价系数修正法。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497.23</v>
      </c>
    </row>
    <row r="19" spans="1:2">
      <c r="A19" s="1138" t="s">
        <v>874</v>
      </c>
      <c r="B19" s="1125">
        <f>'预评函-2（1）'!D7</f>
        <v>0</v>
      </c>
    </row>
    <row r="20" spans="1:2">
      <c r="A20" s="1138" t="s">
        <v>912</v>
      </c>
      <c r="B20" s="1125" t="str">
        <f>'预评函-2（1）'!C7</f>
        <v>总价（万元）</v>
      </c>
    </row>
    <row r="21" spans="1:2">
      <c r="A21" s="1138" t="s">
        <v>875</v>
      </c>
      <c r="B21" s="1125" t="e">
        <f>'预评函-2（1）'!D9</f>
        <v>#DIV/0!</v>
      </c>
    </row>
    <row r="22" spans="1:2">
      <c r="A22" s="1138" t="s">
        <v>876</v>
      </c>
      <c r="B22" s="1125" t="str">
        <f>'预评函-2（1）'!D8</f>
        <v>零元整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'预评函-2（1）'!D15</f>
        <v>0</v>
      </c>
    </row>
    <row r="30" spans="1:2">
      <c r="A30" s="1138" t="s">
        <v>882</v>
      </c>
      <c r="B30" s="1125" t="str">
        <f>'预评函-2（1）'!D16</f>
        <v>零元整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t="e">
        <f>'预评函-2（2）'!E4</f>
        <v>#DIV/0!</v>
      </c>
    </row>
    <row r="39" spans="1:2">
      <c r="A39" s="1138" t="s">
        <v>891</v>
      </c>
      <c r="B39" s="1125" t="str">
        <f>'预评函-2（2）'!D5</f>
        <v>零元整</v>
      </c>
    </row>
    <row r="40" spans="1:2">
      <c r="A40" s="1138" t="s">
        <v>892</v>
      </c>
      <c r="B40" s="1125">
        <f>'预评函-2（2）'!F4</f>
        <v>0</v>
      </c>
    </row>
    <row r="41" spans="1:2">
      <c r="A41" s="1138" t="s">
        <v>893</v>
      </c>
      <c r="B41" s="1125" t="e">
        <f>'预评函-2（2）'!G4</f>
        <v>#DIV/0!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t="e">
        <f>'预评函-2（1）'!D38</f>
        <v>#DIV/0!</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2" sqref="E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44676</v>
      </c>
      <c r="C2" s="2808" t="s">
        <v>1291</v>
      </c>
      <c r="D2" s="2509">
        <f>B2</f>
        <v>44676</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3028</v>
      </c>
      <c r="E4" s="782"/>
      <c r="F4" s="782"/>
      <c r="G4" s="1120"/>
    </row>
    <row r="5" spans="1:17">
      <c r="A5" s="1357" t="s">
        <v>1295</v>
      </c>
      <c r="B5" s="1358" t="s">
        <v>2478</v>
      </c>
      <c r="C5" s="2810" t="s">
        <v>1296</v>
      </c>
      <c r="D5" s="1360" t="s">
        <v>3029</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3031</v>
      </c>
      <c r="C7" s="1452" t="str">
        <f>IF(B7="自然人","姓名","名称")</f>
        <v>名称</v>
      </c>
      <c r="D7" s="1365"/>
      <c r="E7" s="783"/>
      <c r="F7" s="783"/>
      <c r="G7" s="1121"/>
    </row>
    <row r="8" spans="1:17" ht="13.5" thickTop="1">
      <c r="A8" s="3377" t="s">
        <v>1301</v>
      </c>
      <c r="B8" s="1366" t="s">
        <v>1302</v>
      </c>
      <c r="C8" s="3390"/>
      <c r="D8" s="3391"/>
      <c r="E8" s="2518" t="s">
        <v>1303</v>
      </c>
      <c r="F8" s="2519" t="s">
        <v>1304</v>
      </c>
      <c r="G8" s="2520">
        <f>C6</f>
        <v>0</v>
      </c>
    </row>
    <row r="9" spans="1:17">
      <c r="A9" s="3377"/>
      <c r="B9" s="259" t="s">
        <v>1305</v>
      </c>
      <c r="C9" s="1358"/>
      <c r="D9" s="1367"/>
      <c r="E9" s="2814" t="s">
        <v>1306</v>
      </c>
      <c r="F9" s="2521"/>
      <c r="G9" s="2522"/>
    </row>
    <row r="10" spans="1:17" ht="13.5" thickBot="1">
      <c r="A10" s="3377"/>
      <c r="B10" s="259" t="s">
        <v>1307</v>
      </c>
      <c r="C10" s="3392"/>
      <c r="D10" s="3393"/>
      <c r="E10" s="2815" t="s">
        <v>1308</v>
      </c>
      <c r="F10" s="2523"/>
      <c r="G10" s="2524"/>
    </row>
    <row r="11" spans="1:17" ht="13.5" thickBot="1">
      <c r="A11" s="3377"/>
      <c r="B11" s="1369" t="s">
        <v>1309</v>
      </c>
      <c r="C11" s="3394"/>
      <c r="D11" s="3395"/>
      <c r="E11" s="769"/>
      <c r="F11" s="769"/>
      <c r="G11" s="788"/>
    </row>
    <row r="12" spans="1:17" ht="13.5" thickBot="1">
      <c r="A12" s="3381" t="s">
        <v>2584</v>
      </c>
      <c r="B12" s="2816" t="s">
        <v>1310</v>
      </c>
      <c r="C12" s="766">
        <v>497.23</v>
      </c>
      <c r="D12" s="1370" t="s">
        <v>1311</v>
      </c>
      <c r="E12" s="1371"/>
      <c r="F12" s="1372"/>
      <c r="G12" s="788"/>
    </row>
    <row r="13" spans="1:17" ht="21" customHeight="1" thickBot="1">
      <c r="A13" s="3382"/>
      <c r="B13" s="2817" t="s">
        <v>1312</v>
      </c>
      <c r="C13" s="767"/>
      <c r="D13" s="1373" t="s">
        <v>1313</v>
      </c>
      <c r="E13" s="1374"/>
      <c r="F13" s="769"/>
      <c r="G13" s="788"/>
      <c r="I13" s="3400"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2585</v>
      </c>
      <c r="C14" s="2526"/>
      <c r="D14" s="769"/>
      <c r="E14" s="769"/>
      <c r="F14" s="769"/>
      <c r="G14" s="788"/>
      <c r="I14" s="340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v>1</v>
      </c>
      <c r="D15" s="783"/>
      <c r="E15" s="783"/>
      <c r="F15" s="783"/>
      <c r="G15" s="1121"/>
      <c r="I15" s="340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6" t="s">
        <v>1320</v>
      </c>
      <c r="C17" s="3397"/>
      <c r="D17" s="3398" t="s">
        <v>1321</v>
      </c>
      <c r="E17" s="3399"/>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9" t="s">
        <v>2583</v>
      </c>
      <c r="B24" s="3409"/>
      <c r="C24" s="3409"/>
      <c r="D24" s="3409"/>
      <c r="E24" s="3409"/>
      <c r="F24" s="3409"/>
      <c r="G24" s="340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4" t="s">
        <v>1334</v>
      </c>
      <c r="D28" s="3385"/>
      <c r="E28" s="759"/>
      <c r="F28" s="761" t="s">
        <v>1334</v>
      </c>
      <c r="G28" s="759"/>
      <c r="K28" s="2821"/>
    </row>
    <row r="29" spans="1:66">
      <c r="A29" s="762" t="s">
        <v>1335</v>
      </c>
      <c r="B29" s="756"/>
      <c r="C29" s="3386" t="s">
        <v>1336</v>
      </c>
      <c r="D29" s="3387"/>
      <c r="E29" s="756"/>
      <c r="F29" s="762" t="s">
        <v>1336</v>
      </c>
      <c r="G29" s="756"/>
      <c r="K29" s="2821"/>
    </row>
    <row r="30" spans="1:66">
      <c r="A30" s="762" t="s">
        <v>1337</v>
      </c>
      <c r="B30" s="756"/>
      <c r="C30" s="3386" t="s">
        <v>1337</v>
      </c>
      <c r="D30" s="3387"/>
      <c r="E30" s="756"/>
      <c r="F30" s="762" t="s">
        <v>1338</v>
      </c>
      <c r="G30" s="756"/>
      <c r="K30" s="2821"/>
    </row>
    <row r="31" spans="1:66">
      <c r="A31" s="762" t="s">
        <v>1339</v>
      </c>
      <c r="B31" s="756"/>
      <c r="C31" s="3406" t="s">
        <v>1340</v>
      </c>
      <c r="D31" s="769"/>
      <c r="E31" s="2544"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5"/>
    </row>
    <row r="36" spans="1:7">
      <c r="A36" s="762" t="s">
        <v>1310</v>
      </c>
      <c r="B36" s="756"/>
      <c r="C36" s="3386" t="s">
        <v>1354</v>
      </c>
      <c r="D36" s="3387"/>
      <c r="E36" s="756"/>
      <c r="F36" s="2546" t="s">
        <v>1355</v>
      </c>
      <c r="G36" s="759"/>
    </row>
    <row r="37" spans="1:7" ht="13.5" thickBot="1">
      <c r="A37" s="762" t="s">
        <v>1356</v>
      </c>
      <c r="B37" s="756"/>
      <c r="C37" s="3388" t="s">
        <v>1357</v>
      </c>
      <c r="D37" s="3389"/>
      <c r="E37" s="760"/>
      <c r="F37" s="1390" t="s">
        <v>1358</v>
      </c>
      <c r="G37" s="756"/>
    </row>
    <row r="38" spans="1:7" ht="13.5" thickBot="1">
      <c r="A38" s="762" t="s">
        <v>1359</v>
      </c>
      <c r="B38" s="756"/>
      <c r="C38" s="3378" t="s">
        <v>1360</v>
      </c>
      <c r="D38" s="1370"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3" t="s">
        <v>1312</v>
      </c>
      <c r="E41" s="760"/>
      <c r="F41" s="763" t="s">
        <v>1368</v>
      </c>
      <c r="G41" s="760"/>
    </row>
    <row r="42" spans="1:7">
      <c r="A42" s="764" t="s">
        <v>1369</v>
      </c>
      <c r="B42" s="2547"/>
      <c r="C42" s="3401" t="s">
        <v>1369</v>
      </c>
      <c r="D42" s="3402"/>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49"/>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0" sqref="C20"/>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44676</v>
      </c>
      <c r="C2" s="1612"/>
      <c r="D2" s="3412"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3032</v>
      </c>
      <c r="C3" s="1612"/>
      <c r="D3" s="3413"/>
      <c r="E3" s="2556"/>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3033</v>
      </c>
      <c r="C4" s="1612"/>
      <c r="D4" s="3413"/>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497.23</v>
      </c>
      <c r="C5" s="1612"/>
      <c r="D5" s="2842" t="s">
        <v>1385</v>
      </c>
      <c r="E5" s="2559"/>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2593</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40</v>
      </c>
      <c r="C11" s="1612"/>
      <c r="D11" s="2846" t="s">
        <v>1392</v>
      </c>
      <c r="E11" s="2566">
        <v>150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c r="C12" s="1612"/>
      <c r="D12" s="2847" t="s">
        <v>1395</v>
      </c>
      <c r="E12" s="2569">
        <v>190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26</v>
      </c>
      <c r="C13" s="2884"/>
      <c r="D13" s="2850" t="s">
        <v>1397</v>
      </c>
      <c r="E13" s="2570">
        <f>成本法!C10</f>
        <v>94474</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0.83799999999999997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2594</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2595</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2592</v>
      </c>
      <c r="B17" s="3006">
        <v>0.08</v>
      </c>
      <c r="C17" s="2480" t="s">
        <v>2596</v>
      </c>
      <c r="D17" s="2843" t="s">
        <v>1406</v>
      </c>
      <c r="E17" s="2574">
        <v>3000</v>
      </c>
      <c r="F17" s="905"/>
      <c r="G17" s="1612">
        <f ca="1">结果表!G20</f>
        <v>26166</v>
      </c>
      <c r="H17" s="1612">
        <f ca="1">结果表!G19</f>
        <v>1301</v>
      </c>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1491690</v>
      </c>
      <c r="F18" s="2575">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0.78</v>
      </c>
      <c r="F20" s="905"/>
      <c r="G20" s="1612">
        <f>2022-B27</f>
        <v>13</v>
      </c>
      <c r="H20" s="1612">
        <f>47/60</f>
        <v>0.78333333333333333</v>
      </c>
      <c r="I20" s="1612">
        <f>(0.78+0.9)/2</f>
        <v>0.84000000000000008</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2602</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1</v>
      </c>
      <c r="C22" s="1612"/>
      <c r="D22" s="2847" t="s">
        <v>1412</v>
      </c>
      <c r="E22" s="2582">
        <v>0</v>
      </c>
      <c r="F22" s="2590" t="s">
        <v>2600</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1</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1</v>
      </c>
      <c r="C24" s="1612"/>
      <c r="D24" s="2854" t="s">
        <v>1416</v>
      </c>
      <c r="E24" s="2583">
        <v>1.4999999999999999E-2</v>
      </c>
      <c r="F24" s="2590" t="s">
        <v>2603</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1</v>
      </c>
      <c r="C25" s="1612"/>
      <c r="D25" s="2846" t="s">
        <v>1418</v>
      </c>
      <c r="E25" s="2579">
        <v>0.02</v>
      </c>
      <c r="F25" s="2590" t="s">
        <v>2601</v>
      </c>
      <c r="I25" s="2885"/>
    </row>
    <row r="26" spans="1:41" ht="15" thickBot="1">
      <c r="A26" s="2863" t="s">
        <v>1417</v>
      </c>
      <c r="B26" s="2867">
        <f>B22-B23</f>
        <v>0</v>
      </c>
      <c r="D26" s="2847" t="s">
        <v>1420</v>
      </c>
      <c r="E26" s="2582">
        <v>0.02</v>
      </c>
      <c r="F26" s="2590" t="s">
        <v>2601</v>
      </c>
      <c r="G26" s="2886"/>
      <c r="H26" s="2886"/>
      <c r="I26" s="1612"/>
      <c r="J26" s="1612"/>
      <c r="K26" s="1612"/>
      <c r="L26" s="1612"/>
      <c r="M26" s="1612"/>
      <c r="N26" s="1612"/>
    </row>
    <row r="27" spans="1:41" ht="15.75" thickBot="1">
      <c r="A27" s="2868" t="s">
        <v>1419</v>
      </c>
      <c r="B27" s="2584">
        <v>2009</v>
      </c>
      <c r="C27" s="1612"/>
      <c r="D27" s="3073" t="s">
        <v>3035</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0.15</v>
      </c>
      <c r="G28" s="2886"/>
      <c r="H28" s="2886"/>
      <c r="K28" s="1612"/>
      <c r="N28" s="1612"/>
    </row>
    <row r="29" spans="1:41" ht="14.25">
      <c r="A29" s="2870" t="s">
        <v>1421</v>
      </c>
      <c r="B29" s="2585" t="s">
        <v>3040</v>
      </c>
      <c r="D29" s="2852" t="s">
        <v>1423</v>
      </c>
      <c r="E29" s="2871">
        <f>E30+E31</f>
        <v>5.5000000000000007E-2</v>
      </c>
      <c r="F29" s="1237"/>
      <c r="G29" s="2886"/>
      <c r="H29" s="2886"/>
      <c r="K29" s="1612"/>
      <c r="N29" s="1612"/>
    </row>
    <row r="30" spans="1:41" ht="14.25">
      <c r="A30" s="2847" t="str">
        <f>IF(B29="租赁期内按合同租金","合同租金","市场租金")</f>
        <v>合同租金</v>
      </c>
      <c r="B30" s="3324">
        <v>6.57</v>
      </c>
      <c r="C30" s="2592">
        <f>收益法!C6</f>
        <v>1192382</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0</v>
      </c>
      <c r="D32" s="2854" t="s">
        <v>1429</v>
      </c>
      <c r="E32" s="2589">
        <v>0.05</v>
      </c>
      <c r="F32" s="2590" t="s">
        <v>2488</v>
      </c>
      <c r="G32" s="2886"/>
      <c r="H32" s="2886"/>
      <c r="K32" s="1612"/>
      <c r="L32" s="1612"/>
      <c r="M32" s="1612"/>
      <c r="N32" s="1612"/>
    </row>
    <row r="33" spans="1:14" ht="14.25">
      <c r="A33" s="2847" t="s">
        <v>1428</v>
      </c>
      <c r="B33" s="2572">
        <v>0</v>
      </c>
      <c r="D33" s="2854" t="s">
        <v>1431</v>
      </c>
      <c r="E33" s="2588">
        <v>0.03</v>
      </c>
      <c r="F33" s="1236" t="s">
        <v>1432</v>
      </c>
      <c r="G33" s="2886"/>
      <c r="H33" s="2886"/>
      <c r="K33" s="1612"/>
      <c r="L33" s="1612"/>
      <c r="M33" s="1612"/>
      <c r="N33" s="1612"/>
    </row>
    <row r="34" spans="1:14" s="2592" customFormat="1" ht="14.25">
      <c r="A34" s="2847" t="s">
        <v>1430</v>
      </c>
      <c r="B34" s="2875">
        <f>收益法!J54</f>
        <v>26</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剩余租赁期</v>
      </c>
      <c r="B35" s="2591">
        <v>5.58</v>
      </c>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租金</v>
      </c>
      <c r="B37" s="2595">
        <f>ROUND(收益法!F50*(1+B38)^B35,2)</f>
        <v>7.46</v>
      </c>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年租金增长率</v>
      </c>
      <c r="B38" s="2572">
        <v>2.5000000000000001E-2</v>
      </c>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空置率</v>
      </c>
      <c r="B39" s="2572">
        <v>0.1</v>
      </c>
      <c r="D39" s="2850" t="s">
        <v>1443</v>
      </c>
      <c r="E39" s="2881">
        <v>0.12</v>
      </c>
      <c r="F39" s="1238"/>
      <c r="G39" s="2886"/>
      <c r="H39" s="2886"/>
      <c r="I39" s="1612"/>
      <c r="J39" s="1612"/>
      <c r="K39" s="1612"/>
      <c r="L39" s="1612"/>
      <c r="M39" s="1612"/>
      <c r="N39" s="1612"/>
    </row>
    <row r="40" spans="1:14" ht="14.25">
      <c r="A40" s="2847" t="str">
        <f>IF(B29="租赁期内按合同租金","成新率","——")</f>
        <v>成新率</v>
      </c>
      <c r="B40" s="2572">
        <v>0.7</v>
      </c>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租赁期外收益期</v>
      </c>
      <c r="B41" s="2882">
        <f>IF(B29="租赁期内按合同租金",B34-B35,"——")</f>
        <v>20.420000000000002</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2599</v>
      </c>
      <c r="D45" s="2600" t="s">
        <v>1456</v>
      </c>
      <c r="E45" s="2587"/>
      <c r="F45" s="1238">
        <v>12</v>
      </c>
      <c r="G45" s="2592"/>
      <c r="H45" s="2592"/>
      <c r="M45" s="1612"/>
      <c r="N45" s="1612"/>
    </row>
    <row r="46" spans="1:14" ht="14.25">
      <c r="A46" s="2847" t="s">
        <v>1455</v>
      </c>
      <c r="B46" s="2602">
        <v>1E-3</v>
      </c>
      <c r="C46" s="2480" t="s">
        <v>2597</v>
      </c>
      <c r="D46" s="2600" t="s">
        <v>1218</v>
      </c>
      <c r="E46" s="2587"/>
      <c r="F46" s="1238">
        <v>3</v>
      </c>
      <c r="G46" s="2592"/>
      <c r="H46" s="2592"/>
      <c r="M46" s="1612"/>
      <c r="N46" s="1612"/>
    </row>
    <row r="47" spans="1:14" ht="15" thickBot="1">
      <c r="A47" s="2850" t="s">
        <v>1457</v>
      </c>
      <c r="B47" s="2603">
        <v>0.01</v>
      </c>
      <c r="C47" s="2480" t="s">
        <v>2598</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4" t="s">
        <v>1463</v>
      </c>
      <c r="B1" s="3415"/>
      <c r="C1" s="3415"/>
      <c r="D1" s="3415"/>
      <c r="E1" s="3415"/>
      <c r="F1" s="3415"/>
      <c r="G1" s="341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2604</v>
      </c>
      <c r="D2" s="3018"/>
      <c r="E2" s="3015"/>
      <c r="F2" s="3019"/>
      <c r="G2" s="3017" t="s">
        <v>2605</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2606</v>
      </c>
      <c r="B3" s="3022" t="s">
        <v>2607</v>
      </c>
      <c r="C3" s="3023" t="s">
        <v>2608</v>
      </c>
      <c r="D3" s="3024"/>
      <c r="E3" s="3025" t="s">
        <v>2606</v>
      </c>
      <c r="F3" s="3026" t="s">
        <v>2609</v>
      </c>
      <c r="G3" s="3027" t="s">
        <v>2610</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2611</v>
      </c>
      <c r="C4" s="3028" t="s">
        <v>2612</v>
      </c>
      <c r="D4" s="3024"/>
      <c r="E4" s="3029"/>
      <c r="F4" s="3011" t="s">
        <v>2613</v>
      </c>
      <c r="G4" s="3030" t="s">
        <v>2614</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2615</v>
      </c>
      <c r="C5" s="3028" t="s">
        <v>2616</v>
      </c>
      <c r="D5" s="3024"/>
      <c r="E5" s="3029"/>
      <c r="F5" s="3009" t="s">
        <v>2617</v>
      </c>
      <c r="G5" s="3030" t="s">
        <v>2618</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2619</v>
      </c>
      <c r="C6" s="3030" t="s">
        <v>2614</v>
      </c>
      <c r="D6" s="3024"/>
      <c r="E6" s="3029"/>
      <c r="F6" s="3009" t="s">
        <v>2620</v>
      </c>
      <c r="G6" s="3030" t="s">
        <v>2621</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2617</v>
      </c>
      <c r="C7" s="3030" t="s">
        <v>2618</v>
      </c>
      <c r="D7" s="2899"/>
      <c r="E7" s="3031"/>
      <c r="F7" s="3032" t="s">
        <v>2622</v>
      </c>
      <c r="G7" s="3033" t="s">
        <v>2623</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2620</v>
      </c>
      <c r="C8" s="3030" t="s">
        <v>2621</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2624</v>
      </c>
      <c r="C9" s="3028" t="s">
        <v>2625</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2626</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2627</v>
      </c>
      <c r="D14" s="3024"/>
      <c r="E14" s="3042"/>
      <c r="F14" s="3042"/>
      <c r="G14" s="3017" t="s">
        <v>2628</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2629</v>
      </c>
      <c r="B15" s="3047" t="s">
        <v>2607</v>
      </c>
      <c r="C15" s="3048" t="str">
        <f>C3</f>
        <v>估价对象周边居住用地比例、居住小区规模和社区发展完善程度，综合评价居住社区成熟度一般</v>
      </c>
      <c r="D15" s="3024"/>
      <c r="E15" s="3049" t="s">
        <v>2630</v>
      </c>
      <c r="F15" s="3047" t="s">
        <v>2631</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2611</v>
      </c>
      <c r="C16" s="3052" t="str">
        <f>C4</f>
        <v>估价对象位于XX商圈，周边商业氛围成熟，人流量大，商业繁华度好</v>
      </c>
      <c r="D16" s="3024"/>
      <c r="E16" s="3053"/>
      <c r="F16" s="3010" t="s">
        <v>2613</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2615</v>
      </c>
      <c r="C17" s="3052" t="str">
        <f>C5</f>
        <v>估价对象位于XX商圈，周边办公楼项目较多，入驻率高，办公集聚程度较好</v>
      </c>
      <c r="D17" s="2899"/>
      <c r="E17" s="3053"/>
      <c r="F17" s="3323" t="s">
        <v>3026</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2619</v>
      </c>
      <c r="C18" s="3054" t="str">
        <f>C6</f>
        <v>估价对象周边道路状况、公共交通通达情况、停车便捷程度，综合评价交通便捷度较好</v>
      </c>
      <c r="D18" s="2899"/>
      <c r="E18" s="3053"/>
      <c r="F18" s="3010" t="s">
        <v>2622</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3025</v>
      </c>
      <c r="C19" s="3055"/>
      <c r="D19" s="3024"/>
      <c r="E19" s="3053"/>
      <c r="F19" s="3009" t="s">
        <v>2617</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2632</v>
      </c>
      <c r="C20" s="3052" t="str">
        <f>C9</f>
        <v>区域自然环境：；人文环境；综合评价环境状况一般</v>
      </c>
      <c r="D20" s="2899"/>
      <c r="E20" s="3053"/>
      <c r="F20" s="3009" t="s">
        <v>2620</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2617</v>
      </c>
      <c r="C21" s="3054" t="str">
        <f>C7</f>
        <v>估价对象所在区域公共配套设施齐备情况</v>
      </c>
      <c r="D21" s="3024"/>
      <c r="E21" s="3053"/>
      <c r="F21" s="3010" t="s">
        <v>2633</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2620</v>
      </c>
      <c r="C22" s="3054" t="str">
        <f>C8</f>
        <v>估价对象所在区域基础设施水平</v>
      </c>
      <c r="D22" s="3024"/>
      <c r="E22" s="3053"/>
      <c r="F22" s="3010" t="s">
        <v>2626</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2633</v>
      </c>
      <c r="C23" s="3056"/>
      <c r="D23" s="3043"/>
      <c r="E23" s="3058"/>
      <c r="F23" s="3012" t="s">
        <v>2634</v>
      </c>
      <c r="G23" s="3059"/>
      <c r="H23" s="3043"/>
      <c r="I23" s="3044"/>
      <c r="J23" s="3043"/>
      <c r="K23" s="3043"/>
      <c r="L23" s="3044"/>
      <c r="M23" s="3043"/>
      <c r="N23" s="3043"/>
      <c r="O23" s="3044"/>
      <c r="P23" s="3043"/>
      <c r="Q23" s="3043"/>
      <c r="R23" s="3045"/>
    </row>
    <row r="24" spans="1:29" s="3020" customFormat="1" ht="13.5" thickBot="1">
      <c r="A24" s="3060"/>
      <c r="B24" s="3012" t="s">
        <v>2635</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tabSelected="1" view="pageBreakPreview" zoomScale="80" zoomScaleNormal="100" zoomScaleSheetLayoutView="80" workbookViewId="0">
      <selection activeCell="F10" sqref="F10"/>
    </sheetView>
  </sheetViews>
  <sheetFormatPr defaultColWidth="14.625" defaultRowHeight="13.5"/>
  <cols>
    <col min="1" max="1" width="24.375" style="2500" customWidth="1"/>
    <col min="2" max="3" width="14.625" style="2500"/>
    <col min="4" max="4" width="15.75" style="2500" bestFit="1" customWidth="1"/>
    <col min="5" max="16384" width="14.625" style="2500"/>
  </cols>
  <sheetData>
    <row r="1" spans="1:9" ht="16.5">
      <c r="A1" s="2498" t="s">
        <v>973</v>
      </c>
      <c r="B1" s="2498">
        <f>SUM(B14:B23)</f>
        <v>497.23</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44676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1301</v>
      </c>
      <c r="C5" s="2498">
        <f ca="1">ROUND(B5*10000/$B$1,0)</f>
        <v>26165</v>
      </c>
      <c r="D5" s="2498" t="e">
        <f ca="1">ROUND(B5*10000/$B$2,0)</f>
        <v>#DIV/0!</v>
      </c>
      <c r="E5" s="1561"/>
      <c r="F5" s="2499"/>
      <c r="G5" s="2499"/>
    </row>
    <row r="6" spans="1:9" ht="16.5">
      <c r="A6" s="2498" t="s">
        <v>981</v>
      </c>
      <c r="B6" s="2498">
        <f ca="1">SUM(G14:G23)</f>
        <v>1301</v>
      </c>
      <c r="C6" s="2498">
        <f t="shared" ref="C6:C8" ca="1" si="0">ROUND(B6*10000/$B$1,0)</f>
        <v>26165</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3027</v>
      </c>
      <c r="B14" s="2834">
        <f>项目基本情况!C12</f>
        <v>497.23</v>
      </c>
      <c r="C14" s="2834">
        <f>项目基本情况!C13</f>
        <v>0</v>
      </c>
      <c r="D14" s="2834">
        <f ca="1">IF('数据-取费表'!B3="万元",IF(A14="估价对象1（结果表）",结果表!H121,'结果表 (1修多)'!H125),IF(A14="估价对象1（结果表）",结果表!H121,'结果表 (1修多)'!H125)/10000)</f>
        <v>1301</v>
      </c>
      <c r="E14" s="2834">
        <f ca="1">ROUND(D14*10000/B14,0)</f>
        <v>26165</v>
      </c>
      <c r="F14" s="2834" t="e">
        <f ca="1">ROUND(D14*10000/C14,0)</f>
        <v>#DIV/0!</v>
      </c>
      <c r="G14" s="2834">
        <f ca="1">IF('数据-取费表'!B3="万元",IF(A14="估价对象1（结果表）",结果表!D125,'结果表 (1修多)'!D129),IF(A14="估价对象1（结果表）",结果表!D125,'结果表 (1修多)'!D129)/10000)</f>
        <v>1301</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C27" s="2500">
        <f>1400/B14</f>
        <v>2.8155984152203204</v>
      </c>
      <c r="D27" s="3732">
        <f ca="1">D14*10000</f>
        <v>13010000</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3"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31" zoomScale="80" zoomScaleNormal="100" zoomScaleSheetLayoutView="80" zoomScalePageLayoutView="80" workbookViewId="0">
      <selection activeCell="E22" sqref="E22"/>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7" t="str">
        <f>项目基本情况!B1</f>
        <v>北京市房地产抵押价值预评估</v>
      </c>
      <c r="B2" s="3487"/>
      <c r="C2" s="3487"/>
      <c r="D2" s="3487"/>
      <c r="E2" s="3487"/>
      <c r="F2" s="3487"/>
      <c r="G2" s="3487"/>
      <c r="H2" s="3487"/>
      <c r="I2" s="3487"/>
      <c r="J2" s="2761"/>
    </row>
    <row r="3" spans="1:15" ht="12.75">
      <c r="A3" s="3492" t="s">
        <v>1471</v>
      </c>
      <c r="B3" s="3493"/>
      <c r="C3" s="3493"/>
      <c r="D3" s="3493"/>
      <c r="E3" s="3493"/>
      <c r="F3" s="3493"/>
      <c r="G3" s="3493"/>
      <c r="H3" s="3493"/>
      <c r="I3" s="3493"/>
      <c r="J3" s="2762"/>
    </row>
    <row r="4" spans="1:15" ht="14.25">
      <c r="A4" s="2630" t="s">
        <v>1472</v>
      </c>
      <c r="B4" s="2630" t="s">
        <v>1473</v>
      </c>
      <c r="C4" s="2631" t="s">
        <v>3037</v>
      </c>
      <c r="D4" s="2631" t="s">
        <v>3038</v>
      </c>
      <c r="E4" s="3489" t="s">
        <v>1474</v>
      </c>
      <c r="F4" s="3477"/>
      <c r="G4" s="3477"/>
      <c r="H4" s="3477"/>
      <c r="I4" s="3478"/>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88" t="s">
        <v>1475</v>
      </c>
      <c r="B5" s="3488">
        <v>25</v>
      </c>
      <c r="C5" s="3494"/>
      <c r="D5" s="3491"/>
      <c r="E5" s="12" t="s">
        <v>1476</v>
      </c>
      <c r="F5" s="2016"/>
      <c r="G5" s="2016"/>
      <c r="H5" s="2016"/>
      <c r="I5" s="2011"/>
      <c r="J5" s="2763"/>
    </row>
    <row r="6" spans="1:15" ht="12.75">
      <c r="A6" s="3488"/>
      <c r="B6" s="3488"/>
      <c r="C6" s="3495"/>
      <c r="D6" s="3491"/>
      <c r="E6" s="12" t="s">
        <v>1477</v>
      </c>
      <c r="F6" s="2016"/>
      <c r="G6" s="2016"/>
      <c r="H6" s="2016"/>
      <c r="I6" s="2011"/>
      <c r="J6" s="2763"/>
    </row>
    <row r="7" spans="1:15" ht="12.75">
      <c r="A7" s="3488"/>
      <c r="B7" s="3488"/>
      <c r="C7" s="3496"/>
      <c r="D7" s="3491"/>
      <c r="E7" s="12" t="s">
        <v>1478</v>
      </c>
      <c r="F7" s="2016"/>
      <c r="G7" s="2016"/>
      <c r="H7" s="2016"/>
      <c r="I7" s="2011"/>
      <c r="J7" s="2763"/>
    </row>
    <row r="8" spans="1:15" ht="12.75">
      <c r="A8" s="3488" t="s">
        <v>1479</v>
      </c>
      <c r="B8" s="3488">
        <v>15</v>
      </c>
      <c r="C8" s="3494"/>
      <c r="D8" s="3491"/>
      <c r="E8" s="12" t="s">
        <v>1480</v>
      </c>
      <c r="F8" s="2016"/>
      <c r="G8" s="2016"/>
      <c r="H8" s="2016"/>
      <c r="I8" s="2011"/>
      <c r="J8" s="2763"/>
    </row>
    <row r="9" spans="1:15" ht="12.75">
      <c r="A9" s="3488"/>
      <c r="B9" s="3488"/>
      <c r="C9" s="3496"/>
      <c r="D9" s="3491"/>
      <c r="E9" s="12" t="s">
        <v>1481</v>
      </c>
      <c r="F9" s="2016"/>
      <c r="G9" s="2016"/>
      <c r="H9" s="2016"/>
      <c r="I9" s="2011"/>
      <c r="J9" s="2763"/>
    </row>
    <row r="10" spans="1:15" ht="12.75">
      <c r="A10" s="3488" t="s">
        <v>1482</v>
      </c>
      <c r="B10" s="3488">
        <v>15</v>
      </c>
      <c r="C10" s="3494"/>
      <c r="D10" s="3491"/>
      <c r="E10" s="12" t="s">
        <v>1483</v>
      </c>
      <c r="F10" s="2016"/>
      <c r="G10" s="2016"/>
      <c r="H10" s="2016"/>
      <c r="I10" s="2011"/>
      <c r="J10" s="2763"/>
    </row>
    <row r="11" spans="1:15" ht="12.75">
      <c r="A11" s="3488"/>
      <c r="B11" s="3488"/>
      <c r="C11" s="3496"/>
      <c r="D11" s="3491"/>
      <c r="E11" s="12" t="s">
        <v>1484</v>
      </c>
      <c r="F11" s="2016"/>
      <c r="G11" s="2016"/>
      <c r="H11" s="2016"/>
      <c r="I11" s="2011"/>
      <c r="J11" s="2763"/>
    </row>
    <row r="12" spans="1:15" ht="12.75">
      <c r="A12" s="3488" t="s">
        <v>1485</v>
      </c>
      <c r="B12" s="3488">
        <v>15</v>
      </c>
      <c r="C12" s="3494"/>
      <c r="D12" s="3491"/>
      <c r="E12" s="12" t="s">
        <v>1486</v>
      </c>
      <c r="F12" s="2016"/>
      <c r="G12" s="2016"/>
      <c r="H12" s="2016"/>
      <c r="I12" s="2011"/>
      <c r="J12" s="2763"/>
    </row>
    <row r="13" spans="1:15" ht="12.75">
      <c r="A13" s="3488"/>
      <c r="B13" s="3488"/>
      <c r="C13" s="3496"/>
      <c r="D13" s="3491"/>
      <c r="E13" s="12" t="s">
        <v>1487</v>
      </c>
      <c r="F13" s="2016"/>
      <c r="G13" s="2016"/>
      <c r="H13" s="2016"/>
      <c r="I13" s="2011"/>
      <c r="J13" s="2763"/>
    </row>
    <row r="14" spans="1:15" ht="12.75">
      <c r="A14" s="3488" t="s">
        <v>1488</v>
      </c>
      <c r="B14" s="3488">
        <v>30</v>
      </c>
      <c r="C14" s="3494">
        <v>3</v>
      </c>
      <c r="D14" s="3491">
        <f>10-C14</f>
        <v>7</v>
      </c>
      <c r="E14" s="12" t="s">
        <v>1489</v>
      </c>
      <c r="F14" s="2016"/>
      <c r="G14" s="2016"/>
      <c r="H14" s="2016"/>
      <c r="I14" s="2011"/>
      <c r="J14" s="2763"/>
    </row>
    <row r="15" spans="1:15" ht="12.75">
      <c r="A15" s="3488"/>
      <c r="B15" s="3488"/>
      <c r="C15" s="3495"/>
      <c r="D15" s="3491"/>
      <c r="E15" s="12" t="s">
        <v>1490</v>
      </c>
      <c r="F15" s="2016"/>
      <c r="G15" s="2016"/>
      <c r="H15" s="2016"/>
      <c r="I15" s="2011"/>
      <c r="J15" s="2763"/>
    </row>
    <row r="16" spans="1:15" ht="12.75">
      <c r="A16" s="3488"/>
      <c r="B16" s="3488"/>
      <c r="C16" s="3496"/>
      <c r="D16" s="3491"/>
      <c r="E16" s="12" t="s">
        <v>1491</v>
      </c>
      <c r="F16" s="2016"/>
      <c r="G16" s="2016"/>
      <c r="H16" s="2016"/>
      <c r="I16" s="2011"/>
      <c r="J16" s="2763"/>
    </row>
    <row r="17" spans="1:36" ht="15">
      <c r="A17" s="2632" t="s">
        <v>1492</v>
      </c>
      <c r="B17" s="2021"/>
      <c r="C17" s="2633">
        <f>SUM(C5:C16)</f>
        <v>3</v>
      </c>
      <c r="D17" s="2633">
        <f>SUM(D5:D16)</f>
        <v>7</v>
      </c>
      <c r="E17" s="2480"/>
      <c r="F17" s="2480"/>
      <c r="G17" s="2480"/>
      <c r="H17" s="2480"/>
      <c r="I17" s="2480"/>
      <c r="J17" s="2764"/>
    </row>
    <row r="18" spans="1:36" ht="30" customHeight="1" thickBot="1">
      <c r="A18" s="2634" t="s">
        <v>1493</v>
      </c>
      <c r="B18" s="2635"/>
      <c r="C18" s="2636">
        <f>ROUND(C17/SUM(C17:D17),2)</f>
        <v>0.3</v>
      </c>
      <c r="D18" s="2636">
        <f>1-C18</f>
        <v>0.7</v>
      </c>
      <c r="E18" s="3508" t="s">
        <v>2573</v>
      </c>
      <c r="F18" s="3509"/>
      <c r="G18" s="3509"/>
      <c r="H18" s="3509"/>
      <c r="I18" s="3509"/>
      <c r="J18" s="2764"/>
    </row>
    <row r="19" spans="1:36" ht="15">
      <c r="A19" s="2637" t="s">
        <v>1494</v>
      </c>
      <c r="B19" s="2638" t="s">
        <v>1495</v>
      </c>
      <c r="C19" s="2639">
        <f ca="1">SUMIF(INDIRECT("'"&amp;C4&amp;"'"&amp;"!A:A"),结果表!B19,INDIRECT("'"&amp;C4&amp;"'"&amp;"!B:B"))</f>
        <v>765</v>
      </c>
      <c r="D19" s="2640">
        <f ca="1">SUMIF(INDIRECT("'"&amp;D4&amp;"'"&amp;"!A:A"),结果表!B19,INDIRECT("'"&amp;D4&amp;"'"&amp;"!B:B"))</f>
        <v>1531</v>
      </c>
      <c r="E19" s="2637" t="s">
        <v>1496</v>
      </c>
      <c r="F19" s="2638" t="s">
        <v>1495</v>
      </c>
      <c r="G19" s="2641">
        <f ca="1">ROUND(C19*$C$18+D19*$D$18,0)</f>
        <v>1301</v>
      </c>
      <c r="H19" s="2642" t="str">
        <f>'数据-取费表'!B3</f>
        <v>万元</v>
      </c>
      <c r="I19" s="2690"/>
      <c r="J19" s="2765"/>
    </row>
    <row r="20" spans="1:36" ht="15">
      <c r="A20" s="2643"/>
      <c r="B20" s="1621" t="s">
        <v>1497</v>
      </c>
      <c r="C20" s="1846">
        <f ca="1">SUMIF(INDIRECT("'"&amp;C4&amp;"'"&amp;"!A:A"),结果表!B20,INDIRECT("'"&amp;C4&amp;"'"&amp;"!B:B"))</f>
        <v>15385</v>
      </c>
      <c r="D20" s="1849">
        <f ca="1">SUMIF(INDIRECT("'"&amp;D4&amp;"'"&amp;"!A:A"),结果表!B20,INDIRECT("'"&amp;D4&amp;"'"&amp;"!B:B"))</f>
        <v>30786</v>
      </c>
      <c r="E20" s="2643"/>
      <c r="F20" s="1621" t="s">
        <v>1497</v>
      </c>
      <c r="G20" s="2020">
        <f ca="1">ROUND(C20*$C$18+D20*$D$18,0)</f>
        <v>26166</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1.0013071895424837</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7" t="s">
        <v>1500</v>
      </c>
      <c r="B24" s="2638" t="s">
        <v>1495</v>
      </c>
      <c r="C24" s="2641">
        <f>D30</f>
        <v>0</v>
      </c>
      <c r="D24" s="2593"/>
      <c r="E24" s="905"/>
      <c r="F24" s="905"/>
      <c r="G24" s="905"/>
      <c r="H24" s="905"/>
      <c r="I24" s="905"/>
      <c r="J24" s="2764"/>
    </row>
    <row r="25" spans="1:36" ht="21.75" customHeight="1">
      <c r="A25" s="3498"/>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2577</v>
      </c>
      <c r="F30" s="2480"/>
      <c r="G30" s="2480"/>
      <c r="H30" s="2480"/>
      <c r="I30" s="2480"/>
      <c r="J30" s="2764"/>
    </row>
    <row r="31" spans="1:36" s="2757" customFormat="1" ht="26.45" customHeight="1" thickTop="1" thickBot="1">
      <c r="A31" s="2752"/>
      <c r="B31" s="2753"/>
      <c r="C31" s="2753"/>
      <c r="D31" s="2753"/>
      <c r="E31" s="2753"/>
      <c r="F31" s="2753"/>
      <c r="G31" s="2753"/>
      <c r="H31" s="2753"/>
      <c r="I31" s="2754" t="s">
        <v>2578</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总价</v>
      </c>
      <c r="C32" s="2747">
        <f ca="1">IF(B32="总价",G19-C24,G20-C25)</f>
        <v>1301</v>
      </c>
      <c r="D32" s="2748" t="str">
        <f>IF(B32="楼面单价","元/平方米",H19)</f>
        <v>万元</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取值（总价）</v>
      </c>
      <c r="G33" s="905"/>
      <c r="H33" s="905"/>
      <c r="I33" s="905"/>
      <c r="J33" s="2764"/>
    </row>
    <row r="34" spans="1:17" ht="15">
      <c r="A34" s="1393"/>
      <c r="B34" s="2665" t="s">
        <v>1509</v>
      </c>
      <c r="C34" s="2666">
        <f ca="1">IF(D33="自定义",F34,C32-C35)</f>
        <v>818</v>
      </c>
      <c r="D34" s="2667">
        <f ca="1">IF(D33="自定义",ROUND(C34/C32,3),1-D35)</f>
        <v>0.629</v>
      </c>
      <c r="E34" s="1362" t="s">
        <v>1510</v>
      </c>
      <c r="F34" s="2668">
        <v>2000</v>
      </c>
      <c r="G34" s="905"/>
      <c r="H34" s="905"/>
      <c r="I34" s="905"/>
      <c r="J34" s="2764"/>
    </row>
    <row r="35" spans="1:17" ht="15.75" thickBot="1">
      <c r="A35" s="1394"/>
      <c r="B35" s="2669" t="s">
        <v>1511</v>
      </c>
      <c r="C35" s="2670">
        <f ca="1">IF(D33="自定义",F35,ROUND(C32*D35,0))</f>
        <v>483</v>
      </c>
      <c r="D35" s="2671">
        <f ca="1">IF(D33="自定义",ROUND(C35/C32,3),IF(D33="成本法成本比率",成本法!C56,IF(D33="收益法收益比率",收益法!J38,收益法!J41)))</f>
        <v>0.371</v>
      </c>
      <c r="E35" s="2672" t="s">
        <v>1512</v>
      </c>
      <c r="F35" s="2673">
        <v>4460</v>
      </c>
      <c r="G35" s="905"/>
      <c r="H35" s="905"/>
      <c r="I35" s="905"/>
      <c r="J35" s="2764"/>
    </row>
    <row r="36" spans="1:17" ht="15.75" thickBot="1">
      <c r="A36" s="3497" t="s">
        <v>1513</v>
      </c>
      <c r="B36" s="1395" t="s">
        <v>1514</v>
      </c>
      <c r="C36" s="2674">
        <v>0</v>
      </c>
      <c r="D36" s="2675"/>
      <c r="E36" s="1607"/>
      <c r="F36" s="1607"/>
      <c r="G36" s="905"/>
      <c r="H36" s="905"/>
      <c r="I36" s="905"/>
      <c r="J36" s="2764"/>
    </row>
    <row r="37" spans="1:17" ht="15.75" thickBot="1">
      <c r="A37" s="3502"/>
      <c r="B37" s="2021" t="s">
        <v>1515</v>
      </c>
      <c r="C37" s="2676">
        <v>0</v>
      </c>
      <c r="D37" s="1238"/>
      <c r="E37" s="1238"/>
      <c r="F37" s="1607"/>
      <c r="G37" s="1238"/>
      <c r="H37" s="1238"/>
      <c r="I37" s="1238"/>
      <c r="J37" s="2768"/>
    </row>
    <row r="38" spans="1:17" ht="15.75" thickBot="1">
      <c r="A38" s="3503"/>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2572</v>
      </c>
      <c r="J44" s="2770"/>
      <c r="K44" s="1402" t="s">
        <v>1523</v>
      </c>
      <c r="L44" s="1403"/>
      <c r="M44" s="1403"/>
      <c r="N44" s="1403"/>
      <c r="O44" s="1403"/>
      <c r="P44" s="1403"/>
      <c r="Q44" s="1235"/>
    </row>
    <row r="45" spans="1:17" ht="14.25" customHeight="1" thickBot="1">
      <c r="A45" s="3422" t="s">
        <v>1524</v>
      </c>
      <c r="B45" s="3423"/>
      <c r="C45" s="3433"/>
      <c r="D45" s="246">
        <f ca="1">ROUND(I102*F45,0)</f>
        <v>1301</v>
      </c>
      <c r="E45" s="1469" t="s">
        <v>1525</v>
      </c>
      <c r="F45" s="2478">
        <v>1</v>
      </c>
      <c r="G45" s="2479" t="s">
        <v>1526</v>
      </c>
      <c r="H45" s="905"/>
      <c r="I45" s="905"/>
      <c r="J45" s="2764"/>
      <c r="K45" s="3428" t="s">
        <v>2502</v>
      </c>
      <c r="L45" s="3428"/>
      <c r="M45" s="3428"/>
      <c r="N45" s="3428"/>
      <c r="O45" s="3428"/>
      <c r="P45" s="3428"/>
      <c r="Q45" s="1235"/>
    </row>
    <row r="46" spans="1:17" ht="14.25" customHeight="1">
      <c r="A46" s="3499" t="s">
        <v>1528</v>
      </c>
      <c r="B46" s="3500"/>
      <c r="C46" s="3500"/>
      <c r="D46" s="3500"/>
      <c r="E46" s="3500"/>
      <c r="F46" s="3500"/>
      <c r="G46" s="3501"/>
      <c r="H46" s="2896"/>
      <c r="I46" s="905"/>
      <c r="J46" s="2764"/>
      <c r="K46" s="2453">
        <v>1</v>
      </c>
      <c r="L46" s="3429" t="s">
        <v>2503</v>
      </c>
      <c r="M46" s="3429"/>
      <c r="N46" s="3430" t="str">
        <f>项目基本情况!B1</f>
        <v>北京市房地产抵押价值预评估</v>
      </c>
      <c r="O46" s="3430"/>
      <c r="P46" s="3430"/>
      <c r="Q46" s="1235"/>
    </row>
    <row r="47" spans="1:17" ht="12" customHeight="1">
      <c r="A47" s="38" t="s">
        <v>1530</v>
      </c>
      <c r="B47" s="39"/>
      <c r="C47" s="40"/>
      <c r="D47" s="1027" t="s">
        <v>1531</v>
      </c>
      <c r="E47" s="235" t="s">
        <v>1532</v>
      </c>
      <c r="F47" s="41" t="s">
        <v>1533</v>
      </c>
      <c r="G47" s="2481" t="s">
        <v>1534</v>
      </c>
      <c r="H47" s="2896"/>
      <c r="I47" s="905"/>
      <c r="J47" s="2764"/>
      <c r="K47" s="2453">
        <v>2</v>
      </c>
      <c r="L47" s="3429" t="s">
        <v>2504</v>
      </c>
      <c r="M47" s="3429"/>
      <c r="N47" s="3431">
        <f>'数据-取费表'!B2</f>
        <v>44676</v>
      </c>
      <c r="O47" s="3431"/>
      <c r="P47" s="3431"/>
      <c r="Q47" s="1235"/>
    </row>
    <row r="48" spans="1:17" ht="25.5">
      <c r="A48" s="3504" t="s">
        <v>1536</v>
      </c>
      <c r="B48" s="3438"/>
      <c r="C48" s="3438"/>
      <c r="D48" s="12">
        <f ca="1">IF(H48="情况1",0,IF(H48="情况2",D52,IF(H48="情况3",D53,IF(H48="情况4",D54))))</f>
        <v>68</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29" t="s">
        <v>2505</v>
      </c>
      <c r="M48" s="3429"/>
      <c r="N48" s="3430">
        <f ca="1">I102</f>
        <v>1301</v>
      </c>
      <c r="O48" s="3430"/>
      <c r="P48" s="3430"/>
      <c r="Q48" s="1235"/>
    </row>
    <row r="49" spans="1:17" ht="25.5" customHeight="1">
      <c r="A49" s="2018" t="s">
        <v>1540</v>
      </c>
      <c r="B49" s="3477" t="s">
        <v>1541</v>
      </c>
      <c r="C49" s="3477"/>
      <c r="D49" s="2485">
        <v>0</v>
      </c>
      <c r="E49" s="261" t="s">
        <v>1542</v>
      </c>
      <c r="F49" s="2486" t="s">
        <v>48</v>
      </c>
      <c r="G49" s="3419"/>
      <c r="H49" s="2487" t="s">
        <v>2579</v>
      </c>
      <c r="I49" s="2488"/>
      <c r="J49" s="2772"/>
      <c r="K49" s="2453">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5"/>
    </row>
    <row r="50" spans="1:17" ht="25.5" customHeight="1">
      <c r="A50" s="2008"/>
      <c r="B50" s="3477" t="s">
        <v>1543</v>
      </c>
      <c r="C50" s="3477"/>
      <c r="D50" s="2489"/>
      <c r="E50" s="269"/>
      <c r="F50" s="2486"/>
      <c r="G50" s="3420"/>
      <c r="H50" s="2490" t="s">
        <v>2498</v>
      </c>
      <c r="I50" s="2488"/>
      <c r="J50" s="2772"/>
      <c r="K50" s="3429" t="s">
        <v>2506</v>
      </c>
      <c r="L50" s="3429"/>
      <c r="M50" s="3429"/>
      <c r="N50" s="3429"/>
      <c r="O50" s="3429"/>
      <c r="P50" s="3429"/>
      <c r="Q50" s="1235"/>
    </row>
    <row r="51" spans="1:17" ht="20.45" customHeight="1">
      <c r="A51" s="2491"/>
      <c r="B51" s="3477" t="s">
        <v>1545</v>
      </c>
      <c r="C51" s="3477"/>
      <c r="D51" s="1027"/>
      <c r="E51" s="264"/>
      <c r="F51" s="2486"/>
      <c r="G51" s="3421"/>
      <c r="H51" s="2490" t="s">
        <v>2499</v>
      </c>
      <c r="I51" s="2488"/>
      <c r="J51" s="2772"/>
      <c r="K51" s="2454" t="s">
        <v>2507</v>
      </c>
      <c r="L51" s="3429" t="s">
        <v>2508</v>
      </c>
      <c r="M51" s="3429"/>
      <c r="N51" s="2454" t="s">
        <v>2509</v>
      </c>
      <c r="O51" s="2454" t="s">
        <v>2510</v>
      </c>
      <c r="P51" s="2454" t="s">
        <v>2511</v>
      </c>
      <c r="Q51" s="1235"/>
    </row>
    <row r="52" spans="1:17" ht="24" customHeight="1">
      <c r="A52" s="2009" t="s">
        <v>1551</v>
      </c>
      <c r="B52" s="3477" t="s">
        <v>1552</v>
      </c>
      <c r="C52" s="3477"/>
      <c r="D52" s="1027">
        <f ca="1">ROUND(D45*'数据-取费表'!E29/(1+'数据-取费表'!F30),0)</f>
        <v>68</v>
      </c>
      <c r="E52" s="2019" t="s">
        <v>1553</v>
      </c>
      <c r="F52" s="2492">
        <f>'数据-取费表'!E29</f>
        <v>5.5000000000000007E-2</v>
      </c>
      <c r="G52" s="2493"/>
      <c r="H52" s="905"/>
      <c r="I52" s="2897"/>
      <c r="J52" s="2772"/>
      <c r="K52" s="2453">
        <v>1</v>
      </c>
      <c r="L52" s="3418" t="s">
        <v>2512</v>
      </c>
      <c r="M52" s="3418"/>
      <c r="N52" s="2455">
        <f ca="1">D48</f>
        <v>68</v>
      </c>
      <c r="O52" s="2453" t="str">
        <f>E48</f>
        <v>销售额×税（费）率</v>
      </c>
      <c r="P52" s="2456">
        <f>F48</f>
        <v>5.5000000000000007E-2</v>
      </c>
      <c r="Q52" s="1235"/>
    </row>
    <row r="53" spans="1:17" ht="12" customHeight="1">
      <c r="A53" s="2009" t="s">
        <v>1555</v>
      </c>
      <c r="B53" s="3489" t="s">
        <v>2590</v>
      </c>
      <c r="C53" s="3478"/>
      <c r="D53" s="1027">
        <f ca="1">ROUND(D45*'数据-取费表'!E29/(1+'数据-取费表'!F30),0)</f>
        <v>68</v>
      </c>
      <c r="E53" s="2019" t="s">
        <v>1553</v>
      </c>
      <c r="F53" s="2492">
        <f>'数据-取费表'!E29</f>
        <v>5.5000000000000007E-2</v>
      </c>
      <c r="G53" s="2493"/>
      <c r="H53" s="905"/>
      <c r="I53" s="2897"/>
      <c r="J53" s="2772"/>
      <c r="K53" s="2453">
        <v>2</v>
      </c>
      <c r="L53" s="3418" t="s">
        <v>2513</v>
      </c>
      <c r="M53" s="3418"/>
      <c r="N53" s="2455">
        <f t="shared" ref="N53:P54" si="1">D55</f>
        <v>0</v>
      </c>
      <c r="O53" s="2453" t="str">
        <f t="shared" si="1"/>
        <v>销售额×税（费）率</v>
      </c>
      <c r="P53" s="2456" t="str">
        <f t="shared" si="1"/>
        <v>免征</v>
      </c>
      <c r="Q53" s="1235"/>
    </row>
    <row r="54" spans="1:17" ht="12" customHeight="1">
      <c r="A54" s="2009" t="s">
        <v>1557</v>
      </c>
      <c r="B54" s="3489" t="s">
        <v>2591</v>
      </c>
      <c r="C54" s="3478"/>
      <c r="D54" s="1027">
        <f ca="1">C68</f>
        <v>68</v>
      </c>
      <c r="E54" s="264" t="s">
        <v>1558</v>
      </c>
      <c r="F54" s="2492">
        <f>'数据-取费表'!E29</f>
        <v>5.5000000000000007E-2</v>
      </c>
      <c r="G54" s="2493"/>
      <c r="H54" s="2898"/>
      <c r="I54" s="2897"/>
      <c r="J54" s="2772"/>
      <c r="K54" s="2453">
        <v>3</v>
      </c>
      <c r="L54" s="3418" t="s">
        <v>2514</v>
      </c>
      <c r="M54" s="3418"/>
      <c r="N54" s="2455">
        <f t="shared" si="1"/>
        <v>0</v>
      </c>
      <c r="O54" s="2453" t="str">
        <f t="shared" si="1"/>
        <v>增值额×税（费）率</v>
      </c>
      <c r="P54" s="2457" t="str">
        <f t="shared" si="1"/>
        <v>免征</v>
      </c>
      <c r="Q54" s="1235"/>
    </row>
    <row r="55" spans="1:17" ht="24" customHeight="1">
      <c r="A55" s="3442" t="s">
        <v>1560</v>
      </c>
      <c r="B55" s="3438"/>
      <c r="C55" s="3438"/>
      <c r="D55" s="12">
        <f>IF(H55="个人住宅",0,ROUND(D45*I55,0))</f>
        <v>0</v>
      </c>
      <c r="E55" s="2019" t="s">
        <v>1561</v>
      </c>
      <c r="F55" s="2492" t="str">
        <f>IF(H55="正常",I55,"免征")</f>
        <v>免征</v>
      </c>
      <c r="G55" s="2493"/>
      <c r="H55" s="2484" t="s">
        <v>2495</v>
      </c>
      <c r="I55" s="74">
        <f>'数据-取费表'!E37</f>
        <v>5.0000000000000001E-4</v>
      </c>
      <c r="J55" s="2772"/>
      <c r="K55" s="2453" t="str">
        <f>IF(H59="非个人房产","",4)</f>
        <v/>
      </c>
      <c r="L55" s="3418" t="str">
        <f>IF(H59="非个人房产","——","个人所得税")</f>
        <v>——</v>
      </c>
      <c r="M55" s="3418"/>
      <c r="N55" s="2458" t="str">
        <f>D59</f>
        <v>——</v>
      </c>
      <c r="O55" s="2459" t="str">
        <f>E59</f>
        <v>——</v>
      </c>
      <c r="P55" s="2460" t="str">
        <f>F59</f>
        <v>——</v>
      </c>
      <c r="Q55" s="1235"/>
    </row>
    <row r="56" spans="1:17" ht="24.75">
      <c r="A56" s="3442" t="s">
        <v>1563</v>
      </c>
      <c r="B56" s="3438"/>
      <c r="C56" s="3438"/>
      <c r="D56" s="12">
        <f>IF(H56="个人住宅",D57,D58)</f>
        <v>0</v>
      </c>
      <c r="E56" s="2019" t="s">
        <v>1564</v>
      </c>
      <c r="F56" s="2492" t="str">
        <f>IF(H56="正常",F58,"免征")</f>
        <v>免征</v>
      </c>
      <c r="G56" s="2494" t="s">
        <v>1565</v>
      </c>
      <c r="H56" s="2495" t="s">
        <v>2495</v>
      </c>
      <c r="I56" s="2899"/>
      <c r="J56" s="2772"/>
      <c r="K56" s="2453" t="str">
        <f>IF(项目基本情况!I6="上海银行",IF(K55="",4,K55+1),"")</f>
        <v/>
      </c>
      <c r="L56" s="3416" t="str">
        <f>IF(项目基本情况!I6="上海银行","其他处置费用","")</f>
        <v/>
      </c>
      <c r="M56" s="3436"/>
      <c r="N56" s="2455" t="str">
        <f>IF(项目基本情况!I6="上海银行",N69,"")</f>
        <v/>
      </c>
      <c r="O56" s="3416" t="str">
        <f>IF(项目基本情况!I6="上海银行","包含处置中涉及的律师、诉讼、拍卖、评估等费用","")</f>
        <v/>
      </c>
      <c r="P56" s="3417"/>
      <c r="Q56" s="1235"/>
    </row>
    <row r="57" spans="1:17" ht="12.75">
      <c r="A57" s="2009" t="s">
        <v>1540</v>
      </c>
      <c r="B57" s="3489" t="s">
        <v>1566</v>
      </c>
      <c r="C57" s="3478"/>
      <c r="D57" s="2485">
        <v>0</v>
      </c>
      <c r="E57" s="261" t="s">
        <v>1542</v>
      </c>
      <c r="F57" s="235"/>
      <c r="G57" s="2493"/>
      <c r="H57" s="2899"/>
      <c r="I57" s="2899"/>
      <c r="J57" s="2772"/>
      <c r="K57" s="3418">
        <f>IF(AND(K55="",K56=""),4,IF(项目基本情况!I6="上海银行",K56+1,K55+1))</f>
        <v>4</v>
      </c>
      <c r="L57" s="3418" t="s">
        <v>2515</v>
      </c>
      <c r="M57" s="2461" t="s">
        <v>2516</v>
      </c>
      <c r="N57" s="2462"/>
      <c r="O57" s="2463">
        <f ca="1">SUMIF(N52:N56,"&lt;9e307")</f>
        <v>68</v>
      </c>
      <c r="P57" s="2464"/>
      <c r="Q57" s="1233" t="e">
        <f ca="1">O57/N49</f>
        <v>#VALUE!</v>
      </c>
    </row>
    <row r="58" spans="1:17" ht="24.75">
      <c r="A58" s="2009" t="s">
        <v>1551</v>
      </c>
      <c r="B58" s="3489" t="s">
        <v>1569</v>
      </c>
      <c r="C58" s="3477"/>
      <c r="D58" s="12">
        <f ca="1">IF(H58="转让取得",C81,C97)</f>
        <v>738</v>
      </c>
      <c r="E58" s="2019" t="s">
        <v>1564</v>
      </c>
      <c r="F58" s="235" t="s">
        <v>48</v>
      </c>
      <c r="G58" s="2493"/>
      <c r="H58" s="2495" t="s">
        <v>1570</v>
      </c>
      <c r="I58" s="2899"/>
      <c r="J58" s="2772"/>
      <c r="K58" s="3418"/>
      <c r="L58" s="3418"/>
      <c r="M58" s="2461" t="s">
        <v>2517</v>
      </c>
      <c r="N58" s="2465"/>
      <c r="O58" s="2466" t="str">
        <f ca="1">IF(H19="元",NUMBERSTRING(INT(O57),2)&amp;"元整",NUMBERSTRING(INT(O57*10000),2)&amp;"元整")</f>
        <v>陆拾捌万元整</v>
      </c>
      <c r="P58" s="2467"/>
      <c r="Q58" s="1235"/>
    </row>
    <row r="59" spans="1:17" ht="24.75" thickBot="1">
      <c r="A59" s="3505" t="s">
        <v>1572</v>
      </c>
      <c r="B59" s="3506"/>
      <c r="C59" s="350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2570</v>
      </c>
      <c r="H59" s="2023" t="s">
        <v>2580</v>
      </c>
      <c r="I59" s="2801" t="s">
        <v>2581</v>
      </c>
      <c r="J59" s="2772"/>
      <c r="K59" s="3471">
        <f>K57+1</f>
        <v>5</v>
      </c>
      <c r="L59" s="3418" t="s">
        <v>2518</v>
      </c>
      <c r="M59" s="2453" t="s">
        <v>2516</v>
      </c>
      <c r="N59" s="2468"/>
      <c r="O59" s="2469" t="e">
        <f ca="1">N49-O57</f>
        <v>#VALUE!</v>
      </c>
      <c r="P59" s="2470"/>
      <c r="Q59" s="1235"/>
    </row>
    <row r="60" spans="1:17" ht="12" customHeight="1">
      <c r="A60" s="1384"/>
      <c r="B60" s="1388"/>
      <c r="C60" s="1388"/>
      <c r="D60" s="1388"/>
      <c r="E60" s="770"/>
      <c r="F60" s="2900"/>
      <c r="G60" s="2900"/>
      <c r="H60" s="2901"/>
      <c r="I60" s="31"/>
      <c r="K60" s="3472"/>
      <c r="L60" s="3418"/>
      <c r="M60" s="2461" t="s">
        <v>2517</v>
      </c>
      <c r="N60" s="2465"/>
      <c r="O60" s="2466" t="e">
        <f ca="1">IF(H19="元",NUMBERSTRING(INT(O59),2)&amp;"元整",NUMBERSTRING(INT(O59*10000),2)&amp;"元整")</f>
        <v>#VALUE!</v>
      </c>
      <c r="P60" s="2467"/>
      <c r="Q60" s="1235"/>
    </row>
    <row r="61" spans="1:17" ht="13.5" thickBot="1">
      <c r="A61" s="3507" t="s">
        <v>1574</v>
      </c>
      <c r="B61" s="3507"/>
      <c r="C61" s="3507"/>
      <c r="D61" s="3507"/>
      <c r="E61" s="3507"/>
      <c r="F61" s="2900"/>
      <c r="G61" s="2900"/>
      <c r="H61" s="2902"/>
      <c r="I61" s="31"/>
      <c r="K61" s="2453">
        <f>K59+1</f>
        <v>6</v>
      </c>
      <c r="L61" s="3418" t="s">
        <v>2519</v>
      </c>
      <c r="M61" s="3418"/>
      <c r="N61" s="2471"/>
      <c r="O61" s="2472" t="e">
        <f ca="1">IF(H19="元",ROUND(O59/项目基本情况!C12,0),ROUND(O59*10000/项目基本情况!C12,0))</f>
        <v>#VALUE!</v>
      </c>
      <c r="P61" s="2473"/>
      <c r="Q61" s="1235"/>
    </row>
    <row r="62" spans="1:17" ht="12.75">
      <c r="A62" s="3456" t="s">
        <v>1576</v>
      </c>
      <c r="B62" s="3457"/>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1239</v>
      </c>
      <c r="D63" s="47"/>
      <c r="E63" s="48"/>
      <c r="F63" s="2900"/>
      <c r="G63" s="2900"/>
      <c r="H63" s="2902"/>
      <c r="I63" s="31"/>
      <c r="K63" s="3437" t="s">
        <v>2520</v>
      </c>
      <c r="L63" s="2475" t="s">
        <v>2521</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1301</v>
      </c>
      <c r="D64" s="50" t="s">
        <v>41</v>
      </c>
      <c r="E64" s="52"/>
      <c r="F64" s="2900"/>
      <c r="G64" s="2900"/>
      <c r="H64" s="2902"/>
      <c r="I64" s="31"/>
      <c r="K64" s="3437"/>
      <c r="L64" s="2475" t="s">
        <v>2522</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2523</v>
      </c>
      <c r="P64" s="2474"/>
      <c r="Q64" s="1235"/>
    </row>
    <row r="65" spans="1:36" ht="12.75">
      <c r="A65" s="49" t="s">
        <v>72</v>
      </c>
      <c r="B65" s="50" t="s">
        <v>1585</v>
      </c>
      <c r="C65" s="2705"/>
      <c r="D65" s="50"/>
      <c r="E65" s="52"/>
      <c r="F65" s="2900"/>
      <c r="G65" s="2900"/>
      <c r="H65" s="2902"/>
      <c r="I65" s="31"/>
      <c r="K65" s="3437"/>
      <c r="L65" s="2475" t="s">
        <v>2524</v>
      </c>
      <c r="M65" s="2475" t="e">
        <f>IF(N49&gt;1000,N49*0.1%,IF(AND(N49&gt;500,N49&lt;=1000),N49*0.5%,IF(AND(N49&gt;50,N49&lt;=500),N49*1%,IF(AND(N49&gt;1,N49&lt;=50),N49*1.5%))))</f>
        <v>#VALUE!</v>
      </c>
      <c r="N65" s="2476" t="e">
        <f t="shared" si="2"/>
        <v>#VALUE!</v>
      </c>
      <c r="O65" s="2474" t="s">
        <v>2523</v>
      </c>
      <c r="P65" s="2474"/>
      <c r="Q65" s="1235"/>
    </row>
    <row r="66" spans="1:36" ht="12.75">
      <c r="A66" s="53" t="s">
        <v>47</v>
      </c>
      <c r="B66" s="54" t="s">
        <v>1587</v>
      </c>
      <c r="C66" s="2706"/>
      <c r="D66" s="54" t="s">
        <v>41</v>
      </c>
      <c r="E66" s="1243" t="s">
        <v>1588</v>
      </c>
      <c r="F66" s="2900"/>
      <c r="G66" s="2900"/>
      <c r="H66" s="2902"/>
      <c r="I66" s="31"/>
      <c r="K66" s="3437"/>
      <c r="L66" s="2475" t="s">
        <v>2525</v>
      </c>
      <c r="M66" s="2475" t="e">
        <f>N49*0.5%</f>
        <v>#VALUE!</v>
      </c>
      <c r="N66" s="2476" t="e">
        <f>IF(M66&gt;0.5,0.5,ROUND(M66,0))</f>
        <v>#VALUE!</v>
      </c>
      <c r="O66" s="2474" t="s">
        <v>2526</v>
      </c>
      <c r="P66" s="2474"/>
      <c r="Q66" s="1235"/>
    </row>
    <row r="67" spans="1:36" ht="12.75">
      <c r="A67" s="53" t="s">
        <v>42</v>
      </c>
      <c r="B67" s="54" t="s">
        <v>1591</v>
      </c>
      <c r="C67" s="2707">
        <f ca="1">C63-C66</f>
        <v>1239</v>
      </c>
      <c r="D67" s="50" t="s">
        <v>41</v>
      </c>
      <c r="E67" s="52"/>
      <c r="F67" s="2900"/>
      <c r="G67" s="2900"/>
      <c r="H67" s="2902"/>
      <c r="I67" s="31"/>
      <c r="K67" s="3437"/>
      <c r="L67" s="2475" t="s">
        <v>2527</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68</v>
      </c>
      <c r="D68" s="2169">
        <f>'数据-取费表'!E29</f>
        <v>5.5000000000000007E-2</v>
      </c>
      <c r="E68" s="57"/>
      <c r="F68" s="2900"/>
      <c r="G68" s="2900"/>
      <c r="H68" s="2902"/>
      <c r="I68" s="31"/>
      <c r="K68" s="3437"/>
      <c r="L68" s="2475" t="s">
        <v>2528</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437"/>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58" t="s">
        <v>1596</v>
      </c>
      <c r="B70" s="3459"/>
      <c r="C70" s="3459"/>
      <c r="D70" s="3459"/>
      <c r="E70" s="3459"/>
      <c r="F70" s="3459"/>
      <c r="G70" s="3459"/>
      <c r="H70" s="3459"/>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6" t="s">
        <v>1576</v>
      </c>
      <c r="B71" s="3457"/>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1239</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6</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9" t="s">
        <v>1606</v>
      </c>
      <c r="F76" s="3477"/>
      <c r="G76" s="3477"/>
      <c r="H76" s="3490"/>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6</v>
      </c>
      <c r="D78" s="2716">
        <f>'数据-取费表'!E31</f>
        <v>5.000000000000001E-3</v>
      </c>
      <c r="E78" s="3425" t="s">
        <v>1611</v>
      </c>
      <c r="F78" s="3426"/>
      <c r="G78" s="3426"/>
      <c r="H78" s="3446"/>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1233</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205.5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738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58" t="s">
        <v>1615</v>
      </c>
      <c r="B83" s="3459"/>
      <c r="C83" s="3459"/>
      <c r="D83" s="3459"/>
      <c r="E83" s="3459"/>
      <c r="F83" s="3459"/>
      <c r="G83" s="3459"/>
      <c r="H83" s="3459"/>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6" t="s">
        <v>1576</v>
      </c>
      <c r="B84" s="3457"/>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1239</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6</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2574</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5" t="s">
        <v>2490</v>
      </c>
      <c r="H90" s="3465"/>
      <c r="I90" s="9"/>
      <c r="J90" s="2775"/>
      <c r="K90" s="2891" t="s">
        <v>2575</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5" t="s">
        <v>1623</v>
      </c>
      <c r="F91" s="3426"/>
      <c r="G91" s="3426"/>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5" t="s">
        <v>1626</v>
      </c>
      <c r="F92" s="3426"/>
      <c r="G92" s="3426"/>
      <c r="H92" s="3446"/>
      <c r="I92" s="9"/>
      <c r="J92" s="2775"/>
      <c r="K92" s="2892" t="s">
        <v>2576</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6</v>
      </c>
      <c r="D93" s="2716">
        <f>'数据-取费表'!E31</f>
        <v>5.000000000000001E-3</v>
      </c>
      <c r="E93" s="3425" t="s">
        <v>1611</v>
      </c>
      <c r="F93" s="3426"/>
      <c r="G93" s="3426"/>
      <c r="H93" s="3446"/>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5" t="s">
        <v>1628</v>
      </c>
      <c r="F94" s="3426"/>
      <c r="G94" s="3426"/>
      <c r="H94" s="3446"/>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1233</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205.5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738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3" t="s">
        <v>1630</v>
      </c>
      <c r="B99" s="3444"/>
      <c r="C99" s="3444"/>
      <c r="D99" s="3445"/>
      <c r="E99" s="1388"/>
      <c r="F99" s="3453" t="s">
        <v>1631</v>
      </c>
      <c r="G99" s="3454"/>
      <c r="H99" s="3454"/>
      <c r="I99" s="3455"/>
      <c r="J99" s="2778"/>
    </row>
    <row r="100" spans="1:36" ht="15">
      <c r="A100" s="3460" t="s">
        <v>1632</v>
      </c>
      <c r="B100" s="3461"/>
      <c r="C100" s="1234" t="str">
        <f>C4</f>
        <v>成本法</v>
      </c>
      <c r="D100" s="2726" t="str">
        <f>D4</f>
        <v>收益法</v>
      </c>
      <c r="E100" s="1388"/>
      <c r="F100" s="3462" t="s">
        <v>2534</v>
      </c>
      <c r="G100" s="3464"/>
      <c r="H100" s="3462" t="s">
        <v>2535</v>
      </c>
      <c r="I100" s="3463"/>
      <c r="J100" s="2779"/>
    </row>
    <row r="101" spans="1:36" ht="12.75">
      <c r="A101" s="3479" t="s">
        <v>2567</v>
      </c>
      <c r="B101" s="2234" t="str">
        <f>IF(H19="元","总价（元）","总价（万元）")</f>
        <v>总价（万元）</v>
      </c>
      <c r="C101" s="1234">
        <f ca="1">C19</f>
        <v>765</v>
      </c>
      <c r="D101" s="2726">
        <f ca="1">D19</f>
        <v>1531</v>
      </c>
      <c r="E101" s="1388"/>
      <c r="F101" s="3462" t="str">
        <f>项目基本情况!I1</f>
        <v>北京市房地产</v>
      </c>
      <c r="G101" s="3464"/>
      <c r="H101" s="3466">
        <f>项目基本情况!C12</f>
        <v>497.23</v>
      </c>
      <c r="I101" s="3463"/>
      <c r="J101" s="2779"/>
    </row>
    <row r="102" spans="1:36" ht="12.75">
      <c r="A102" s="3479"/>
      <c r="B102" s="2234" t="s">
        <v>2568</v>
      </c>
      <c r="C102" s="2727">
        <f ca="1">C20</f>
        <v>15385</v>
      </c>
      <c r="D102" s="2728">
        <f ca="1">D20</f>
        <v>30786</v>
      </c>
      <c r="E102" s="1388"/>
      <c r="F102" s="3449" t="s">
        <v>2564</v>
      </c>
      <c r="G102" s="3450"/>
      <c r="H102" s="2736" t="str">
        <f>C106</f>
        <v>总价（万元）</v>
      </c>
      <c r="I102" s="2737">
        <f ca="1">H121</f>
        <v>1301</v>
      </c>
      <c r="J102" s="2779"/>
    </row>
    <row r="103" spans="1:36" ht="12.75">
      <c r="A103" s="3479" t="s">
        <v>2569</v>
      </c>
      <c r="B103" s="2172" t="str">
        <f>B101</f>
        <v>总价（万元）</v>
      </c>
      <c r="C103" s="2731">
        <f ca="1">H121</f>
        <v>1301</v>
      </c>
      <c r="D103" s="2729"/>
      <c r="E103" s="1388"/>
      <c r="F103" s="3449"/>
      <c r="G103" s="3450"/>
      <c r="H103" s="2736" t="s">
        <v>2537</v>
      </c>
      <c r="I103" s="52">
        <f ca="1">I121</f>
        <v>26165</v>
      </c>
      <c r="J103" s="2763"/>
    </row>
    <row r="104" spans="1:36" ht="13.5" thickBot="1">
      <c r="A104" s="3480"/>
      <c r="B104" s="2733" t="s">
        <v>2568</v>
      </c>
      <c r="C104" s="2734">
        <f ca="1">I121</f>
        <v>26165</v>
      </c>
      <c r="D104" s="2735"/>
      <c r="E104" s="1388"/>
      <c r="F104" s="3449"/>
      <c r="G104" s="3450"/>
      <c r="H104" s="3481"/>
      <c r="I104" s="3482"/>
      <c r="J104" s="2780"/>
    </row>
    <row r="105" spans="1:36" ht="15">
      <c r="A105" s="3443" t="s">
        <v>1633</v>
      </c>
      <c r="B105" s="3444"/>
      <c r="C105" s="3444"/>
      <c r="D105" s="3445"/>
      <c r="E105" s="1388"/>
      <c r="F105" s="3485" t="s">
        <v>2538</v>
      </c>
      <c r="G105" s="3486"/>
      <c r="H105" s="2738" t="str">
        <f>C108</f>
        <v>总额（万元）</v>
      </c>
      <c r="I105" s="2737">
        <f>SUMIF(I106:I108,"&lt;9E307")</f>
        <v>0</v>
      </c>
      <c r="J105" s="2779"/>
    </row>
    <row r="106" spans="1:36" ht="14.25">
      <c r="A106" s="3449" t="s">
        <v>2561</v>
      </c>
      <c r="B106" s="3450"/>
      <c r="C106" s="2736" t="str">
        <f>B101</f>
        <v>总价（万元）</v>
      </c>
      <c r="D106" s="2737">
        <f ca="1">H121</f>
        <v>1301</v>
      </c>
      <c r="E106" s="1388"/>
      <c r="F106" s="3451" t="s">
        <v>2539</v>
      </c>
      <c r="G106" s="345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9"/>
      <c r="B107" s="3450"/>
      <c r="C107" s="2736" t="s">
        <v>2562</v>
      </c>
      <c r="D107" s="52">
        <f ca="1">I121</f>
        <v>26165</v>
      </c>
      <c r="E107" s="1388"/>
      <c r="F107" s="3451" t="s">
        <v>2540</v>
      </c>
      <c r="G107" s="3452"/>
      <c r="H107" s="2738" t="str">
        <f>C110</f>
        <v>总额（万元）</v>
      </c>
      <c r="I107" s="52">
        <f>C37</f>
        <v>0</v>
      </c>
      <c r="J107" s="2763"/>
    </row>
    <row r="108" spans="1:36" ht="12.75">
      <c r="A108" s="3520" t="s">
        <v>2538</v>
      </c>
      <c r="B108" s="3521"/>
      <c r="C108" s="2738" t="str">
        <f>IF(H19="元","总额（元）","总额（万元）")</f>
        <v>总额（万元）</v>
      </c>
      <c r="D108" s="2737">
        <f>IF(D36="正常操作",I106+I107+I108,I107+I108)</f>
        <v>0</v>
      </c>
      <c r="E108" s="1388"/>
      <c r="F108" s="3451" t="s">
        <v>2565</v>
      </c>
      <c r="G108" s="3452"/>
      <c r="H108" s="2738" t="str">
        <f>C111</f>
        <v>总额（万元）</v>
      </c>
      <c r="I108" s="52">
        <f>C38</f>
        <v>0</v>
      </c>
      <c r="J108" s="2763"/>
    </row>
    <row r="109" spans="1:36" ht="12.75">
      <c r="A109" s="3451" t="s">
        <v>2539</v>
      </c>
      <c r="B109" s="3452"/>
      <c r="C109" s="2738" t="str">
        <f>C108</f>
        <v>总额（万元）</v>
      </c>
      <c r="D109" s="52">
        <f>IF(D36="同一抵押权人同一抵押物续贷",C36&amp;"（未扣减，详见特别提示）",C36)</f>
        <v>0</v>
      </c>
      <c r="E109" s="1388"/>
      <c r="F109" s="3449"/>
      <c r="G109" s="3450"/>
      <c r="H109" s="3483"/>
      <c r="I109" s="3484"/>
      <c r="J109" s="2781"/>
    </row>
    <row r="110" spans="1:36" ht="28.5" customHeight="1">
      <c r="A110" s="3451" t="s">
        <v>2563</v>
      </c>
      <c r="B110" s="3452"/>
      <c r="C110" s="2738" t="str">
        <f>C108</f>
        <v>总额（万元）</v>
      </c>
      <c r="D110" s="52">
        <f>C37</f>
        <v>0</v>
      </c>
      <c r="E110" s="1388"/>
      <c r="F110" s="3432" t="str">
        <f>IF(项目基本情况!F5="已注销","——","3.房地产抵押价值")</f>
        <v>3.房地产抵押价值</v>
      </c>
      <c r="G110" s="3433"/>
      <c r="H110" s="2724" t="str">
        <f>C112</f>
        <v>总价（万元）</v>
      </c>
      <c r="I110" s="2737">
        <f ca="1">IF(F110="——","——",I102-I105)</f>
        <v>1301</v>
      </c>
      <c r="J110" s="2779"/>
    </row>
    <row r="111" spans="1:36" ht="12.75">
      <c r="A111" s="3451" t="s">
        <v>2542</v>
      </c>
      <c r="B111" s="3452"/>
      <c r="C111" s="2738" t="str">
        <f>C108</f>
        <v>总额（万元）</v>
      </c>
      <c r="D111" s="52">
        <f>C38</f>
        <v>0</v>
      </c>
      <c r="E111" s="1388"/>
      <c r="F111" s="3434"/>
      <c r="G111" s="3435"/>
      <c r="H111" s="2736" t="s">
        <v>2537</v>
      </c>
      <c r="I111" s="2740">
        <f ca="1">D113</f>
        <v>26165</v>
      </c>
      <c r="J111" s="2782"/>
    </row>
    <row r="112" spans="1:36" ht="26.25" customHeight="1">
      <c r="A112" s="3449" t="str">
        <f>IF(项目基本情况!F5="已注销","——","3.房地产抵押价值")</f>
        <v>3.房地产抵押价值</v>
      </c>
      <c r="B112" s="3450"/>
      <c r="C112" s="2736" t="str">
        <f>B101</f>
        <v>总价（万元）</v>
      </c>
      <c r="D112" s="2737">
        <f ca="1">IF(A112="——","——",D106-D108)</f>
        <v>1301</v>
      </c>
      <c r="E112" s="1388"/>
      <c r="F112" s="3432" t="str">
        <f>IF(项目基本情况!F5="已注销及未注销","4.抵押担保权已注销时的房地产抵押价值",IF(项目基本情况!F5="已注销","3.抵押担保权已注销时的房地产抵押价值","——"))</f>
        <v>——</v>
      </c>
      <c r="G112" s="3433"/>
      <c r="H112" s="2724" t="str">
        <f>C114</f>
        <v>总价（万元）</v>
      </c>
      <c r="I112" s="2737" t="str">
        <f>IF(F112="——","——",I102-I107-I108)</f>
        <v>——</v>
      </c>
      <c r="J112" s="2779"/>
    </row>
    <row r="113" spans="1:16" ht="12.75">
      <c r="A113" s="3449"/>
      <c r="B113" s="3450"/>
      <c r="C113" s="2736" t="s">
        <v>2530</v>
      </c>
      <c r="D113" s="52">
        <f ca="1">ROUND(IF(D112=D106,D107,IF(H19="元",D112/项目基本情况!C12,D112*10000/项目基本情况!C12)),0)</f>
        <v>26165</v>
      </c>
      <c r="E113" s="1388"/>
      <c r="F113" s="3434"/>
      <c r="G113" s="3435"/>
      <c r="H113" s="2736" t="s">
        <v>2566</v>
      </c>
      <c r="I113" s="52" t="str">
        <f>D115</f>
        <v>——</v>
      </c>
      <c r="J113" s="2763"/>
    </row>
    <row r="114" spans="1:16" ht="12.75">
      <c r="A114" s="3449" t="str">
        <f>IF(项目基本情况!F5="已注销及未注销","4.抵押担保权已注销时的房地产抵押价值",IF(项目基本情况!F5="已注销","3.抵押担保权已注销时的房地产抵押价值","——"))</f>
        <v>——</v>
      </c>
      <c r="B114" s="3450"/>
      <c r="C114" s="2736" t="str">
        <f>B101</f>
        <v>总价（万元）</v>
      </c>
      <c r="D114" s="2737" t="str">
        <f>IF(A114="——","——",D106-D110-D111)</f>
        <v>——</v>
      </c>
      <c r="E114" s="1388"/>
      <c r="F114" s="3432" t="str">
        <f>IF(项目基本情况!G5="抵押净值",IF(OR(项目基本情况!F5="已注销",项目基本情况!F5="房地产抵押价值"),"4.抵押净值","5.抵押净值"),"——")</f>
        <v>——</v>
      </c>
      <c r="G114" s="3433"/>
      <c r="H114" s="2736" t="str">
        <f>C116</f>
        <v>总价（万元）</v>
      </c>
      <c r="I114" s="2737" t="str">
        <f>IF(F114="——","——",O59)</f>
        <v>——</v>
      </c>
      <c r="J114" s="2779"/>
    </row>
    <row r="115" spans="1:16" ht="13.5" thickBot="1">
      <c r="A115" s="3449"/>
      <c r="B115" s="3450"/>
      <c r="C115" s="2736" t="s">
        <v>2530</v>
      </c>
      <c r="D115" s="52" t="str">
        <f>IF(A114="——","——",ROUND(IF(D114=D106,D107,IF(H19="元",D114/项目基本情况!C12,D114*10000/项目基本情况!C12)),0))</f>
        <v>——</v>
      </c>
      <c r="E115" s="1388"/>
      <c r="F115" s="3512"/>
      <c r="G115" s="3513"/>
      <c r="H115" s="2741" t="s">
        <v>2530</v>
      </c>
      <c r="I115" s="2725" t="str">
        <f ca="1">D117</f>
        <v>——</v>
      </c>
      <c r="J115" s="2763"/>
    </row>
    <row r="116" spans="1:16" ht="15.75">
      <c r="A116" s="3449" t="str">
        <f>IF(项目基本情况!G5="抵押净值",IF(OR(项目基本情况!F5="已注销",项目基本情况!F5="房地产抵押价值"),"4.抵押净值","5.抵押净值"),"——")</f>
        <v>——</v>
      </c>
      <c r="B116" s="3450"/>
      <c r="C116" s="2736" t="str">
        <f>B101</f>
        <v>总价（万元）</v>
      </c>
      <c r="D116" s="2737" t="str">
        <f>IF(A116="——","——",O59)</f>
        <v>——</v>
      </c>
      <c r="E116" s="1388"/>
      <c r="F116" s="3427"/>
      <c r="G116" s="3427"/>
      <c r="H116" s="3468"/>
      <c r="I116" s="3468"/>
      <c r="J116" s="2783"/>
      <c r="O116" s="32"/>
      <c r="P116" s="32"/>
    </row>
    <row r="117" spans="1:16" ht="13.5" thickBot="1">
      <c r="A117" s="3518"/>
      <c r="B117" s="3519"/>
      <c r="C117" s="2741" t="s">
        <v>2530</v>
      </c>
      <c r="D117" s="2725" t="str">
        <f ca="1">IF(D116=D112,D113,IF(A116="——","——",O61))</f>
        <v>——</v>
      </c>
      <c r="E117" s="1388"/>
      <c r="F117" s="3511" t="str">
        <f>IF(B32="总价","（以上估价结果中单价为总价除以建筑面积得出）","（以上估价结果中总价为楼面单价乘以建筑面积得出）")</f>
        <v>（以上估价结果中单价为总价除以建筑面积得出）</v>
      </c>
      <c r="G117" s="3511"/>
      <c r="H117" s="3511"/>
      <c r="I117" s="3511"/>
      <c r="J117" s="2784"/>
      <c r="O117" s="32"/>
      <c r="P117" s="32"/>
    </row>
    <row r="118" spans="1:16" ht="15">
      <c r="A118" s="3469" t="s">
        <v>1634</v>
      </c>
      <c r="B118" s="3470"/>
      <c r="C118" s="3470"/>
      <c r="D118" s="3470"/>
      <c r="E118" s="3470"/>
      <c r="F118" s="3470"/>
      <c r="G118" s="3470"/>
      <c r="H118" s="3470"/>
      <c r="I118" s="3470"/>
      <c r="J118" s="2785"/>
    </row>
    <row r="119" spans="1:16" ht="12.75">
      <c r="A119" s="3442" t="s">
        <v>2548</v>
      </c>
      <c r="B119" s="3440" t="s">
        <v>2558</v>
      </c>
      <c r="C119" s="3440" t="s">
        <v>2559</v>
      </c>
      <c r="D119" s="3447" t="s">
        <v>2550</v>
      </c>
      <c r="E119" s="3448"/>
      <c r="F119" s="3438" t="s">
        <v>2560</v>
      </c>
      <c r="G119" s="3438"/>
      <c r="H119" s="3438" t="s">
        <v>2551</v>
      </c>
      <c r="I119" s="3439"/>
      <c r="J119" s="2763"/>
    </row>
    <row r="120" spans="1:16" ht="12.75">
      <c r="A120" s="3442"/>
      <c r="B120" s="3441"/>
      <c r="C120" s="3441"/>
      <c r="D120" s="2019" t="s">
        <v>2552</v>
      </c>
      <c r="E120" s="2019" t="s">
        <v>2557</v>
      </c>
      <c r="F120" s="2019" t="s">
        <v>2552</v>
      </c>
      <c r="G120" s="2019" t="s">
        <v>2553</v>
      </c>
      <c r="H120" s="2019" t="s">
        <v>2552</v>
      </c>
      <c r="I120" s="52" t="s">
        <v>2553</v>
      </c>
      <c r="J120" s="2763"/>
    </row>
    <row r="121" spans="1:16" ht="12.75">
      <c r="A121" s="2009" t="str">
        <f>项目基本情况!I1</f>
        <v>北京市房地产</v>
      </c>
      <c r="B121" s="2019">
        <f>项目基本情况!C12</f>
        <v>497.23</v>
      </c>
      <c r="C121" s="2019">
        <f>项目基本情况!C13</f>
        <v>0</v>
      </c>
      <c r="D121" s="2019">
        <f ca="1">ROUND(IF(B32="总价",C34,IF('数据-取费表'!B3="万元",E121*B121/10000,E121*B121)),0)</f>
        <v>818</v>
      </c>
      <c r="E121" s="2019">
        <f ca="1">ROUND(IF(B32="楼面单价",C34,IF(H19="元",D121/B121,D121*10000/B121)),0)</f>
        <v>16451</v>
      </c>
      <c r="F121" s="2019">
        <f ca="1">ROUND(IF(B32="总价",C35,IF('数据-取费表'!B3="万元",G121*B121/10000,G121*B121)),0)</f>
        <v>483</v>
      </c>
      <c r="G121" s="2019">
        <f ca="1">ROUND(IF(B32="楼面单价",C35,IF(H19="元",F121/B121,F121*10000/B121)),0)</f>
        <v>9714</v>
      </c>
      <c r="H121" s="2019">
        <f ca="1">ROUND(IF(B32="总价",C32,IF('数据-取费表'!B3="万元",I121*B121/10000,I121*B121)),0)</f>
        <v>1301</v>
      </c>
      <c r="I121" s="52">
        <f ca="1">ROUND(IF(B32="楼面单价",C32,IF(H19="元",H121/B121,H121*10000/B121)),0)</f>
        <v>26165</v>
      </c>
      <c r="J121" s="2763"/>
    </row>
    <row r="122" spans="1:16" ht="12.75">
      <c r="A122" s="3442" t="s">
        <v>2554</v>
      </c>
      <c r="B122" s="3438"/>
      <c r="C122" s="3438"/>
      <c r="D122" s="3473" t="str">
        <f ca="1">IF(H19="元",NUMBERSTRING(INT(D121),2)&amp;"元整",NUMBERSTRING(INT(D121*10000),2)&amp;"元整")</f>
        <v>捌佰壹拾捌万元整</v>
      </c>
      <c r="E122" s="3474"/>
      <c r="F122" s="3473" t="str">
        <f ca="1">IF(H19="元",NUMBERSTRING(INT(F121),2)&amp;"元整",NUMBERSTRING(INT(F121*10000),2)&amp;"元整")</f>
        <v>肆佰捌拾叁万元整</v>
      </c>
      <c r="G122" s="3474"/>
      <c r="H122" s="3473" t="str">
        <f ca="1">IF(H19="元",NUMBERSTRING(INT(H121),2)&amp;"元整",NUMBERSTRING(INT(H121*10000),2)&amp;"元整")</f>
        <v>壹仟叁佰零壹万元整</v>
      </c>
      <c r="I122" s="3522"/>
      <c r="J122" s="2786"/>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79"/>
    </row>
    <row r="124" spans="1:16" ht="12.75">
      <c r="A124" s="3476" t="s">
        <v>2554</v>
      </c>
      <c r="B124" s="3477"/>
      <c r="C124" s="3478"/>
      <c r="D124" s="3514">
        <f>H109</f>
        <v>0</v>
      </c>
      <c r="E124" s="3515"/>
      <c r="F124" s="3515"/>
      <c r="G124" s="3515"/>
      <c r="H124" s="3515"/>
      <c r="I124" s="3516"/>
      <c r="J124" s="2787"/>
    </row>
    <row r="125" spans="1:16" ht="12.75">
      <c r="A125" s="3449" t="str">
        <f>IF(项目基本情况!D5="房地产市场价值","——",MID(A112,3,LEN(A112)-2))</f>
        <v>房地产抵押价值</v>
      </c>
      <c r="B125" s="3450"/>
      <c r="C125" s="3450"/>
      <c r="D125" s="3466">
        <f ca="1">I110</f>
        <v>1301</v>
      </c>
      <c r="E125" s="3475"/>
      <c r="F125" s="3475"/>
      <c r="G125" s="3475"/>
      <c r="H125" s="3475"/>
      <c r="I125" s="3463"/>
      <c r="J125" s="2779"/>
    </row>
    <row r="126" spans="1:16" ht="12.75">
      <c r="A126" s="3442" t="s">
        <v>2554</v>
      </c>
      <c r="B126" s="3438"/>
      <c r="C126" s="3438"/>
      <c r="D126" s="3514">
        <f ca="1">I111</f>
        <v>26165</v>
      </c>
      <c r="E126" s="3515"/>
      <c r="F126" s="3515"/>
      <c r="G126" s="3515"/>
      <c r="H126" s="3515"/>
      <c r="I126" s="3516"/>
      <c r="J126" s="2787"/>
    </row>
    <row r="127" spans="1:16" ht="13.5" thickBot="1">
      <c r="A127" s="3449" t="str">
        <f>IF(项目基本情况!D5="房地产市场价值","——",MID(A114,3,LEN(A114)-2))</f>
        <v/>
      </c>
      <c r="B127" s="3450"/>
      <c r="C127" s="3450"/>
      <c r="D127" s="3422" t="str">
        <f>I112</f>
        <v>——</v>
      </c>
      <c r="E127" s="3423"/>
      <c r="F127" s="3423"/>
      <c r="G127" s="3423"/>
      <c r="H127" s="3423"/>
      <c r="I127" s="3424"/>
      <c r="J127" s="2779"/>
    </row>
    <row r="128" spans="1:16" ht="14.25" thickTop="1" thickBot="1">
      <c r="A128" s="3442" t="s">
        <v>2554</v>
      </c>
      <c r="B128" s="3438"/>
      <c r="C128" s="3489"/>
      <c r="D128" s="3467" t="str">
        <f>I113</f>
        <v>——</v>
      </c>
      <c r="E128" s="3467"/>
      <c r="F128" s="3467"/>
      <c r="G128" s="3467"/>
      <c r="H128" s="3467"/>
      <c r="I128" s="3467"/>
      <c r="J128" s="2787"/>
    </row>
    <row r="129" spans="1:10" ht="14.25" thickTop="1" thickBot="1">
      <c r="A129" s="3449" t="str">
        <f>IF(项目基本情况!D5="房地产市场价值","——",MID(F114,3,LEN(F114)-2))</f>
        <v/>
      </c>
      <c r="B129" s="3450"/>
      <c r="C129" s="3466"/>
      <c r="D129" s="3517" t="str">
        <f>I114</f>
        <v>——</v>
      </c>
      <c r="E129" s="3517"/>
      <c r="F129" s="3517"/>
      <c r="G129" s="3517"/>
      <c r="H129" s="3517"/>
      <c r="I129" s="3517"/>
      <c r="J129" s="2779"/>
    </row>
    <row r="130" spans="1:10" ht="14.25" thickTop="1" thickBot="1">
      <c r="A130" s="3505" t="s">
        <v>2554</v>
      </c>
      <c r="B130" s="3506"/>
      <c r="C130" s="3506"/>
      <c r="D130" s="3523">
        <f>H116</f>
        <v>0</v>
      </c>
      <c r="E130" s="3524"/>
      <c r="F130" s="3524"/>
      <c r="G130" s="3524"/>
      <c r="H130" s="3524"/>
      <c r="I130" s="3525"/>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0" t="str">
        <f>IF(B32="总价","（以上估价结果中楼面单价为总价除以建筑面积得出）","（以上估价结果中总价为楼面单价乘以建筑面积得出）")</f>
        <v>（以上估价结果中楼面单价为总价除以建筑面积得出）</v>
      </c>
      <c r="B132" s="3510"/>
      <c r="C132" s="3510"/>
      <c r="D132" s="3510"/>
      <c r="E132" s="3510"/>
      <c r="F132" s="3510"/>
      <c r="G132" s="3510"/>
      <c r="H132" s="3510"/>
      <c r="I132" s="3510"/>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2" t="s">
        <v>1643</v>
      </c>
      <c r="B2" s="3532"/>
      <c r="C2" s="3532"/>
      <c r="D2" s="3532"/>
      <c r="E2" s="3532"/>
      <c r="F2" s="3532"/>
      <c r="G2" s="3532"/>
      <c r="H2" s="3532"/>
      <c r="I2" s="3532"/>
      <c r="J2" s="2792"/>
    </row>
    <row r="3" spans="1:15" ht="12.75">
      <c r="A3" s="3492" t="s">
        <v>1471</v>
      </c>
      <c r="B3" s="3493"/>
      <c r="C3" s="3493"/>
      <c r="D3" s="3493"/>
      <c r="E3" s="3493"/>
      <c r="F3" s="3493"/>
      <c r="G3" s="3493"/>
      <c r="H3" s="3493"/>
      <c r="I3" s="3493"/>
      <c r="J3" s="2762"/>
    </row>
    <row r="4" spans="1:15" ht="14.25">
      <c r="A4" s="2630" t="s">
        <v>1472</v>
      </c>
      <c r="B4" s="2630" t="s">
        <v>1473</v>
      </c>
      <c r="C4" s="2631"/>
      <c r="D4" s="2631"/>
      <c r="E4" s="3489" t="s">
        <v>1644</v>
      </c>
      <c r="F4" s="3477"/>
      <c r="G4" s="3477"/>
      <c r="H4" s="3477"/>
      <c r="I4" s="3478"/>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88" t="s">
        <v>1475</v>
      </c>
      <c r="B5" s="3488">
        <v>25</v>
      </c>
      <c r="C5" s="3494"/>
      <c r="D5" s="3491"/>
      <c r="E5" s="12" t="s">
        <v>1476</v>
      </c>
      <c r="F5" s="2016"/>
      <c r="G5" s="2016"/>
      <c r="H5" s="2016"/>
      <c r="I5" s="2011"/>
      <c r="J5" s="2763"/>
    </row>
    <row r="6" spans="1:15" ht="12.75">
      <c r="A6" s="3488"/>
      <c r="B6" s="3488"/>
      <c r="C6" s="3495"/>
      <c r="D6" s="3491"/>
      <c r="E6" s="12" t="s">
        <v>1477</v>
      </c>
      <c r="F6" s="2016"/>
      <c r="G6" s="2016"/>
      <c r="H6" s="2016"/>
      <c r="I6" s="2011"/>
      <c r="J6" s="2763"/>
    </row>
    <row r="7" spans="1:15" ht="12.75">
      <c r="A7" s="3488"/>
      <c r="B7" s="3488"/>
      <c r="C7" s="3496"/>
      <c r="D7" s="3491"/>
      <c r="E7" s="12" t="s">
        <v>1478</v>
      </c>
      <c r="F7" s="2016"/>
      <c r="G7" s="2016"/>
      <c r="H7" s="2016"/>
      <c r="I7" s="2011"/>
      <c r="J7" s="2763"/>
    </row>
    <row r="8" spans="1:15" ht="12.75">
      <c r="A8" s="3488" t="s">
        <v>1479</v>
      </c>
      <c r="B8" s="3488">
        <v>15</v>
      </c>
      <c r="C8" s="3494"/>
      <c r="D8" s="3491"/>
      <c r="E8" s="12" t="s">
        <v>1480</v>
      </c>
      <c r="F8" s="2016"/>
      <c r="G8" s="2016"/>
      <c r="H8" s="2016"/>
      <c r="I8" s="2011"/>
      <c r="J8" s="2763"/>
    </row>
    <row r="9" spans="1:15" ht="12.75">
      <c r="A9" s="3488"/>
      <c r="B9" s="3488"/>
      <c r="C9" s="3496"/>
      <c r="D9" s="3491"/>
      <c r="E9" s="12" t="s">
        <v>1481</v>
      </c>
      <c r="F9" s="2016"/>
      <c r="G9" s="2016"/>
      <c r="H9" s="2016"/>
      <c r="I9" s="2011"/>
      <c r="J9" s="2763"/>
    </row>
    <row r="10" spans="1:15" ht="12.75">
      <c r="A10" s="3488" t="s">
        <v>1482</v>
      </c>
      <c r="B10" s="3488">
        <v>15</v>
      </c>
      <c r="C10" s="3494"/>
      <c r="D10" s="3491"/>
      <c r="E10" s="12" t="s">
        <v>1483</v>
      </c>
      <c r="F10" s="2016"/>
      <c r="G10" s="2016"/>
      <c r="H10" s="2016"/>
      <c r="I10" s="2011"/>
      <c r="J10" s="2763"/>
    </row>
    <row r="11" spans="1:15" ht="12.75">
      <c r="A11" s="3488"/>
      <c r="B11" s="3488"/>
      <c r="C11" s="3496"/>
      <c r="D11" s="3491"/>
      <c r="E11" s="12" t="s">
        <v>1484</v>
      </c>
      <c r="F11" s="2016"/>
      <c r="G11" s="2016"/>
      <c r="H11" s="2016"/>
      <c r="I11" s="2011"/>
      <c r="J11" s="2763"/>
    </row>
    <row r="12" spans="1:15" ht="12.75">
      <c r="A12" s="3488" t="s">
        <v>1485</v>
      </c>
      <c r="B12" s="3488">
        <v>15</v>
      </c>
      <c r="C12" s="3494"/>
      <c r="D12" s="3491"/>
      <c r="E12" s="12" t="s">
        <v>1486</v>
      </c>
      <c r="F12" s="2016"/>
      <c r="G12" s="2016"/>
      <c r="H12" s="2016"/>
      <c r="I12" s="2011"/>
      <c r="J12" s="2763"/>
    </row>
    <row r="13" spans="1:15" ht="12.75">
      <c r="A13" s="3488"/>
      <c r="B13" s="3488"/>
      <c r="C13" s="3496"/>
      <c r="D13" s="3491"/>
      <c r="E13" s="12" t="s">
        <v>1487</v>
      </c>
      <c r="F13" s="2016"/>
      <c r="G13" s="2016"/>
      <c r="H13" s="2016"/>
      <c r="I13" s="2011"/>
      <c r="J13" s="2763"/>
    </row>
    <row r="14" spans="1:15" ht="12.75">
      <c r="A14" s="3488" t="s">
        <v>1488</v>
      </c>
      <c r="B14" s="3488">
        <v>30</v>
      </c>
      <c r="C14" s="3494"/>
      <c r="D14" s="3491"/>
      <c r="E14" s="12" t="s">
        <v>1489</v>
      </c>
      <c r="F14" s="2016"/>
      <c r="G14" s="2016"/>
      <c r="H14" s="2016"/>
      <c r="I14" s="2011"/>
      <c r="J14" s="2763"/>
    </row>
    <row r="15" spans="1:15" ht="12.75">
      <c r="A15" s="3488"/>
      <c r="B15" s="3488"/>
      <c r="C15" s="3495"/>
      <c r="D15" s="3491"/>
      <c r="E15" s="12" t="s">
        <v>1490</v>
      </c>
      <c r="F15" s="2016"/>
      <c r="G15" s="2016"/>
      <c r="H15" s="2016"/>
      <c r="I15" s="2011"/>
      <c r="J15" s="2763"/>
    </row>
    <row r="16" spans="1:15" ht="12.75">
      <c r="A16" s="3488"/>
      <c r="B16" s="3488"/>
      <c r="C16" s="3496"/>
      <c r="D16" s="3491"/>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08" t="s">
        <v>2573</v>
      </c>
      <c r="F18" s="3509"/>
      <c r="G18" s="3509"/>
      <c r="H18" s="3509"/>
      <c r="I18" s="3509"/>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7" t="s">
        <v>1500</v>
      </c>
      <c r="B24" s="2638" t="s">
        <v>1495</v>
      </c>
      <c r="C24" s="2641">
        <f>D30</f>
        <v>0</v>
      </c>
      <c r="D24" s="2593"/>
      <c r="E24" s="905"/>
      <c r="F24" s="905"/>
      <c r="G24" s="905"/>
      <c r="H24" s="905"/>
      <c r="I24" s="905"/>
      <c r="J24" s="2764"/>
    </row>
    <row r="25" spans="1:36" ht="21.75" customHeight="1">
      <c r="A25" s="3498"/>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2577</v>
      </c>
      <c r="F30" s="2480"/>
      <c r="G30" s="2480"/>
      <c r="H30" s="2480"/>
      <c r="I30" s="2480"/>
      <c r="J30" s="2764"/>
    </row>
    <row r="31" spans="1:36" s="2757" customFormat="1" ht="27.6" customHeight="1" thickTop="1" thickBot="1">
      <c r="A31" s="2752"/>
      <c r="B31" s="2753"/>
      <c r="C31" s="2753"/>
      <c r="D31" s="2753"/>
      <c r="E31" s="2753"/>
      <c r="F31" s="2753"/>
      <c r="G31" s="2753"/>
      <c r="H31" s="2753"/>
      <c r="I31" s="2754" t="s">
        <v>2578</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4" t="s">
        <v>1647</v>
      </c>
      <c r="B32" s="3554"/>
      <c r="C32" s="3554"/>
      <c r="D32" s="3554"/>
      <c r="E32" s="3554"/>
      <c r="F32" s="3554"/>
      <c r="G32" s="3554"/>
      <c r="H32" s="3554"/>
      <c r="I32" s="3554"/>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典型户型修正!R27</f>
        <v>0</v>
      </c>
      <c r="D33" s="2480" t="s">
        <v>1649</v>
      </c>
      <c r="E33" s="905"/>
      <c r="F33" s="905"/>
      <c r="G33" s="905"/>
      <c r="H33" s="905"/>
      <c r="I33" s="905"/>
      <c r="J33" s="2764"/>
    </row>
    <row r="34" spans="1:16" ht="15">
      <c r="A34" s="1439" t="s">
        <v>1650</v>
      </c>
      <c r="B34" s="2695" t="s">
        <v>1651</v>
      </c>
      <c r="C34" s="2696">
        <f>典型户型修正!B2</f>
        <v>0</v>
      </c>
      <c r="D34" s="2697" t="str">
        <f>IF('数据-取费表'!B3="万元","万元","元")</f>
        <v>万元</v>
      </c>
      <c r="E34" s="905"/>
      <c r="F34" s="905"/>
      <c r="G34" s="905"/>
      <c r="H34" s="905"/>
      <c r="I34" s="905"/>
      <c r="J34" s="2764"/>
    </row>
    <row r="35" spans="1:16" ht="15.75" thickBot="1">
      <c r="A35" s="1440"/>
      <c r="B35" s="2698" t="s">
        <v>1652</v>
      </c>
      <c r="C35" s="2647" t="e">
        <f>典型户型修正!B3</f>
        <v>#DIV/0!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97" t="s">
        <v>1656</v>
      </c>
      <c r="B38" s="1395" t="s">
        <v>1657</v>
      </c>
      <c r="C38" s="2674"/>
      <c r="D38" s="2675"/>
      <c r="E38" s="1607"/>
      <c r="F38" s="1607"/>
      <c r="G38" s="905"/>
      <c r="H38" s="905"/>
      <c r="I38" s="905"/>
      <c r="J38" s="2764"/>
    </row>
    <row r="39" spans="1:16" ht="15.75" thickBot="1">
      <c r="A39" s="3502"/>
      <c r="B39" s="2021" t="s">
        <v>1658</v>
      </c>
      <c r="C39" s="2676"/>
      <c r="D39" s="1238"/>
      <c r="E39" s="1238"/>
      <c r="F39" s="1607"/>
      <c r="G39" s="1238"/>
      <c r="H39" s="1238"/>
      <c r="I39" s="1238"/>
      <c r="J39" s="2768"/>
    </row>
    <row r="40" spans="1:16" ht="15.75" thickBot="1">
      <c r="A40" s="3503"/>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2572</v>
      </c>
      <c r="J46" s="2794"/>
      <c r="K46" s="1402" t="s">
        <v>1523</v>
      </c>
      <c r="L46" s="1403"/>
      <c r="M46" s="1403"/>
      <c r="N46" s="1403"/>
      <c r="O46" s="1403"/>
      <c r="P46" s="1403"/>
    </row>
    <row r="47" spans="1:16" ht="14.25" customHeight="1" thickBot="1">
      <c r="A47" s="3422" t="s">
        <v>1669</v>
      </c>
      <c r="B47" s="3423"/>
      <c r="C47" s="3433"/>
      <c r="D47" s="246">
        <f>ROUND(I104*F47,0)</f>
        <v>0</v>
      </c>
      <c r="E47" s="1469" t="s">
        <v>1670</v>
      </c>
      <c r="F47" s="2478">
        <v>1</v>
      </c>
      <c r="G47" s="2479" t="s">
        <v>1671</v>
      </c>
      <c r="H47" s="905"/>
      <c r="I47" s="905"/>
      <c r="J47" s="2764"/>
      <c r="K47" s="3527" t="s">
        <v>1527</v>
      </c>
      <c r="L47" s="3527"/>
      <c r="M47" s="3527"/>
      <c r="N47" s="3527"/>
      <c r="O47" s="3527"/>
      <c r="P47" s="3527"/>
    </row>
    <row r="48" spans="1:16" ht="14.25" customHeight="1">
      <c r="A48" s="3499" t="s">
        <v>1528</v>
      </c>
      <c r="B48" s="3500"/>
      <c r="C48" s="3500"/>
      <c r="D48" s="3500"/>
      <c r="E48" s="3500"/>
      <c r="F48" s="3500"/>
      <c r="G48" s="3501"/>
      <c r="H48" s="2896"/>
      <c r="I48" s="905"/>
      <c r="J48" s="2764"/>
      <c r="K48" s="2430">
        <v>1</v>
      </c>
      <c r="L48" s="3528" t="s">
        <v>1529</v>
      </c>
      <c r="M48" s="3528"/>
      <c r="N48" s="3529"/>
      <c r="O48" s="3529"/>
      <c r="P48" s="3529"/>
    </row>
    <row r="49" spans="1:17" ht="12" customHeight="1">
      <c r="A49" s="38" t="s">
        <v>1530</v>
      </c>
      <c r="B49" s="39"/>
      <c r="C49" s="40"/>
      <c r="D49" s="1027" t="s">
        <v>1531</v>
      </c>
      <c r="E49" s="235" t="s">
        <v>1532</v>
      </c>
      <c r="F49" s="41" t="s">
        <v>1533</v>
      </c>
      <c r="G49" s="2481" t="s">
        <v>1534</v>
      </c>
      <c r="H49" s="2896"/>
      <c r="I49" s="905"/>
      <c r="J49" s="2764"/>
      <c r="K49" s="2430">
        <v>2</v>
      </c>
      <c r="L49" s="3528" t="s">
        <v>1535</v>
      </c>
      <c r="M49" s="3528"/>
      <c r="N49" s="3531">
        <f>'数据-取费表'!B2</f>
        <v>44676</v>
      </c>
      <c r="O49" s="3531"/>
      <c r="P49" s="3531"/>
    </row>
    <row r="50" spans="1:17" ht="25.5">
      <c r="A50" s="3504" t="s">
        <v>1536</v>
      </c>
      <c r="B50" s="3438"/>
      <c r="C50" s="3438"/>
      <c r="D50" s="12">
        <f>IF(H50="情况1",0,IF(H50="情况2",D54,IF(H50="情况3",D55,IF(H50="情况4",D56))))</f>
        <v>0</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28" t="s">
        <v>1539</v>
      </c>
      <c r="M50" s="3528"/>
      <c r="N50" s="3533">
        <f>I104</f>
        <v>0</v>
      </c>
      <c r="O50" s="3533"/>
      <c r="P50" s="3533"/>
    </row>
    <row r="51" spans="1:17" ht="25.5" customHeight="1">
      <c r="A51" s="2018" t="s">
        <v>1540</v>
      </c>
      <c r="B51" s="3477" t="s">
        <v>1541</v>
      </c>
      <c r="C51" s="3477"/>
      <c r="D51" s="2485">
        <v>0</v>
      </c>
      <c r="E51" s="261" t="s">
        <v>1542</v>
      </c>
      <c r="F51" s="2486" t="s">
        <v>48</v>
      </c>
      <c r="G51" s="3419"/>
      <c r="H51" s="2487" t="s">
        <v>2497</v>
      </c>
      <c r="I51" s="2488"/>
      <c r="J51" s="2772"/>
      <c r="K51" s="2430">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8"/>
      <c r="B52" s="3477" t="s">
        <v>1543</v>
      </c>
      <c r="C52" s="3477"/>
      <c r="D52" s="2489"/>
      <c r="E52" s="269"/>
      <c r="F52" s="2486"/>
      <c r="G52" s="3420"/>
      <c r="H52" s="2490" t="s">
        <v>2498</v>
      </c>
      <c r="I52" s="2488"/>
      <c r="J52" s="2772"/>
      <c r="K52" s="3528" t="s">
        <v>1544</v>
      </c>
      <c r="L52" s="3528"/>
      <c r="M52" s="3528"/>
      <c r="N52" s="3528"/>
      <c r="O52" s="3528"/>
      <c r="P52" s="3528"/>
    </row>
    <row r="53" spans="1:17" ht="20.45" customHeight="1">
      <c r="A53" s="2491"/>
      <c r="B53" s="3477" t="s">
        <v>1545</v>
      </c>
      <c r="C53" s="3477"/>
      <c r="D53" s="1027"/>
      <c r="E53" s="264"/>
      <c r="F53" s="2486"/>
      <c r="G53" s="3421"/>
      <c r="H53" s="2490" t="s">
        <v>2499</v>
      </c>
      <c r="I53" s="2488"/>
      <c r="J53" s="2772"/>
      <c r="K53" s="2431" t="s">
        <v>1546</v>
      </c>
      <c r="L53" s="3528" t="s">
        <v>1547</v>
      </c>
      <c r="M53" s="3528"/>
      <c r="N53" s="2431" t="s">
        <v>1548</v>
      </c>
      <c r="O53" s="2431" t="s">
        <v>1549</v>
      </c>
      <c r="P53" s="2431" t="s">
        <v>1550</v>
      </c>
    </row>
    <row r="54" spans="1:17" ht="24" customHeight="1">
      <c r="A54" s="2009" t="s">
        <v>1551</v>
      </c>
      <c r="B54" s="3477" t="s">
        <v>1552</v>
      </c>
      <c r="C54" s="3477"/>
      <c r="D54" s="1027">
        <f>ROUND(D47*'数据-取费表'!E29/(1+'数据-取费表'!F30),0)</f>
        <v>0</v>
      </c>
      <c r="E54" s="2019" t="s">
        <v>1553</v>
      </c>
      <c r="F54" s="2492">
        <f>'数据-取费表'!E29</f>
        <v>5.5000000000000007E-2</v>
      </c>
      <c r="G54" s="2493"/>
      <c r="H54" s="905"/>
      <c r="I54" s="2897"/>
      <c r="J54" s="2772"/>
      <c r="K54" s="2430">
        <v>1</v>
      </c>
      <c r="L54" s="3530" t="s">
        <v>1554</v>
      </c>
      <c r="M54" s="3530"/>
      <c r="N54" s="2432">
        <f>D50</f>
        <v>0</v>
      </c>
      <c r="O54" s="2430" t="str">
        <f>E50</f>
        <v>销售额×税（费）率</v>
      </c>
      <c r="P54" s="2433">
        <f>F50</f>
        <v>5.5000000000000007E-2</v>
      </c>
    </row>
    <row r="55" spans="1:17" ht="12" customHeight="1">
      <c r="A55" s="2009" t="s">
        <v>1555</v>
      </c>
      <c r="B55" s="3489" t="s">
        <v>2590</v>
      </c>
      <c r="C55" s="3478"/>
      <c r="D55" s="1027">
        <f>ROUND(D47*'数据-取费表'!E29/(1+'数据-取费表'!F30),0)</f>
        <v>0</v>
      </c>
      <c r="E55" s="2019" t="s">
        <v>1553</v>
      </c>
      <c r="F55" s="2492">
        <f>'数据-取费表'!E29</f>
        <v>5.5000000000000007E-2</v>
      </c>
      <c r="G55" s="2493"/>
      <c r="H55" s="905"/>
      <c r="I55" s="2897"/>
      <c r="J55" s="2772"/>
      <c r="K55" s="2430">
        <v>2</v>
      </c>
      <c r="L55" s="3530" t="s">
        <v>1556</v>
      </c>
      <c r="M55" s="3530"/>
      <c r="N55" s="2432">
        <f t="shared" ref="N55:P56" si="1">D57</f>
        <v>0</v>
      </c>
      <c r="O55" s="2430" t="str">
        <f t="shared" si="1"/>
        <v>销售额×税（费）率</v>
      </c>
      <c r="P55" s="2433">
        <f t="shared" si="1"/>
        <v>5.0000000000000001E-4</v>
      </c>
    </row>
    <row r="56" spans="1:17" ht="12" customHeight="1">
      <c r="A56" s="2009" t="s">
        <v>1557</v>
      </c>
      <c r="B56" s="3489" t="s">
        <v>2591</v>
      </c>
      <c r="C56" s="3478"/>
      <c r="D56" s="1027">
        <f>C70</f>
        <v>0</v>
      </c>
      <c r="E56" s="264" t="s">
        <v>1558</v>
      </c>
      <c r="F56" s="2492">
        <f>'数据-取费表'!E29</f>
        <v>5.5000000000000007E-2</v>
      </c>
      <c r="G56" s="2493"/>
      <c r="H56" s="2898"/>
      <c r="I56" s="2897"/>
      <c r="J56" s="2772"/>
      <c r="K56" s="2430">
        <v>3</v>
      </c>
      <c r="L56" s="3530" t="s">
        <v>1559</v>
      </c>
      <c r="M56" s="3530"/>
      <c r="N56" s="2432">
        <f t="shared" si="1"/>
        <v>0</v>
      </c>
      <c r="O56" s="2430" t="str">
        <f t="shared" si="1"/>
        <v>增值额×税（费）率</v>
      </c>
      <c r="P56" s="2434" t="str">
        <f t="shared" si="1"/>
        <v>——</v>
      </c>
    </row>
    <row r="57" spans="1:17" ht="24" customHeight="1">
      <c r="A57" s="3442" t="s">
        <v>1560</v>
      </c>
      <c r="B57" s="3438"/>
      <c r="C57" s="3438"/>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30" t="str">
        <f>IF(H61="非个人房产","——","个人所得税")</f>
        <v>个人所得税</v>
      </c>
      <c r="M57" s="3530"/>
      <c r="N57" s="2435">
        <f>D61</f>
        <v>0</v>
      </c>
      <c r="O57" s="2436" t="str">
        <f>E61</f>
        <v>销售额×税（费）率</v>
      </c>
      <c r="P57" s="2437">
        <f>F61</f>
        <v>0.01</v>
      </c>
    </row>
    <row r="58" spans="1:17" ht="24.75">
      <c r="A58" s="3442" t="s">
        <v>1563</v>
      </c>
      <c r="B58" s="3438"/>
      <c r="C58" s="3438"/>
      <c r="D58" s="12">
        <f>IF(H58="个人住宅",D59,D60)</f>
        <v>0</v>
      </c>
      <c r="E58" s="2019" t="s">
        <v>1564</v>
      </c>
      <c r="F58" s="2492" t="str">
        <f>IF(H58="正常",F60,"免征")</f>
        <v>——</v>
      </c>
      <c r="G58" s="2494" t="s">
        <v>1565</v>
      </c>
      <c r="H58" s="2495" t="s">
        <v>1562</v>
      </c>
      <c r="I58" s="2899"/>
      <c r="J58" s="2772"/>
      <c r="K58" s="2430" t="str">
        <f>IF(项目基本情况!I6="上海银行",IF(K57="",4,K57+1),"")</f>
        <v/>
      </c>
      <c r="L58" s="3534" t="str">
        <f>IF(项目基本情况!I6="上海银行","其他处置费用","")</f>
        <v/>
      </c>
      <c r="M58" s="3539"/>
      <c r="N58" s="2432" t="str">
        <f>IF(项目基本情况!I6="上海银行",N71,"")</f>
        <v/>
      </c>
      <c r="O58" s="3534" t="str">
        <f>IF(项目基本情况!I6="上海银行","包含处置中涉及的律师、诉讼、拍卖、评估等费用","")</f>
        <v/>
      </c>
      <c r="P58" s="3535"/>
    </row>
    <row r="59" spans="1:17" ht="12.75">
      <c r="A59" s="2009" t="s">
        <v>1540</v>
      </c>
      <c r="B59" s="3489" t="s">
        <v>1566</v>
      </c>
      <c r="C59" s="3478"/>
      <c r="D59" s="2485">
        <v>0</v>
      </c>
      <c r="E59" s="261" t="s">
        <v>1542</v>
      </c>
      <c r="F59" s="235"/>
      <c r="G59" s="2493"/>
      <c r="H59" s="2899"/>
      <c r="I59" s="2899"/>
      <c r="J59" s="2772"/>
      <c r="K59" s="3530">
        <f>IF(AND(K57="",K58=""),4,IF(项目基本情况!I6="上海银行",K58+1,K57+1))</f>
        <v>5</v>
      </c>
      <c r="L59" s="3530" t="s">
        <v>1567</v>
      </c>
      <c r="M59" s="2438" t="s">
        <v>1568</v>
      </c>
      <c r="N59" s="2439"/>
      <c r="O59" s="2440">
        <f>SUMIF(N54:N58,"&lt;9e307")</f>
        <v>0</v>
      </c>
      <c r="P59" s="2441"/>
      <c r="Q59" s="1233" t="e">
        <f>O59/N51</f>
        <v>#VALUE!</v>
      </c>
    </row>
    <row r="60" spans="1:17" ht="24.75">
      <c r="A60" s="2009" t="s">
        <v>1551</v>
      </c>
      <c r="B60" s="3489" t="s">
        <v>1569</v>
      </c>
      <c r="C60" s="3477"/>
      <c r="D60" s="12">
        <f>IF(H60="转让取得",C83,C99)</f>
        <v>0</v>
      </c>
      <c r="E60" s="2019" t="s">
        <v>1564</v>
      </c>
      <c r="F60" s="235" t="s">
        <v>48</v>
      </c>
      <c r="G60" s="2493"/>
      <c r="H60" s="2495" t="s">
        <v>1570</v>
      </c>
      <c r="I60" s="2899"/>
      <c r="J60" s="2772"/>
      <c r="K60" s="3530"/>
      <c r="L60" s="3530"/>
      <c r="M60" s="2438" t="s">
        <v>1571</v>
      </c>
      <c r="N60" s="2442"/>
      <c r="O60" s="2443" t="str">
        <f>IF(H19="元",NUMBERSTRING(INT(O59),2)&amp;"元整",NUMBERSTRING(INT(O59*10000),2)&amp;"元整")</f>
        <v>零元整</v>
      </c>
      <c r="P60" s="2444"/>
    </row>
    <row r="61" spans="1:17" ht="26.25" thickBot="1">
      <c r="A61" s="3505" t="s">
        <v>1572</v>
      </c>
      <c r="B61" s="3506"/>
      <c r="C61" s="3506"/>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2570</v>
      </c>
      <c r="H61" s="2023" t="s">
        <v>2496</v>
      </c>
      <c r="I61" s="2800" t="s">
        <v>2582</v>
      </c>
      <c r="J61" s="2772"/>
      <c r="K61" s="3536">
        <f>K59+1</f>
        <v>6</v>
      </c>
      <c r="L61" s="3530" t="s">
        <v>1573</v>
      </c>
      <c r="M61" s="2430" t="s">
        <v>1568</v>
      </c>
      <c r="N61" s="2445"/>
      <c r="O61" s="2446" t="e">
        <f>N51-O59</f>
        <v>#VALUE!</v>
      </c>
      <c r="P61" s="2447"/>
    </row>
    <row r="62" spans="1:17" ht="12" customHeight="1">
      <c r="A62" s="1384"/>
      <c r="B62" s="2480"/>
      <c r="C62" s="2480"/>
      <c r="D62" s="2480"/>
      <c r="E62" s="1384"/>
      <c r="F62" s="2899"/>
      <c r="G62" s="2899"/>
      <c r="H62" s="2894"/>
      <c r="I62" s="905"/>
      <c r="J62" s="2772"/>
      <c r="K62" s="3537"/>
      <c r="L62" s="3530"/>
      <c r="M62" s="2438" t="s">
        <v>1571</v>
      </c>
      <c r="N62" s="2442"/>
      <c r="O62" s="2443" t="e">
        <f>IF(H19="元",NUMBERSTRING(INT(O61),2)&amp;"元整",NUMBERSTRING(INT(O61*10000),2)&amp;"元整")</f>
        <v>#VALUE!</v>
      </c>
      <c r="P62" s="2444"/>
    </row>
    <row r="63" spans="1:17" ht="13.5" thickBot="1">
      <c r="A63" s="3538" t="s">
        <v>1574</v>
      </c>
      <c r="B63" s="3538"/>
      <c r="C63" s="3538"/>
      <c r="D63" s="3538"/>
      <c r="E63" s="3538"/>
      <c r="F63" s="2899"/>
      <c r="G63" s="2899"/>
      <c r="H63" s="2894"/>
      <c r="I63" s="905"/>
      <c r="J63" s="2764"/>
      <c r="K63" s="2430">
        <f>K61+1</f>
        <v>7</v>
      </c>
      <c r="L63" s="3530" t="s">
        <v>1575</v>
      </c>
      <c r="M63" s="3530"/>
      <c r="N63" s="2448"/>
      <c r="O63" s="2449" t="e">
        <f>IF(H19="元",ROUND(O61/项目基本情况!C12,0),ROUND(O61*10000/项目基本情况!C12,0))</f>
        <v>#VALUE!</v>
      </c>
      <c r="P63" s="2450"/>
    </row>
    <row r="64" spans="1:17" ht="12.75">
      <c r="A64" s="3456" t="s">
        <v>1576</v>
      </c>
      <c r="B64" s="3457"/>
      <c r="C64" s="1534"/>
      <c r="D64" s="1534" t="s">
        <v>1577</v>
      </c>
      <c r="E64" s="45" t="s">
        <v>1578</v>
      </c>
      <c r="F64" s="2899"/>
      <c r="G64" s="2899"/>
      <c r="H64" s="2894"/>
      <c r="I64" s="905"/>
      <c r="J64" s="2764"/>
      <c r="K64" s="1235"/>
      <c r="L64" s="1235"/>
      <c r="M64" s="1235"/>
      <c r="N64" s="1235"/>
      <c r="O64" s="1235"/>
    </row>
    <row r="65" spans="1:36" ht="12.75">
      <c r="A65" s="46">
        <v>1</v>
      </c>
      <c r="B65" s="47" t="s">
        <v>1579</v>
      </c>
      <c r="C65" s="2703">
        <f>ROUND((C66+C67)/(1+'数据-取费表'!F30),0)</f>
        <v>0</v>
      </c>
      <c r="D65" s="47"/>
      <c r="E65" s="48"/>
      <c r="F65" s="2899"/>
      <c r="G65" s="2899"/>
      <c r="H65" s="2894"/>
      <c r="I65" s="905"/>
      <c r="J65" s="2764"/>
      <c r="K65" s="3526"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D47</f>
        <v>0</v>
      </c>
      <c r="D66" s="50" t="s">
        <v>41</v>
      </c>
      <c r="E66" s="52"/>
      <c r="F66" s="2899"/>
      <c r="G66" s="2899"/>
      <c r="H66" s="2894"/>
      <c r="I66" s="905"/>
      <c r="J66" s="2764"/>
      <c r="K66" s="3526"/>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6"/>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26"/>
      <c r="L68" s="1234" t="s">
        <v>1589</v>
      </c>
      <c r="M68" s="1234" t="e">
        <f>N51*0.5%</f>
        <v>#VALUE!</v>
      </c>
      <c r="N68" s="235" t="e">
        <f>IF(M68&gt;0.5,0.5,ROUND(M68,0))</f>
        <v>#VALUE!</v>
      </c>
      <c r="O68" s="2451" t="s">
        <v>1590</v>
      </c>
    </row>
    <row r="69" spans="1:36" ht="12.75">
      <c r="A69" s="53" t="s">
        <v>42</v>
      </c>
      <c r="B69" s="54" t="s">
        <v>1591</v>
      </c>
      <c r="C69" s="2707">
        <f>C65-C68</f>
        <v>0</v>
      </c>
      <c r="D69" s="50" t="s">
        <v>41</v>
      </c>
      <c r="E69" s="52"/>
      <c r="F69" s="2899"/>
      <c r="G69" s="2899"/>
      <c r="H69" s="2894"/>
      <c r="I69" s="905"/>
      <c r="J69" s="2764"/>
      <c r="K69" s="3526"/>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69">
        <f>'数据-取费表'!E29</f>
        <v>5.5000000000000007E-2</v>
      </c>
      <c r="E70" s="57"/>
      <c r="F70" s="2899"/>
      <c r="G70" s="2899"/>
      <c r="H70" s="2894"/>
      <c r="I70" s="905"/>
      <c r="J70" s="2764"/>
      <c r="K70" s="3526"/>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6"/>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3" t="s">
        <v>1596</v>
      </c>
      <c r="B72" s="3544"/>
      <c r="C72" s="3544"/>
      <c r="D72" s="3544"/>
      <c r="E72" s="3544"/>
      <c r="F72" s="3544"/>
      <c r="G72" s="3544"/>
      <c r="H72" s="3544"/>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6" t="s">
        <v>1576</v>
      </c>
      <c r="B73" s="3457"/>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9" t="s">
        <v>1606</v>
      </c>
      <c r="F78" s="3477"/>
      <c r="G78" s="3477"/>
      <c r="H78" s="3490"/>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ROUND(D47*D80/(1+'数据-取费表'!F30),0)</f>
        <v>0</v>
      </c>
      <c r="D80" s="2716">
        <f>'数据-取费表'!E31</f>
        <v>5.000000000000001E-3</v>
      </c>
      <c r="E80" s="3425" t="s">
        <v>1611</v>
      </c>
      <c r="F80" s="3426"/>
      <c r="G80" s="3426"/>
      <c r="H80" s="3446"/>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3" t="s">
        <v>1615</v>
      </c>
      <c r="B85" s="3544"/>
      <c r="C85" s="3544"/>
      <c r="D85" s="3544"/>
      <c r="E85" s="3544"/>
      <c r="F85" s="3544"/>
      <c r="G85" s="3544"/>
      <c r="H85" s="3544"/>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6" t="s">
        <v>1576</v>
      </c>
      <c r="B86" s="3457"/>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2574</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5" t="s">
        <v>2491</v>
      </c>
      <c r="H92" s="3545"/>
      <c r="I92" s="608"/>
      <c r="J92" s="2796"/>
      <c r="K92" s="2891" t="s">
        <v>2575</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5" t="s">
        <v>1623</v>
      </c>
      <c r="F93" s="3426"/>
      <c r="G93" s="3426"/>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5" t="s">
        <v>1626</v>
      </c>
      <c r="F94" s="3426"/>
      <c r="G94" s="3426"/>
      <c r="H94" s="3446"/>
      <c r="I94" s="608"/>
      <c r="J94" s="2796"/>
      <c r="K94" s="2892" t="s">
        <v>2576</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ROUND(D47*D95/(1+'数据-取费表'!F30),0)</f>
        <v>0</v>
      </c>
      <c r="D95" s="2716">
        <f>'数据-取费表'!E31</f>
        <v>5.000000000000001E-3</v>
      </c>
      <c r="E95" s="3425" t="s">
        <v>1611</v>
      </c>
      <c r="F95" s="3426"/>
      <c r="G95" s="3426"/>
      <c r="H95" s="3446"/>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5" t="s">
        <v>1628</v>
      </c>
      <c r="F96" s="3426"/>
      <c r="G96" s="3426"/>
      <c r="H96" s="3446"/>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3" t="s">
        <v>1630</v>
      </c>
      <c r="B101" s="3444"/>
      <c r="C101" s="3444"/>
      <c r="D101" s="3445"/>
      <c r="E101" s="1388"/>
      <c r="F101" s="3540" t="s">
        <v>2533</v>
      </c>
      <c r="G101" s="3541"/>
      <c r="H101" s="3541"/>
      <c r="I101" s="3542"/>
      <c r="J101" s="2799"/>
    </row>
    <row r="102" spans="1:36" ht="15">
      <c r="A102" s="3460" t="s">
        <v>1632</v>
      </c>
      <c r="B102" s="3461"/>
      <c r="C102" s="2722">
        <f>C4</f>
        <v>0</v>
      </c>
      <c r="D102" s="2723">
        <f>D4</f>
        <v>0</v>
      </c>
      <c r="E102" s="1388"/>
      <c r="F102" s="3462" t="s">
        <v>2534</v>
      </c>
      <c r="G102" s="3464"/>
      <c r="H102" s="3475" t="s">
        <v>2535</v>
      </c>
      <c r="I102" s="3463"/>
      <c r="J102" s="2779"/>
    </row>
    <row r="103" spans="1:36" ht="12.75">
      <c r="A103" s="3546" t="s">
        <v>2529</v>
      </c>
      <c r="B103" s="2234" t="str">
        <f>IF(H19="元","总价（元）","总价（万元）")</f>
        <v>总价（万元）</v>
      </c>
      <c r="C103" s="1234" t="e">
        <f ca="1">C19</f>
        <v>#REF!</v>
      </c>
      <c r="D103" s="2726" t="e">
        <f ca="1">D19</f>
        <v>#REF!</v>
      </c>
      <c r="E103" s="1388"/>
      <c r="F103" s="3547"/>
      <c r="G103" s="3548"/>
      <c r="H103" s="3466">
        <f>典型户型修正!B25</f>
        <v>0</v>
      </c>
      <c r="I103" s="3463"/>
      <c r="J103" s="2779"/>
    </row>
    <row r="104" spans="1:36" ht="12.75">
      <c r="A104" s="3546"/>
      <c r="B104" s="2234" t="s">
        <v>2530</v>
      </c>
      <c r="C104" s="2727" t="e">
        <f ca="1">C20</f>
        <v>#REF!</v>
      </c>
      <c r="D104" s="2728" t="e">
        <f ca="1">D20</f>
        <v>#REF!</v>
      </c>
      <c r="E104" s="1388"/>
      <c r="F104" s="3449" t="s">
        <v>2536</v>
      </c>
      <c r="G104" s="3450"/>
      <c r="H104" s="2736" t="str">
        <f>C110</f>
        <v>总价（万元）</v>
      </c>
      <c r="I104" s="2737">
        <f>H125</f>
        <v>0</v>
      </c>
      <c r="J104" s="2779"/>
    </row>
    <row r="105" spans="1:36" ht="12.75">
      <c r="A105" s="3546" t="s">
        <v>2531</v>
      </c>
      <c r="B105" s="2172" t="str">
        <f>B103</f>
        <v>总价（万元）</v>
      </c>
      <c r="C105" s="12" t="e">
        <f ca="1">ROUND(IF('数据-取费表'!B4="总价",G19,IF(H19="元",G20*'数据-取费表'!E5,G20*'数据-取费表'!E5/10000)),0)</f>
        <v>#REF!</v>
      </c>
      <c r="D105" s="2729"/>
      <c r="E105" s="1388"/>
      <c r="F105" s="3449"/>
      <c r="G105" s="3450"/>
      <c r="H105" s="2736" t="s">
        <v>2537</v>
      </c>
      <c r="I105" s="52" t="e">
        <f>I125</f>
        <v>#DIV/0!</v>
      </c>
      <c r="J105" s="2763"/>
    </row>
    <row r="106" spans="1:36" ht="12.75">
      <c r="A106" s="3546"/>
      <c r="B106" s="2234" t="s">
        <v>2530</v>
      </c>
      <c r="C106" s="1408" t="e">
        <f ca="1">ROUND(IF('数据-取费表'!B4="楼面单价",G20,IF(H19="元",G19/'数据-取费表'!E5,G19*10000/'数据-取费表'!E5)),0)</f>
        <v>#REF!</v>
      </c>
      <c r="D106" s="2729"/>
      <c r="E106" s="1388"/>
      <c r="F106" s="3449"/>
      <c r="G106" s="3450"/>
      <c r="H106" s="3481"/>
      <c r="I106" s="3482"/>
      <c r="J106" s="2780"/>
    </row>
    <row r="107" spans="1:36" ht="12.75">
      <c r="A107" s="3553" t="s">
        <v>2532</v>
      </c>
      <c r="B107" s="2730" t="str">
        <f>B103</f>
        <v>总价（万元）</v>
      </c>
      <c r="C107" s="2731">
        <f>H125</f>
        <v>0</v>
      </c>
      <c r="D107" s="2732"/>
      <c r="E107" s="1388"/>
      <c r="F107" s="3485" t="s">
        <v>2538</v>
      </c>
      <c r="G107" s="3486"/>
      <c r="H107" s="2738" t="str">
        <f>C112</f>
        <v>总额（万元）</v>
      </c>
      <c r="I107" s="2737">
        <f>SUMIF(I108:I110,"&lt;9E307")</f>
        <v>0</v>
      </c>
      <c r="J107" s="2779"/>
    </row>
    <row r="108" spans="1:36" ht="15" thickBot="1">
      <c r="A108" s="3480"/>
      <c r="B108" s="2733" t="s">
        <v>2530</v>
      </c>
      <c r="C108" s="2734" t="e">
        <f>I125</f>
        <v>#DIV/0!</v>
      </c>
      <c r="D108" s="2735"/>
      <c r="E108" s="1388"/>
      <c r="F108" s="3451" t="s">
        <v>2539</v>
      </c>
      <c r="G108" s="345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9" t="s">
        <v>1633</v>
      </c>
      <c r="B109" s="3550"/>
      <c r="C109" s="3550"/>
      <c r="D109" s="3551"/>
      <c r="E109" s="1388"/>
      <c r="F109" s="3451" t="s">
        <v>2540</v>
      </c>
      <c r="G109" s="3452"/>
      <c r="H109" s="2738" t="str">
        <f>C114</f>
        <v>总额（万元）</v>
      </c>
      <c r="I109" s="52">
        <f>C39</f>
        <v>0</v>
      </c>
      <c r="J109" s="2763"/>
    </row>
    <row r="110" spans="1:36" ht="12.75">
      <c r="A110" s="3449" t="s">
        <v>2543</v>
      </c>
      <c r="B110" s="3450"/>
      <c r="C110" s="2736" t="str">
        <f>B103</f>
        <v>总价（万元）</v>
      </c>
      <c r="D110" s="2737">
        <f>H125</f>
        <v>0</v>
      </c>
      <c r="E110" s="1388"/>
      <c r="F110" s="3451" t="s">
        <v>2541</v>
      </c>
      <c r="G110" s="3452"/>
      <c r="H110" s="2738" t="str">
        <f>C115</f>
        <v>总额（万元）</v>
      </c>
      <c r="I110" s="52">
        <f>C40</f>
        <v>0</v>
      </c>
      <c r="J110" s="2763"/>
    </row>
    <row r="111" spans="1:36" ht="12.75">
      <c r="A111" s="3449"/>
      <c r="B111" s="3450"/>
      <c r="C111" s="2736" t="s">
        <v>2544</v>
      </c>
      <c r="D111" s="52" t="e">
        <f>I125</f>
        <v>#DIV/0!</v>
      </c>
      <c r="E111" s="1388"/>
      <c r="F111" s="3449"/>
      <c r="G111" s="3450"/>
      <c r="H111" s="3483"/>
      <c r="I111" s="3484"/>
      <c r="J111" s="2781"/>
    </row>
    <row r="112" spans="1:36" ht="28.5" customHeight="1">
      <c r="A112" s="3520" t="s">
        <v>2538</v>
      </c>
      <c r="B112" s="3521"/>
      <c r="C112" s="2738" t="str">
        <f>IF(H19="元","总额（元）","总额（万元）")</f>
        <v>总额（万元）</v>
      </c>
      <c r="D112" s="2737">
        <f>IF(D38="正常操作",I108+I109+I110,I109+I110)</f>
        <v>0</v>
      </c>
      <c r="E112" s="1388"/>
      <c r="F112" s="3432" t="str">
        <f>IF(项目基本情况!F5="已注销","——","3.房地产抵押价值")</f>
        <v>3.房地产抵押价值</v>
      </c>
      <c r="G112" s="3433"/>
      <c r="H112" s="1408" t="str">
        <f>C116</f>
        <v>总价（万元）</v>
      </c>
      <c r="I112" s="2737">
        <f>IF(F112="——","——",I104-I107)</f>
        <v>0</v>
      </c>
      <c r="J112" s="2779"/>
    </row>
    <row r="113" spans="1:27" ht="12.75">
      <c r="A113" s="3451" t="s">
        <v>2545</v>
      </c>
      <c r="B113" s="3452"/>
      <c r="C113" s="2738" t="str">
        <f>C112</f>
        <v>总额（万元）</v>
      </c>
      <c r="D113" s="52">
        <f>IF(D38="同一抵押权人同一抵押物续贷",C38&amp;"（未扣减，详见特别提示）",C38)</f>
        <v>0</v>
      </c>
      <c r="E113" s="1388"/>
      <c r="F113" s="3434"/>
      <c r="G113" s="3435"/>
      <c r="H113" s="2736" t="s">
        <v>2537</v>
      </c>
      <c r="I113" s="2740" t="e">
        <f>D117</f>
        <v>#DIV/0!</v>
      </c>
      <c r="J113" s="2782"/>
    </row>
    <row r="114" spans="1:27" ht="12.75">
      <c r="A114" s="3451" t="s">
        <v>2546</v>
      </c>
      <c r="B114" s="3452"/>
      <c r="C114" s="2738" t="str">
        <f>C112</f>
        <v>总额（万元）</v>
      </c>
      <c r="D114" s="52">
        <f>C39</f>
        <v>0</v>
      </c>
      <c r="E114" s="1388"/>
      <c r="F114" s="3432" t="str">
        <f>IF(项目基本情况!F5="已注销及未注销","4.抵押担保权已注销时的房地产抵押价值",IF(项目基本情况!F5="已注销","3.抵押担保权已注销时的房地产抵押价值","——"))</f>
        <v>——</v>
      </c>
      <c r="G114" s="3433"/>
      <c r="H114" s="1408" t="str">
        <f>C118</f>
        <v>总价（万元）</v>
      </c>
      <c r="I114" s="2737" t="str">
        <f>IF(F114="——","——",I104-I109-I110)</f>
        <v>——</v>
      </c>
      <c r="J114" s="2779"/>
    </row>
    <row r="115" spans="1:27" ht="12.75">
      <c r="A115" s="3451" t="s">
        <v>2547</v>
      </c>
      <c r="B115" s="3452"/>
      <c r="C115" s="2738" t="str">
        <f>C112</f>
        <v>总额（万元）</v>
      </c>
      <c r="D115" s="52">
        <f>C40</f>
        <v>0</v>
      </c>
      <c r="E115" s="1388"/>
      <c r="F115" s="3434"/>
      <c r="G115" s="3435"/>
      <c r="H115" s="2736" t="s">
        <v>2537</v>
      </c>
      <c r="I115" s="52" t="str">
        <f>D119</f>
        <v>——</v>
      </c>
      <c r="J115" s="2763"/>
    </row>
    <row r="116" spans="1:27" ht="12.75">
      <c r="A116" s="3449" t="str">
        <f>IF(项目基本情况!F5="已注销","——","3.房地产抵押价值")</f>
        <v>3.房地产抵押价值</v>
      </c>
      <c r="B116" s="3450"/>
      <c r="C116" s="2736" t="str">
        <f>B103</f>
        <v>总价（万元）</v>
      </c>
      <c r="D116" s="2737">
        <f>IF(A116="——","——",D110-D112)</f>
        <v>0</v>
      </c>
      <c r="E116" s="1388"/>
      <c r="F116" s="3432" t="str">
        <f>IF(项目基本情况!G5="抵押净值",IF(OR(项目基本情况!F5="已注销",项目基本情况!F5="房地产抵押价值"),"4.抵押净值","5.抵押净值"),"——")</f>
        <v>——</v>
      </c>
      <c r="G116" s="3433"/>
      <c r="H116" s="2736" t="str">
        <f>C120</f>
        <v>总价（万元）</v>
      </c>
      <c r="I116" s="2737" t="str">
        <f>IF(F116="——","——",O61)</f>
        <v>——</v>
      </c>
      <c r="J116" s="2779"/>
    </row>
    <row r="117" spans="1:27" ht="13.5" thickBot="1">
      <c r="A117" s="3449"/>
      <c r="B117" s="3450"/>
      <c r="C117" s="2736" t="s">
        <v>2544</v>
      </c>
      <c r="D117" s="52" t="e">
        <f>ROUND(IF(D116=D110,D111,IF(H19="元",D116/B125,D116*10000/B125)),0)</f>
        <v>#DIV/0!</v>
      </c>
      <c r="E117" s="1388"/>
      <c r="F117" s="3512"/>
      <c r="G117" s="3513"/>
      <c r="H117" s="2741" t="s">
        <v>2537</v>
      </c>
      <c r="I117" s="2725" t="str">
        <f>D121</f>
        <v>——</v>
      </c>
      <c r="J117" s="2763"/>
    </row>
    <row r="118" spans="1:27" ht="15.75">
      <c r="A118" s="3449" t="str">
        <f>IF(项目基本情况!F5="已注销及未注销","4.抵押担保权已注销时的房地产抵押价值",IF(项目基本情况!F5="已注销","3.抵押担保权已注销时的房地产抵押价值","——"))</f>
        <v>——</v>
      </c>
      <c r="B118" s="3450"/>
      <c r="C118" s="2736" t="str">
        <f>B103</f>
        <v>总价（万元）</v>
      </c>
      <c r="D118" s="2737" t="str">
        <f>IF(A118="——","——",D110-D114-D115)</f>
        <v>——</v>
      </c>
      <c r="E118" s="1388"/>
      <c r="F118" s="3427"/>
      <c r="G118" s="3427"/>
      <c r="H118" s="3468"/>
      <c r="I118" s="3468"/>
      <c r="J118" s="2783"/>
      <c r="O118" s="32"/>
      <c r="P118" s="32"/>
    </row>
    <row r="119" spans="1:27" s="1235" customFormat="1" ht="12.75">
      <c r="A119" s="3449"/>
      <c r="B119" s="3450"/>
      <c r="C119" s="2736" t="s">
        <v>2544</v>
      </c>
      <c r="D119" s="52" t="str">
        <f>IF(A118="——","——",IF(H19="元",ROUND(D118/B125,0),ROUND(D118*10000/B125,0)))</f>
        <v>——</v>
      </c>
      <c r="E119" s="1388"/>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9" t="str">
        <f>IF(项目基本情况!G5="抵押净值",IF(OR(项目基本情况!F5="已注销",项目基本情况!F5="房地产抵押价值"),"4.抵押净值","5.抵押净值"),"——")</f>
        <v>——</v>
      </c>
      <c r="B120" s="3450"/>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18"/>
      <c r="B121" s="3519"/>
      <c r="C121" s="2741" t="s">
        <v>2544</v>
      </c>
      <c r="D121" s="2725" t="str">
        <f>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69" t="s">
        <v>1672</v>
      </c>
      <c r="B122" s="3470"/>
      <c r="C122" s="3470"/>
      <c r="D122" s="3470"/>
      <c r="E122" s="3470"/>
      <c r="F122" s="3470"/>
      <c r="G122" s="3470"/>
      <c r="H122" s="3470"/>
      <c r="I122" s="3470"/>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2" t="s">
        <v>2548</v>
      </c>
      <c r="B123" s="3440" t="s">
        <v>2549</v>
      </c>
      <c r="C123" s="3440" t="s">
        <v>2555</v>
      </c>
      <c r="D123" s="3447" t="s">
        <v>2550</v>
      </c>
      <c r="E123" s="3448"/>
      <c r="F123" s="3438" t="s">
        <v>2556</v>
      </c>
      <c r="G123" s="3438"/>
      <c r="H123" s="3438" t="s">
        <v>2551</v>
      </c>
      <c r="I123" s="3439"/>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2"/>
      <c r="B124" s="3441"/>
      <c r="C124" s="3441"/>
      <c r="D124" s="2019" t="s">
        <v>2552</v>
      </c>
      <c r="E124" s="2019" t="s">
        <v>2557</v>
      </c>
      <c r="F124" s="2019" t="s">
        <v>2552</v>
      </c>
      <c r="G124" s="2019" t="s">
        <v>2553</v>
      </c>
      <c r="H124" s="2019" t="s">
        <v>2552</v>
      </c>
      <c r="I124" s="52" t="s">
        <v>2553</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0</v>
      </c>
      <c r="C125" s="1383"/>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2" t="s">
        <v>2554</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6" t="s">
        <v>2554</v>
      </c>
      <c r="B128" s="3477"/>
      <c r="C128" s="3478"/>
      <c r="D128" s="3514">
        <f>H111</f>
        <v>0</v>
      </c>
      <c r="E128" s="3515"/>
      <c r="F128" s="3515"/>
      <c r="G128" s="3515"/>
      <c r="H128" s="3515"/>
      <c r="I128" s="3516"/>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9" t="str">
        <f>IF(项目基本情况!D5="房地产市场价值","——",MID(A116,3,LEN(A116)-2))</f>
        <v>房地产抵押价值</v>
      </c>
      <c r="B129" s="3450"/>
      <c r="C129" s="3450"/>
      <c r="D129" s="3466">
        <f>I112</f>
        <v>0</v>
      </c>
      <c r="E129" s="3475"/>
      <c r="F129" s="3475"/>
      <c r="G129" s="3475"/>
      <c r="H129" s="3475"/>
      <c r="I129" s="3463"/>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2" t="s">
        <v>2554</v>
      </c>
      <c r="B130" s="3438"/>
      <c r="C130" s="3438"/>
      <c r="D130" s="3514" t="e">
        <f>I113</f>
        <v>#DIV/0!</v>
      </c>
      <c r="E130" s="3515"/>
      <c r="F130" s="3515"/>
      <c r="G130" s="3515"/>
      <c r="H130" s="3515"/>
      <c r="I130" s="3516"/>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9" t="str">
        <f>IF(项目基本情况!D5="房地产市场价值","——",MID(A118,3,LEN(A118)-2))</f>
        <v/>
      </c>
      <c r="B131" s="3450"/>
      <c r="C131" s="3450"/>
      <c r="D131" s="3422" t="str">
        <f>I114</f>
        <v>——</v>
      </c>
      <c r="E131" s="3423"/>
      <c r="F131" s="3423"/>
      <c r="G131" s="3423"/>
      <c r="H131" s="3423"/>
      <c r="I131" s="3424"/>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2" t="s">
        <v>2554</v>
      </c>
      <c r="B132" s="3438"/>
      <c r="C132" s="3489"/>
      <c r="D132" s="3467" t="str">
        <f>I115</f>
        <v>——</v>
      </c>
      <c r="E132" s="3467"/>
      <c r="F132" s="3467"/>
      <c r="G132" s="3467"/>
      <c r="H132" s="3467"/>
      <c r="I132" s="3467"/>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9" t="str">
        <f>IF(项目基本情况!D5="房地产市场价值","——",MID(F116,3,LEN(F116)-2))</f>
        <v/>
      </c>
      <c r="B133" s="3450"/>
      <c r="C133" s="3466"/>
      <c r="D133" s="3517" t="str">
        <f>I116</f>
        <v>——</v>
      </c>
      <c r="E133" s="3517"/>
      <c r="F133" s="3517"/>
      <c r="G133" s="3517"/>
      <c r="H133" s="3517"/>
      <c r="I133" s="3517"/>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5" t="s">
        <v>2554</v>
      </c>
      <c r="B134" s="3506"/>
      <c r="C134" s="3506"/>
      <c r="D134" s="3523">
        <f>H118</f>
        <v>0</v>
      </c>
      <c r="E134" s="3524"/>
      <c r="F134" s="3524"/>
      <c r="G134" s="3524"/>
      <c r="H134" s="3524"/>
      <c r="I134" s="3525"/>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E31" sqref="E3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765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15385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4545909.625</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[2]基准地价修正!$W$2+[2]基准地价修正!$W$3</f>
        <v>4319685.625</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131750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94474</v>
      </c>
      <c r="D8" s="1098"/>
      <c r="E8" s="115"/>
      <c r="F8" s="1097"/>
      <c r="G8" s="1445" t="s">
        <v>3043</v>
      </c>
    </row>
    <row r="9" spans="1:123" s="91" customFormat="1" ht="13.5" customHeight="1">
      <c r="A9" s="950" t="s">
        <v>763</v>
      </c>
      <c r="B9" s="97" t="s">
        <v>1689</v>
      </c>
      <c r="C9" s="1099">
        <f>ROUND(D9*E9,0)</f>
        <v>0</v>
      </c>
      <c r="D9" s="1100">
        <f>IF('数据-取费表'!B10="住宅",IF(B1="仅计算典型户型",'数据-取费表'!E5,'数据-取费表'!B5),0)</f>
        <v>0</v>
      </c>
      <c r="E9" s="1099">
        <f>'数据-取费表'!E11</f>
        <v>150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1690</v>
      </c>
      <c r="C10" s="1099">
        <f>ROUND(D10*E10,0)</f>
        <v>94474</v>
      </c>
      <c r="D10" s="1100">
        <f>IF('数据-取费表'!B10&lt;&gt;"住宅",IF(B1="仅计算典型户型",'数据-取费表'!E5,'数据-取费表'!B5),0)</f>
        <v>497.23</v>
      </c>
      <c r="E10" s="1099">
        <f>'数据-取费表'!E12</f>
        <v>190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497.23</v>
      </c>
      <c r="E19" s="111">
        <f>'数据-取费表'!E15</f>
        <v>200</v>
      </c>
      <c r="F19" s="112"/>
      <c r="G19" s="1445" t="s">
        <v>3039</v>
      </c>
    </row>
    <row r="20" spans="1:123" s="91" customFormat="1" ht="13.5" customHeight="1">
      <c r="A20" s="120" t="s">
        <v>1702</v>
      </c>
      <c r="B20" s="89" t="s">
        <v>1703</v>
      </c>
      <c r="C20" s="99">
        <f>ROUND((C5+C19)*F20,0)</f>
        <v>90918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192837</v>
      </c>
      <c r="D22" s="101">
        <f ca="1">C26</f>
        <v>4.0000000000000002E-4</v>
      </c>
      <c r="E22" s="102" t="s">
        <v>1707</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190928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1909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1720</v>
      </c>
      <c r="B27" s="110" t="s">
        <v>1721</v>
      </c>
      <c r="C27" s="111">
        <f>C28</f>
        <v>695524</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695524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5978347</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1658262</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1491690</v>
      </c>
      <c r="D34" s="1095"/>
      <c r="E34" s="115"/>
      <c r="F34" s="1106" t="str">
        <f>IF('数据-取费表'!B26=0,"",'数据-取费表'!E20)</f>
        <v/>
      </c>
      <c r="G34" s="95"/>
    </row>
    <row r="35" spans="1:123" ht="13.5" customHeight="1">
      <c r="A35" s="92" t="s">
        <v>1685</v>
      </c>
      <c r="B35" s="93" t="s">
        <v>1734</v>
      </c>
      <c r="C35" s="115">
        <f>ROUND(C34*F35,0)</f>
        <v>44751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99446</v>
      </c>
      <c r="D37" s="1095">
        <f>IF(B1="仅计算典型户型",'数据-取费表'!E5,'数据-取费表'!B5)</f>
        <v>497.23</v>
      </c>
      <c r="E37" s="115">
        <f>'数据-取费表'!E23</f>
        <v>200</v>
      </c>
      <c r="F37" s="1107"/>
      <c r="G37" s="124" t="s">
        <v>1739</v>
      </c>
    </row>
    <row r="38" spans="1:123" ht="13.5" customHeight="1">
      <c r="A38" s="92" t="s">
        <v>1740</v>
      </c>
      <c r="B38" s="93" t="s">
        <v>1741</v>
      </c>
      <c r="C38" s="115">
        <f>ROUND(C34*F38,0)</f>
        <v>22375</v>
      </c>
      <c r="D38" s="115"/>
      <c r="E38" s="115"/>
      <c r="F38" s="1107">
        <f>'数据-取费表'!E24</f>
        <v>1.4999999999999999E-2</v>
      </c>
      <c r="G38" s="95" t="s">
        <v>1735</v>
      </c>
    </row>
    <row r="39" spans="1:123" s="91" customFormat="1" ht="13.5" customHeight="1">
      <c r="A39" s="120" t="s">
        <v>1700</v>
      </c>
      <c r="B39" s="89" t="s">
        <v>1703</v>
      </c>
      <c r="C39" s="99">
        <f>ROUND(C33*F20,0)</f>
        <v>33165</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35520</v>
      </c>
      <c r="D41" s="101">
        <f ca="1">C44</f>
        <v>4.0000000000000002E-4</v>
      </c>
      <c r="E41" s="102" t="s">
        <v>1743</v>
      </c>
      <c r="F41" s="2805">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34824</v>
      </c>
      <c r="D42" s="104"/>
      <c r="E42" s="104"/>
      <c r="F42" s="105"/>
      <c r="G42" s="3555" t="s">
        <v>1745</v>
      </c>
    </row>
    <row r="43" spans="1:123" ht="13.5" customHeight="1">
      <c r="A43" s="92" t="s">
        <v>1685</v>
      </c>
      <c r="B43" s="93" t="s">
        <v>1714</v>
      </c>
      <c r="C43" s="104">
        <f ca="1">ROUND(IF('数据-取费表'!B24&lt;=1,C39*F22*'数据-取费表'!B23/2,C39*(POWER((1+F22),'数据-取费表'!B23/2)-1)),0)</f>
        <v>696</v>
      </c>
      <c r="D43" s="104"/>
      <c r="E43" s="104"/>
      <c r="F43" s="105"/>
      <c r="G43" s="3556"/>
    </row>
    <row r="44" spans="1:123" ht="13.5" customHeight="1">
      <c r="A44" s="92" t="s">
        <v>1687</v>
      </c>
      <c r="B44" s="93" t="s">
        <v>1716</v>
      </c>
      <c r="C44" s="104">
        <f ca="1">ROUND(IF('数据-取费表'!B24&lt;=1,C40*F22*'数据-取费表'!B23/2,C40*(POWER((1+F22),'数据-取费表'!B23/2)-1)),4)</f>
        <v>4.0000000000000002E-4</v>
      </c>
      <c r="D44" s="104"/>
      <c r="E44" s="104"/>
      <c r="F44" s="105"/>
      <c r="G44" s="3557"/>
    </row>
    <row r="45" spans="1:123" s="91" customFormat="1" ht="13.5" customHeight="1">
      <c r="A45" s="120" t="s">
        <v>1709</v>
      </c>
      <c r="B45" s="110" t="s">
        <v>1721</v>
      </c>
      <c r="C45" s="111">
        <f>C46</f>
        <v>253714</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253714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1751</v>
      </c>
      <c r="B49" s="89" t="s">
        <v>1752</v>
      </c>
      <c r="C49" s="99">
        <f ca="1">ROUND((C33+C39+C41+C45)/(1-C40-D41-D45-C48),0)</f>
        <v>2143109</v>
      </c>
      <c r="D49" s="99"/>
      <c r="E49" s="99"/>
      <c r="F49" s="126"/>
      <c r="G49" s="100" t="s">
        <v>1753</v>
      </c>
    </row>
    <row r="50" spans="1:123" s="122" customFormat="1" ht="24">
      <c r="A50" s="951" t="s">
        <v>1754</v>
      </c>
      <c r="B50" s="89" t="s">
        <v>1755</v>
      </c>
      <c r="C50" s="99"/>
      <c r="D50" s="99"/>
      <c r="E50" s="99"/>
      <c r="F50" s="126">
        <f>IF('数据-取费表'!B26=0,'数据-取费表'!E20,1)</f>
        <v>0.78</v>
      </c>
      <c r="G50" s="113" t="s">
        <v>1756</v>
      </c>
    </row>
    <row r="51" spans="1:123" ht="16.5" customHeight="1">
      <c r="A51" s="951" t="s">
        <v>1757</v>
      </c>
      <c r="B51" s="89" t="s">
        <v>1758</v>
      </c>
      <c r="C51" s="99">
        <f ca="1">ROUND(C49*F50,0)</f>
        <v>1671625</v>
      </c>
      <c r="D51" s="99"/>
      <c r="E51" s="99"/>
      <c r="F51" s="126"/>
      <c r="G51" s="100" t="s">
        <v>1759</v>
      </c>
    </row>
    <row r="52" spans="1:123" s="88" customFormat="1" ht="16.5" thickBot="1">
      <c r="A52" s="127" t="s">
        <v>1760</v>
      </c>
      <c r="B52" s="128"/>
      <c r="C52" s="129">
        <f ca="1">C31+C51</f>
        <v>7649972</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0.219</v>
      </c>
    </row>
    <row r="57" spans="1:123">
      <c r="B57" s="135" t="s">
        <v>1763</v>
      </c>
      <c r="C57" s="137">
        <f ca="1">1-C56</f>
        <v>0.78100000000000003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2"/>
      <c r="F1" s="882"/>
      <c r="G1" s="882"/>
      <c r="H1" s="882"/>
      <c r="I1" s="882"/>
      <c r="J1" s="882"/>
      <c r="K1" s="882"/>
    </row>
    <row r="2" spans="1:33" s="139" customFormat="1" ht="18" customHeight="1">
      <c r="A2" s="81" t="s">
        <v>1048</v>
      </c>
      <c r="B2" s="84">
        <f ca="1">IF(C2="元",C32,ROUND(C32/10000,0))</f>
        <v>9</v>
      </c>
      <c r="C2" s="1328"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8" t="s">
        <v>1050</v>
      </c>
      <c r="D3" s="882"/>
      <c r="E3" s="882"/>
      <c r="F3" s="882"/>
      <c r="G3" s="882"/>
      <c r="H3" s="882"/>
      <c r="I3" s="882"/>
      <c r="J3" s="882"/>
      <c r="K3" s="882"/>
    </row>
    <row r="4" spans="1:33" s="143" customFormat="1" ht="16.5" customHeight="1">
      <c r="A4" s="140" t="s">
        <v>1051</v>
      </c>
      <c r="B4" s="141"/>
      <c r="C4" s="105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2"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2"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3"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3"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3"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3"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3"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3"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3" t="s">
        <v>1079</v>
      </c>
      <c r="B18" s="162" t="s">
        <v>1080</v>
      </c>
      <c r="C18" s="13">
        <f>C19+C20-'数据-取费表'!E13</f>
        <v>-94474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3"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2" t="s">
        <v>1054</v>
      </c>
      <c r="B21" s="177" t="s">
        <v>1084</v>
      </c>
      <c r="C21" s="178">
        <f>C16+C17+C18</f>
        <v>-94474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2" t="s">
        <v>1056</v>
      </c>
      <c r="B22" s="177" t="s">
        <v>1086</v>
      </c>
      <c r="C22" s="178">
        <f>ROUND(C21*F22,0)</f>
        <v>-1889</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-14454</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-14454</v>
      </c>
      <c r="D30" s="193"/>
      <c r="E30" s="206"/>
      <c r="F30" s="203"/>
      <c r="G30" s="147"/>
      <c r="H30" s="170"/>
      <c r="I30" s="170"/>
      <c r="J30" s="170"/>
      <c r="K30" s="171"/>
    </row>
    <row r="31" spans="1:33" s="182" customFormat="1" ht="13.5" customHeight="1" thickBot="1">
      <c r="A31" s="1330"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93643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34" zoomScale="70" zoomScaleNormal="60" zoomScaleSheetLayoutView="70" workbookViewId="0">
      <selection activeCell="K58" sqref="K5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2503</v>
      </c>
      <c r="E1" s="1553" t="s">
        <v>1001</v>
      </c>
      <c r="F1" s="1554"/>
      <c r="G1" s="1555" t="e">
        <f>MATCH(C1,'数据-取费表'!A19:A19,0)+5</f>
        <v>#N/A</v>
      </c>
      <c r="H1" s="2904">
        <f>C6/10000</f>
        <v>119.23820000000001</v>
      </c>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1531</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30786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1192382</v>
      </c>
      <c r="D5" s="1560" t="s">
        <v>2482</v>
      </c>
      <c r="E5" s="885"/>
      <c r="F5" s="1013"/>
      <c r="G5" s="909"/>
      <c r="H5" s="232">
        <v>1</v>
      </c>
      <c r="I5" s="233" t="s">
        <v>1772</v>
      </c>
      <c r="J5" s="234">
        <f ca="1">J6+J10+J12</f>
        <v>1220040</v>
      </c>
      <c r="K5" s="1447" t="s">
        <v>1773</v>
      </c>
      <c r="L5" s="885"/>
      <c r="M5" s="1013"/>
    </row>
    <row r="6" spans="1:37" ht="18" customHeight="1">
      <c r="A6" s="1014" t="s">
        <v>1774</v>
      </c>
      <c r="B6" s="1369" t="s">
        <v>1775</v>
      </c>
      <c r="C6" s="234">
        <f>ROUND(F6*F8*F7*(1-F9),0)</f>
        <v>1192382</v>
      </c>
      <c r="D6" s="36" t="s">
        <v>2459</v>
      </c>
      <c r="E6" s="235" t="s">
        <v>1776</v>
      </c>
      <c r="F6" s="236">
        <f>'数据-取费表'!B30</f>
        <v>6.57</v>
      </c>
      <c r="G6" s="909"/>
      <c r="H6" s="1014" t="s">
        <v>1774</v>
      </c>
      <c r="I6" s="1369" t="s">
        <v>1775</v>
      </c>
      <c r="J6" s="234">
        <f>ROUND(M6*M8*M7*(1-M9),0)</f>
        <v>1218517</v>
      </c>
      <c r="K6" s="36" t="s">
        <v>2459</v>
      </c>
      <c r="L6" s="235" t="s">
        <v>1776</v>
      </c>
      <c r="M6" s="236">
        <f>'数据-取费表'!B37</f>
        <v>7.46</v>
      </c>
    </row>
    <row r="7" spans="1:37" ht="18" customHeight="1">
      <c r="A7" s="1047"/>
      <c r="B7" s="238"/>
      <c r="C7" s="239"/>
      <c r="D7" s="240"/>
      <c r="E7" s="235" t="s">
        <v>1777</v>
      </c>
      <c r="F7" s="236">
        <f>IF('数据-取费表'!B42="",IF(D1="仅计算典型户型",'数据-取费表'!E5,'数据-取费表'!B5),'数据-取费表'!B42)</f>
        <v>497.23</v>
      </c>
      <c r="G7" s="909"/>
      <c r="H7" s="237"/>
      <c r="I7" s="238"/>
      <c r="J7" s="239"/>
      <c r="K7" s="240"/>
      <c r="L7" s="235" t="s">
        <v>1777</v>
      </c>
      <c r="M7" s="236">
        <f>IF('数据-取费表'!B42="",IF(D1="仅计算典型户型",'数据-取费表'!E5,'数据-取费表'!B5),'数据-取费表'!B42)</f>
        <v>497.23</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v>
      </c>
      <c r="G9" s="909"/>
      <c r="H9" s="237"/>
      <c r="I9" s="238"/>
      <c r="J9" s="1016"/>
      <c r="K9" s="43"/>
      <c r="L9" s="246" t="s">
        <v>1780</v>
      </c>
      <c r="M9" s="245">
        <f>'数据-取费表'!B39</f>
        <v>0.1</v>
      </c>
    </row>
    <row r="10" spans="1:37" ht="18" customHeight="1">
      <c r="A10" s="1014" t="s">
        <v>1781</v>
      </c>
      <c r="B10" s="1448" t="s">
        <v>1782</v>
      </c>
      <c r="C10" s="1015">
        <f ca="1">ROUND(IF(F10="押一",C6/12*F11,IF(F10="押二",C6/12*2*F11,IF(F10="押三",C6/12*3*F11,C11*F11))),0)</f>
        <v>0</v>
      </c>
      <c r="D10" s="1449" t="s">
        <v>2464</v>
      </c>
      <c r="E10" s="246" t="s">
        <v>1783</v>
      </c>
      <c r="F10" s="1450" t="s">
        <v>3044</v>
      </c>
      <c r="G10" s="909"/>
      <c r="H10" s="1014" t="s">
        <v>1781</v>
      </c>
      <c r="I10" s="1448" t="s">
        <v>1782</v>
      </c>
      <c r="J10" s="1015">
        <f ca="1">ROUND(IF(M10="押一",J6/12*M11,IF(M10="押二",J6/12*2*M11,IF(M10="押三",J6/12*3*M11,J11*M11))),0)</f>
        <v>1523</v>
      </c>
      <c r="K10" s="36" t="s">
        <v>2464</v>
      </c>
      <c r="L10" s="246" t="s">
        <v>1783</v>
      </c>
      <c r="M10" s="1450" t="s">
        <v>3041</v>
      </c>
    </row>
    <row r="11" spans="1:37" s="257" customFormat="1" ht="18" customHeight="1">
      <c r="A11" s="263"/>
      <c r="B11" s="1451" t="s">
        <v>1784</v>
      </c>
      <c r="C11" s="1019"/>
      <c r="D11" s="240"/>
      <c r="E11" s="246" t="s">
        <v>1785</v>
      </c>
      <c r="F11" s="247">
        <f ca="1">'数据-取费表'!B31</f>
        <v>1.4999999999999999E-2</v>
      </c>
      <c r="G11" s="910"/>
      <c r="H11" s="241"/>
      <c r="I11" s="1451" t="s">
        <v>1786</v>
      </c>
      <c r="J11" s="1019"/>
      <c r="K11" s="240"/>
      <c r="L11" s="246" t="s">
        <v>1785</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1787</v>
      </c>
      <c r="B12" s="1452" t="s">
        <v>1788</v>
      </c>
      <c r="C12" s="1025"/>
      <c r="D12" s="1453"/>
      <c r="E12" s="1031"/>
      <c r="F12" s="1026"/>
      <c r="G12" s="909"/>
      <c r="H12" s="1024" t="s">
        <v>1787</v>
      </c>
      <c r="I12" s="1452" t="s">
        <v>1788</v>
      </c>
      <c r="J12" s="1025"/>
      <c r="K12" s="1041"/>
      <c r="L12" s="1031"/>
      <c r="M12" s="1042"/>
    </row>
    <row r="13" spans="1:37" s="257" customFormat="1" ht="18" customHeight="1" thickTop="1">
      <c r="A13" s="1020">
        <v>2</v>
      </c>
      <c r="B13" s="1021" t="s">
        <v>1789</v>
      </c>
      <c r="C13" s="243">
        <f ca="1">ROUND(C29*F13,0)</f>
        <v>1671625</v>
      </c>
      <c r="D13" s="1022" t="s">
        <v>1790</v>
      </c>
      <c r="E13" s="1022" t="s">
        <v>1791</v>
      </c>
      <c r="F13" s="1023">
        <f>'数据-取费表'!E20</f>
        <v>0.78</v>
      </c>
      <c r="G13" s="910"/>
      <c r="H13" s="1020">
        <v>2</v>
      </c>
      <c r="I13" s="1021" t="s">
        <v>1789</v>
      </c>
      <c r="J13" s="1016">
        <f ca="1">ROUND(J14*J15,0)</f>
        <v>1500176</v>
      </c>
      <c r="K13" s="1027" t="s">
        <v>1790</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1792</v>
      </c>
      <c r="B14" s="235" t="s">
        <v>1793</v>
      </c>
      <c r="C14" s="254">
        <f>IF(D1="仅计算典型户型",'数据-取费表'!F18,'数据-取费表'!E18)</f>
        <v>1491690</v>
      </c>
      <c r="D14" s="1255" t="s">
        <v>1794</v>
      </c>
      <c r="E14" s="1256"/>
      <c r="F14" s="757"/>
      <c r="G14" s="910"/>
      <c r="H14" s="253" t="s">
        <v>1774</v>
      </c>
      <c r="I14" s="235" t="s">
        <v>1795</v>
      </c>
      <c r="J14" s="13">
        <f ca="1">C29</f>
        <v>2143109</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1796</v>
      </c>
      <c r="B15" s="235" t="s">
        <v>1797</v>
      </c>
      <c r="C15" s="13">
        <f>ROUND(C14*F15,0)</f>
        <v>44751</v>
      </c>
      <c r="D15" s="255" t="s">
        <v>1798</v>
      </c>
      <c r="E15" s="255" t="s">
        <v>1799</v>
      </c>
      <c r="F15" s="256">
        <f>'数据-取费表'!E21</f>
        <v>0.03</v>
      </c>
      <c r="G15" s="909"/>
      <c r="H15" s="1030" t="s">
        <v>1800</v>
      </c>
      <c r="I15" s="1031" t="s">
        <v>1801</v>
      </c>
      <c r="J15" s="1043">
        <f>'数据-取费表'!B40</f>
        <v>0.7</v>
      </c>
      <c r="K15" s="1044"/>
      <c r="L15" s="1045"/>
      <c r="M15" s="1046"/>
    </row>
    <row r="16" spans="1:37" s="257" customFormat="1" ht="18" customHeight="1" thickTop="1">
      <c r="A16" s="253" t="s">
        <v>1802</v>
      </c>
      <c r="B16" s="235" t="s">
        <v>1803</v>
      </c>
      <c r="C16" s="13">
        <f>ROUND(C14*F16,0)</f>
        <v>0</v>
      </c>
      <c r="D16" s="235" t="s">
        <v>1798</v>
      </c>
      <c r="E16" s="235" t="s">
        <v>1799</v>
      </c>
      <c r="F16" s="258">
        <f>IF('数据-取费表'!B10="住宅",'数据-取费表'!E22,0)</f>
        <v>0</v>
      </c>
      <c r="G16" s="910"/>
      <c r="H16" s="1020" t="s">
        <v>14</v>
      </c>
      <c r="I16" s="1021" t="s">
        <v>1804</v>
      </c>
      <c r="J16" s="243">
        <f ca="1">ROUND(J17+J22+J23+J24,0)</f>
        <v>238217</v>
      </c>
      <c r="K16" s="1027" t="s">
        <v>1805</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1806</v>
      </c>
      <c r="B17" s="235" t="s">
        <v>1807</v>
      </c>
      <c r="C17" s="13">
        <f>ROUND(F17*IF(D1="仅计算典型户型",'数据-取费表'!E5,'数据-取费表'!B5),0)</f>
        <v>99446</v>
      </c>
      <c r="D17" s="235" t="s">
        <v>1808</v>
      </c>
      <c r="E17" s="235" t="s">
        <v>1809</v>
      </c>
      <c r="F17" s="15">
        <f>'数据-取费表'!E23</f>
        <v>200</v>
      </c>
      <c r="G17" s="910"/>
      <c r="H17" s="253" t="s">
        <v>1810</v>
      </c>
      <c r="I17" s="235" t="s">
        <v>1811</v>
      </c>
      <c r="J17" s="2744">
        <f>ROUND(IF(AND(项目基本情况!B7="自然人",项目基本情况!B6="北京市"),J6*M17/(1+'数据-取费表'!F30),J18+J19+J20),0)</f>
        <v>203086</v>
      </c>
      <c r="K17" s="1255" t="s">
        <v>1812</v>
      </c>
      <c r="L17" s="1258" t="s">
        <v>1813</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1814</v>
      </c>
      <c r="B18" s="235" t="s">
        <v>1815</v>
      </c>
      <c r="C18" s="13">
        <f>ROUND(C14*F18,0)</f>
        <v>22375</v>
      </c>
      <c r="D18" s="235" t="s">
        <v>1798</v>
      </c>
      <c r="E18" s="235" t="s">
        <v>1799</v>
      </c>
      <c r="F18" s="258">
        <f>'数据-取费表'!E24</f>
        <v>1.4999999999999999E-2</v>
      </c>
      <c r="G18" s="909"/>
      <c r="H18" s="253" t="s">
        <v>1816</v>
      </c>
      <c r="I18" s="235" t="s">
        <v>1817</v>
      </c>
      <c r="J18" s="13">
        <f>IF(项目基本情况!B7="自然人","——",ROUND(J6*M18/(1+'数据-取费表'!F30),0))</f>
        <v>63827</v>
      </c>
      <c r="K18" s="1258" t="s">
        <v>2484</v>
      </c>
      <c r="L18" s="235" t="s">
        <v>1799</v>
      </c>
      <c r="M18" s="258">
        <f>'数据-取费表'!E29</f>
        <v>5.5000000000000007E-2</v>
      </c>
    </row>
    <row r="19" spans="1:37" s="257" customFormat="1" ht="18" customHeight="1">
      <c r="A19" s="253" t="s">
        <v>1810</v>
      </c>
      <c r="B19" s="235" t="s">
        <v>1818</v>
      </c>
      <c r="C19" s="13">
        <f>SUM(C14:C18)</f>
        <v>1658262</v>
      </c>
      <c r="D19" s="33" t="s">
        <v>1819</v>
      </c>
      <c r="E19" s="1260"/>
      <c r="F19" s="15"/>
      <c r="G19" s="910"/>
      <c r="H19" s="253" t="s">
        <v>1796</v>
      </c>
      <c r="I19" s="235" t="s">
        <v>1820</v>
      </c>
      <c r="J19" s="13">
        <f>IF(项目基本情况!B7="自然人","——",IF(K19="按租金收入计税",ROUND(J6*M19/(1+'数据-取费表'!F30),0),ROUND(C29*M19*0.7,0)))</f>
        <v>139259</v>
      </c>
      <c r="K19" s="1363" t="s">
        <v>2641</v>
      </c>
      <c r="L19" s="235" t="s">
        <v>1799</v>
      </c>
      <c r="M19" s="258">
        <f>IF(K19="按租金收入计税",'数据-取费表'!E39,'数据-取费表'!E38)</f>
        <v>0.12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1821</v>
      </c>
      <c r="C20" s="13">
        <f>ROUND(C19*F20,0)</f>
        <v>33165</v>
      </c>
      <c r="D20" s="259" t="s">
        <v>1822</v>
      </c>
      <c r="E20" s="235" t="s">
        <v>1823</v>
      </c>
      <c r="F20" s="258">
        <f>'数据-取费表'!E25</f>
        <v>0.02</v>
      </c>
      <c r="G20" s="910"/>
      <c r="H20" s="253" t="s">
        <v>1802</v>
      </c>
      <c r="I20" s="36" t="s">
        <v>1824</v>
      </c>
      <c r="J20" s="14">
        <f>IF(项目基本情况!B7="自然人","——",ROUND(M20*M21,0))</f>
        <v>0</v>
      </c>
      <c r="K20" s="261" t="s">
        <v>1825</v>
      </c>
      <c r="L20" s="235" t="s">
        <v>1826</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1827</v>
      </c>
      <c r="B21" s="235" t="s">
        <v>1828</v>
      </c>
      <c r="C21" s="597">
        <f>F21</f>
        <v>0.02</v>
      </c>
      <c r="D21" s="259" t="s">
        <v>1829</v>
      </c>
      <c r="E21" s="235" t="s">
        <v>1830</v>
      </c>
      <c r="F21" s="258">
        <f>'数据-取费表'!E26</f>
        <v>0.02</v>
      </c>
      <c r="G21" s="909"/>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单利计息。建造成本、管理费用、销售费用产生的利息。</v>
      </c>
      <c r="E22" s="1260"/>
      <c r="F22" s="15"/>
      <c r="G22" s="909"/>
      <c r="H22" s="253" t="s">
        <v>1800</v>
      </c>
      <c r="I22" s="235" t="s">
        <v>1834</v>
      </c>
      <c r="J22" s="13">
        <f ca="1">ROUND(J14*M22,0)</f>
        <v>21431</v>
      </c>
      <c r="K22" s="1258" t="s">
        <v>1835</v>
      </c>
      <c r="L22" s="235" t="s">
        <v>1799</v>
      </c>
      <c r="M22" s="265">
        <f>'数据-取费表'!B45</f>
        <v>0.01</v>
      </c>
    </row>
    <row r="23" spans="1:37" ht="18" customHeight="1">
      <c r="A23" s="253" t="s">
        <v>1816</v>
      </c>
      <c r="B23" s="235" t="s">
        <v>1836</v>
      </c>
      <c r="C23" s="13">
        <f ca="1">IF('数据-取费表'!B24&lt;=1,ROUND(C19*F24*F23/2,0)+ROUND(C20*F24*F23/2,0),ROUND(C19*(POWER((1+F24),F23/2)-1),0)+ROUND(C20*(POWER((1+F24),F23/2)-1),0))</f>
        <v>35520</v>
      </c>
      <c r="D23" s="1359" t="str">
        <f>IF(F23&lt;=1,"(建造成本+管理费用)×利率×(建设周期÷2)","(建造成本+管理费用)×((1+利率)^(建设周期÷2)-1)")</f>
        <v>(建造成本+管理费用)×利率×(建设周期÷2)</v>
      </c>
      <c r="E23" s="235" t="s">
        <v>1837</v>
      </c>
      <c r="F23" s="262">
        <f>'数据-取费表'!B22</f>
        <v>1</v>
      </c>
      <c r="G23" s="909"/>
      <c r="H23" s="253" t="s">
        <v>1827</v>
      </c>
      <c r="I23" s="235" t="s">
        <v>1838</v>
      </c>
      <c r="J23" s="13">
        <f ca="1">ROUND(J13*M23,0)</f>
        <v>1500</v>
      </c>
      <c r="K23" s="1258" t="s">
        <v>1839</v>
      </c>
      <c r="L23" s="235" t="s">
        <v>1840</v>
      </c>
      <c r="M23" s="266">
        <f>'数据-取费表'!B46</f>
        <v>1E-3</v>
      </c>
    </row>
    <row r="24" spans="1:37" s="257" customFormat="1" ht="18" customHeight="1" thickBot="1">
      <c r="A24" s="253" t="s">
        <v>1841</v>
      </c>
      <c r="B24" s="235" t="s">
        <v>1842</v>
      </c>
      <c r="C24" s="13">
        <f ca="1">ROUND(IF('数据-取费表'!B24&lt;=1,F21*F24*F23/2,F21*(POWER((1+F24),F23/2)-1)),4)</f>
        <v>4.0000000000000002E-4</v>
      </c>
      <c r="D24" s="1359" t="str">
        <f>IF(F23&lt;=1,"销售费用×利率×(建设周期÷2)","销售费用×((1+利率)^(建设周期÷2)-1)")</f>
        <v>销售费用×利率×(建设周期÷2)</v>
      </c>
      <c r="E24" s="235" t="s">
        <v>1843</v>
      </c>
      <c r="F24" s="267">
        <f ca="1">'数据-取费表'!E27</f>
        <v>4.2000000000000003E-2</v>
      </c>
      <c r="G24" s="910"/>
      <c r="H24" s="1030" t="s">
        <v>1832</v>
      </c>
      <c r="I24" s="1031" t="s">
        <v>1821</v>
      </c>
      <c r="J24" s="1032">
        <f ca="1">ROUND(J5*M24,0)</f>
        <v>12200</v>
      </c>
      <c r="K24" s="1033" t="s">
        <v>1844</v>
      </c>
      <c r="L24" s="1031" t="s">
        <v>1840</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1845</v>
      </c>
      <c r="B25" s="235" t="s">
        <v>1846</v>
      </c>
      <c r="C25" s="13"/>
      <c r="D25" s="33" t="s">
        <v>1847</v>
      </c>
      <c r="E25" s="1260"/>
      <c r="F25" s="15"/>
      <c r="G25" s="910"/>
      <c r="H25" s="1020" t="s">
        <v>22</v>
      </c>
      <c r="I25" s="1035" t="s">
        <v>1848</v>
      </c>
      <c r="J25" s="243">
        <f ca="1">J5-J16</f>
        <v>981823</v>
      </c>
      <c r="K25" s="1036" t="s">
        <v>1849</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1792</v>
      </c>
      <c r="B26" s="235" t="s">
        <v>1850</v>
      </c>
      <c r="C26" s="13">
        <f>ROUND((C19+C20)*F26,0)</f>
        <v>253714</v>
      </c>
      <c r="D26" s="259" t="s">
        <v>1851</v>
      </c>
      <c r="E26" s="246" t="s">
        <v>1852</v>
      </c>
      <c r="F26" s="245">
        <f>'数据-取费表'!E28</f>
        <v>0.15</v>
      </c>
      <c r="G26" s="652"/>
      <c r="H26" s="232" t="s">
        <v>23</v>
      </c>
      <c r="I26" s="233" t="s">
        <v>1853</v>
      </c>
      <c r="J26" s="234">
        <f ca="1">IF(J5&lt;&gt;0,ROUND(J25*(1-((1+M28)/(1+M26))^M27)/(M26-M28),0),0)</f>
        <v>14569014</v>
      </c>
      <c r="K26" s="261" t="s">
        <v>1854</v>
      </c>
      <c r="L26" s="235" t="s">
        <v>1855</v>
      </c>
      <c r="M26" s="245">
        <f>'数据-取费表'!B16</f>
        <v>5.5E-2</v>
      </c>
    </row>
    <row r="27" spans="1:37" ht="18" customHeight="1">
      <c r="A27" s="253" t="s">
        <v>1856</v>
      </c>
      <c r="B27" s="235" t="s">
        <v>1857</v>
      </c>
      <c r="C27" s="13">
        <f>ROUND(F21*F26,4)</f>
        <v>3.0000000000000001E-3</v>
      </c>
      <c r="D27" s="259" t="s">
        <v>1858</v>
      </c>
      <c r="E27" s="255"/>
      <c r="F27" s="256"/>
      <c r="G27" s="652"/>
      <c r="H27" s="237"/>
      <c r="I27" s="238"/>
      <c r="J27" s="239"/>
      <c r="K27" s="269" t="s">
        <v>1859</v>
      </c>
      <c r="L27" s="235" t="s">
        <v>1860</v>
      </c>
      <c r="M27" s="270">
        <f>'数据-取费表'!B41</f>
        <v>20.420000000000002</v>
      </c>
    </row>
    <row r="28" spans="1:37" ht="18" customHeight="1">
      <c r="A28" s="253" t="s">
        <v>1861</v>
      </c>
      <c r="B28" s="235" t="s">
        <v>1862</v>
      </c>
      <c r="C28" s="13">
        <f>ROUND(F28/(1+'数据-取费表'!F30),4)</f>
        <v>5.2400000000000002E-2</v>
      </c>
      <c r="D28" s="259" t="s">
        <v>1863</v>
      </c>
      <c r="E28" s="235" t="s">
        <v>1823</v>
      </c>
      <c r="F28" s="258">
        <f>'数据-取费表'!E29</f>
        <v>5.5000000000000007E-2</v>
      </c>
      <c r="G28" s="652"/>
      <c r="H28" s="241"/>
      <c r="I28" s="242"/>
      <c r="J28" s="243"/>
      <c r="K28" s="264"/>
      <c r="L28" s="235" t="s">
        <v>1864</v>
      </c>
      <c r="M28" s="245">
        <f>'数据-取费表'!B38</f>
        <v>2.5000000000000001E-2</v>
      </c>
    </row>
    <row r="29" spans="1:37" ht="18" customHeight="1" thickBot="1">
      <c r="A29" s="1030" t="s">
        <v>1865</v>
      </c>
      <c r="B29" s="1031" t="s">
        <v>1866</v>
      </c>
      <c r="C29" s="1032">
        <f ca="1">ROUND((C19+C20+C23+C26)/(1-F21-C24-C27-C28),0)</f>
        <v>2143109</v>
      </c>
      <c r="D29" s="1033"/>
      <c r="E29" s="1031"/>
      <c r="F29" s="1034"/>
      <c r="G29" s="652"/>
      <c r="H29" s="271" t="s">
        <v>24</v>
      </c>
      <c r="I29" s="272" t="s">
        <v>1867</v>
      </c>
      <c r="J29" s="273">
        <f ca="1">ROUND(J26/(1+F40)^F41,0)</f>
        <v>10806410</v>
      </c>
      <c r="K29" s="274" t="s">
        <v>1868</v>
      </c>
      <c r="L29" s="275"/>
      <c r="M29" s="276">
        <f>IF(D1="仅计算典型户型",'数据-取费表'!E5,'数据-取费表'!B5)</f>
        <v>497.23</v>
      </c>
    </row>
    <row r="30" spans="1:37" ht="18" customHeight="1" thickTop="1">
      <c r="A30" s="1020" t="s">
        <v>14</v>
      </c>
      <c r="B30" s="1021" t="s">
        <v>1869</v>
      </c>
      <c r="C30" s="243">
        <f ca="1">ROUND(C31+C36+C37+C38,0)</f>
        <v>233757</v>
      </c>
      <c r="D30" s="1027" t="s">
        <v>1870</v>
      </c>
      <c r="E30" s="1028"/>
      <c r="F30" s="1029"/>
      <c r="G30" s="652"/>
      <c r="H30" s="889"/>
      <c r="I30" s="890"/>
      <c r="J30" s="891"/>
      <c r="K30" s="892"/>
      <c r="L30" s="893"/>
      <c r="M30" s="894"/>
    </row>
    <row r="31" spans="1:37" ht="18" customHeight="1">
      <c r="A31" s="253" t="s">
        <v>1774</v>
      </c>
      <c r="B31" s="235" t="s">
        <v>1811</v>
      </c>
      <c r="C31" s="2744">
        <f>ROUND(IF(AND(项目基本情况!B7="自然人",项目基本情况!B6="北京市"),C6*F31/(1+'数据-取费表'!F30),C32+C33+C34),0)</f>
        <v>198730</v>
      </c>
      <c r="D31" s="1255" t="s">
        <v>1871</v>
      </c>
      <c r="E31" s="1258" t="s">
        <v>1872</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1792</v>
      </c>
      <c r="B32" s="235" t="s">
        <v>1873</v>
      </c>
      <c r="C32" s="13">
        <f>IF(项目基本情况!B7="自然人","——",ROUND(C6*F32/(1+'数据-取费表'!F30),0))</f>
        <v>62458</v>
      </c>
      <c r="D32" s="1258" t="s">
        <v>2483</v>
      </c>
      <c r="E32" s="235" t="s">
        <v>1823</v>
      </c>
      <c r="F32" s="267">
        <f>'数据-取费表'!E29</f>
        <v>5.5000000000000007E-2</v>
      </c>
      <c r="G32" s="652"/>
      <c r="H32" s="895"/>
      <c r="I32" s="896"/>
      <c r="J32" s="897"/>
      <c r="K32" s="898"/>
      <c r="L32" s="899"/>
      <c r="M32" s="900"/>
    </row>
    <row r="33" spans="1:18" ht="18" customHeight="1">
      <c r="A33" s="253" t="s">
        <v>1796</v>
      </c>
      <c r="B33" s="235" t="s">
        <v>1820</v>
      </c>
      <c r="C33" s="13">
        <f>IF(项目基本情况!B7="自然人","——",IF(D33="按租金收入计税",ROUND(C6*F33/(1+'数据-取费表'!F30),0),IF(D33="按房产原值计税",ROUND(C29*F33*0.7,0),'数据-取费表'!B44)))</f>
        <v>136272</v>
      </c>
      <c r="D33" s="1363" t="s">
        <v>2641</v>
      </c>
      <c r="E33" s="235" t="s">
        <v>1799</v>
      </c>
      <c r="F33" s="258">
        <f>IF(D33="按票据","——",IF(D33="按租金收入计税",'数据-取费表'!E39,'数据-取费表'!E38))</f>
        <v>0.12</v>
      </c>
      <c r="G33" s="652"/>
      <c r="H33" s="901"/>
      <c r="I33" s="278" t="s">
        <v>1875</v>
      </c>
      <c r="J33" s="279"/>
      <c r="K33" s="902"/>
      <c r="L33" s="901"/>
      <c r="M33" s="901"/>
    </row>
    <row r="34" spans="1:18" ht="18" customHeight="1">
      <c r="A34" s="1014" t="s">
        <v>1802</v>
      </c>
      <c r="B34" s="36" t="s">
        <v>1824</v>
      </c>
      <c r="C34" s="14">
        <f>IF(项目基本情况!B7="自然人","——",ROUND(F34*F35,0))</f>
        <v>0</v>
      </c>
      <c r="D34" s="261" t="s">
        <v>1825</v>
      </c>
      <c r="E34" s="235" t="s">
        <v>1826</v>
      </c>
      <c r="F34" s="262">
        <f>'数据-取费表'!E40</f>
        <v>0</v>
      </c>
      <c r="G34" s="652"/>
      <c r="H34" s="889"/>
      <c r="I34" s="280" t="s">
        <v>1876</v>
      </c>
      <c r="J34" s="281">
        <f ca="1">ROUND(C13*J35,0)</f>
        <v>0</v>
      </c>
      <c r="K34" s="903"/>
      <c r="L34" s="904"/>
      <c r="M34" s="904"/>
    </row>
    <row r="35" spans="1:18" ht="24.6" customHeight="1">
      <c r="A35" s="1018"/>
      <c r="B35" s="244"/>
      <c r="C35" s="17"/>
      <c r="D35" s="264"/>
      <c r="E35" s="235" t="s">
        <v>1831</v>
      </c>
      <c r="F35" s="236">
        <f>IF(D1="仅计算典型户型",'数据-取费表'!E6,'数据-取费表'!B6)</f>
        <v>0</v>
      </c>
      <c r="G35" s="652" t="s">
        <v>2571</v>
      </c>
      <c r="H35" s="889"/>
      <c r="I35" s="282" t="s">
        <v>1877</v>
      </c>
      <c r="J35" s="283">
        <f>'数据-取费表'!B18</f>
        <v>0</v>
      </c>
      <c r="K35" s="902"/>
      <c r="L35" s="901"/>
      <c r="M35" s="901"/>
    </row>
    <row r="36" spans="1:18" ht="18" customHeight="1">
      <c r="A36" s="1017" t="s">
        <v>1781</v>
      </c>
      <c r="B36" s="235" t="s">
        <v>1878</v>
      </c>
      <c r="C36" s="13">
        <f ca="1">ROUND(C29*F36,0)</f>
        <v>21431</v>
      </c>
      <c r="D36" s="1258" t="s">
        <v>1879</v>
      </c>
      <c r="E36" s="235" t="s">
        <v>1823</v>
      </c>
      <c r="F36" s="265">
        <f>'数据-取费表'!B45</f>
        <v>0.01</v>
      </c>
      <c r="G36" s="652"/>
      <c r="H36" s="901"/>
      <c r="I36" s="284" t="s">
        <v>1880</v>
      </c>
      <c r="J36" s="285"/>
      <c r="K36" s="905"/>
      <c r="L36" s="901"/>
      <c r="M36" s="901"/>
    </row>
    <row r="37" spans="1:18" ht="18" customHeight="1">
      <c r="A37" s="253" t="s">
        <v>1827</v>
      </c>
      <c r="B37" s="235" t="s">
        <v>1838</v>
      </c>
      <c r="C37" s="13">
        <f ca="1">ROUND(C13*F37,0)</f>
        <v>1672</v>
      </c>
      <c r="D37" s="1258" t="s">
        <v>1839</v>
      </c>
      <c r="E37" s="235" t="s">
        <v>1840</v>
      </c>
      <c r="F37" s="266">
        <f>'数据-取费表'!B46</f>
        <v>1E-3</v>
      </c>
      <c r="G37" s="652"/>
      <c r="H37" s="901"/>
      <c r="I37" s="132" t="s">
        <v>1881</v>
      </c>
      <c r="J37" s="286"/>
      <c r="K37" s="905"/>
      <c r="L37" s="901"/>
      <c r="M37" s="901"/>
    </row>
    <row r="38" spans="1:18" ht="18" customHeight="1" thickBot="1">
      <c r="A38" s="1030" t="s">
        <v>1832</v>
      </c>
      <c r="B38" s="1031" t="s">
        <v>1821</v>
      </c>
      <c r="C38" s="1032">
        <f ca="1">ROUND(C5*F38,0)</f>
        <v>11924</v>
      </c>
      <c r="D38" s="1033" t="s">
        <v>1844</v>
      </c>
      <c r="E38" s="1031" t="s">
        <v>1840</v>
      </c>
      <c r="F38" s="1026">
        <f>'数据-取费表'!B47</f>
        <v>0.01</v>
      </c>
      <c r="G38" s="652"/>
      <c r="H38" s="901"/>
      <c r="I38" s="280" t="s">
        <v>1882</v>
      </c>
      <c r="J38" s="136">
        <f ca="1">ROUND(J34/C39,3)</f>
        <v>0</v>
      </c>
      <c r="K38" s="906"/>
      <c r="L38" s="901"/>
      <c r="M38" s="901"/>
    </row>
    <row r="39" spans="1:18" ht="18" customHeight="1" thickTop="1">
      <c r="A39" s="1020" t="s">
        <v>22</v>
      </c>
      <c r="B39" s="1035" t="s">
        <v>1883</v>
      </c>
      <c r="C39" s="243">
        <f ca="1">C5-C30</f>
        <v>958625</v>
      </c>
      <c r="D39" s="1036" t="s">
        <v>1884</v>
      </c>
      <c r="E39" s="1037"/>
      <c r="F39" s="1038"/>
      <c r="G39" s="652"/>
      <c r="H39" s="901"/>
      <c r="I39" s="280" t="s">
        <v>1885</v>
      </c>
      <c r="J39" s="136">
        <f ca="1">1-J38</f>
        <v>1</v>
      </c>
      <c r="K39" s="906"/>
      <c r="L39" s="901"/>
      <c r="M39" s="901"/>
    </row>
    <row r="40" spans="1:18" s="652" customFormat="1" ht="18" customHeight="1">
      <c r="A40" s="232" t="s">
        <v>23</v>
      </c>
      <c r="B40" s="233" t="s">
        <v>1886</v>
      </c>
      <c r="C40" s="234">
        <f ca="1">ROUND(C39*(1-((1+F42)/(1+F40))^F41)/(F40-F42),0)</f>
        <v>4501367</v>
      </c>
      <c r="D40" s="261" t="s">
        <v>1854</v>
      </c>
      <c r="E40" s="235" t="s">
        <v>1855</v>
      </c>
      <c r="F40" s="245">
        <f>'数据-取费表'!B16</f>
        <v>5.5E-2</v>
      </c>
      <c r="H40" s="907"/>
      <c r="I40" s="132" t="s">
        <v>1887</v>
      </c>
      <c r="J40" s="133"/>
      <c r="K40" s="906"/>
      <c r="L40" s="907"/>
      <c r="M40" s="907"/>
      <c r="Q40" s="656"/>
    </row>
    <row r="41" spans="1:18" s="652" customFormat="1" ht="18" customHeight="1">
      <c r="A41" s="237"/>
      <c r="B41" s="238"/>
      <c r="C41" s="239"/>
      <c r="D41" s="269" t="s">
        <v>1888</v>
      </c>
      <c r="E41" s="1231" t="s">
        <v>2467</v>
      </c>
      <c r="F41" s="270">
        <f>IF('数据-取费表'!B29="租赁期内按合同租金",'数据-取费表'!B35,IF(E41="收益年期(n)",'数据-取费表'!B34,'数据-取费表'!B13))</f>
        <v>5.58</v>
      </c>
      <c r="H41" s="908"/>
      <c r="I41" s="135" t="s">
        <v>1762</v>
      </c>
      <c r="J41" s="136">
        <f ca="1">ROUND(C13/C40,3)</f>
        <v>0.371</v>
      </c>
      <c r="K41" s="905"/>
      <c r="L41" s="908"/>
      <c r="M41" s="908"/>
      <c r="Q41" s="656"/>
    </row>
    <row r="42" spans="1:18" s="652" customFormat="1" ht="18" customHeight="1">
      <c r="A42" s="241"/>
      <c r="B42" s="242"/>
      <c r="C42" s="243"/>
      <c r="D42" s="264"/>
      <c r="E42" s="235" t="s">
        <v>1864</v>
      </c>
      <c r="F42" s="245">
        <f>'数据-取费表'!B32</f>
        <v>0</v>
      </c>
      <c r="H42" s="908"/>
      <c r="I42" s="135" t="s">
        <v>1763</v>
      </c>
      <c r="J42" s="137">
        <f ca="1">1-J41</f>
        <v>0.629</v>
      </c>
      <c r="K42" s="905"/>
      <c r="L42" s="908"/>
      <c r="M42" s="908"/>
      <c r="Q42" s="656"/>
    </row>
    <row r="43" spans="1:18" s="652" customFormat="1" ht="18" customHeight="1" thickBot="1">
      <c r="A43" s="271" t="s">
        <v>24</v>
      </c>
      <c r="B43" s="272" t="s">
        <v>1889</v>
      </c>
      <c r="C43" s="273">
        <f ca="1">ROUND(C40/F43,0)</f>
        <v>9053</v>
      </c>
      <c r="D43" s="274" t="s">
        <v>1890</v>
      </c>
      <c r="E43" s="275" t="s">
        <v>1891</v>
      </c>
      <c r="F43" s="276">
        <f>IF(D1="仅计算典型户型",'数据-取费表'!E5,'数据-取费表'!B5)</f>
        <v>497.23</v>
      </c>
      <c r="G43" s="654"/>
      <c r="H43" s="908"/>
      <c r="I43" s="908"/>
      <c r="J43" s="908"/>
      <c r="K43" s="905"/>
      <c r="L43" s="908"/>
      <c r="M43" s="908"/>
      <c r="O43" s="998" t="s">
        <v>1892</v>
      </c>
      <c r="P43" s="999"/>
      <c r="Q43" s="995"/>
      <c r="R43" s="999"/>
    </row>
    <row r="44" spans="1:18" s="652" customFormat="1" ht="18" customHeight="1" thickBot="1">
      <c r="A44" s="649"/>
      <c r="B44" s="649"/>
      <c r="C44" s="651"/>
      <c r="D44" s="649"/>
      <c r="E44" s="649"/>
      <c r="F44" s="649"/>
      <c r="G44" s="654"/>
      <c r="K44" s="653"/>
      <c r="O44" s="1000" t="s">
        <v>1893</v>
      </c>
      <c r="P44" s="1001" t="s">
        <v>1894</v>
      </c>
      <c r="Q44" s="1002" t="s">
        <v>1895</v>
      </c>
      <c r="R44" s="1003" t="s">
        <v>1896</v>
      </c>
    </row>
    <row r="45" spans="1:18" s="652" customFormat="1" ht="18" customHeight="1" thickBot="1">
      <c r="A45" s="649"/>
      <c r="B45" s="649"/>
      <c r="C45" s="651"/>
      <c r="D45" s="649"/>
      <c r="E45" s="649"/>
      <c r="F45" s="649"/>
      <c r="G45" s="655"/>
      <c r="K45" s="653"/>
      <c r="O45" s="1004" t="s">
        <v>767</v>
      </c>
      <c r="P45" s="1005" t="s">
        <v>1897</v>
      </c>
      <c r="Q45" s="1006">
        <f ca="1">C40+J29</f>
        <v>15307777</v>
      </c>
      <c r="R45" s="1007" t="s">
        <v>1898</v>
      </c>
    </row>
    <row r="46" spans="1:18" s="652" customFormat="1" ht="18" customHeight="1" thickBot="1">
      <c r="A46" s="649"/>
      <c r="D46" s="649"/>
      <c r="E46" s="649"/>
      <c r="F46" s="649"/>
      <c r="K46" s="653"/>
      <c r="O46" s="1004" t="s">
        <v>768</v>
      </c>
      <c r="P46" s="1005" t="s">
        <v>1899</v>
      </c>
      <c r="Q46" s="1006" t="str">
        <f>J61</f>
        <v>0</v>
      </c>
      <c r="R46" s="1007" t="s">
        <v>1900</v>
      </c>
    </row>
    <row r="47" spans="1:18" s="652" customFormat="1" ht="21.75" thickBot="1">
      <c r="A47" s="1454" t="s">
        <v>1901</v>
      </c>
      <c r="C47" s="949">
        <f ca="1">IF(C2="元",C69-C40,ROUND((C69-C40)/10000,0))</f>
        <v>-28</v>
      </c>
      <c r="D47" s="1455" t="str">
        <f>C2</f>
        <v>万元</v>
      </c>
      <c r="E47" s="649"/>
      <c r="F47" s="649"/>
      <c r="I47" s="1456" t="s">
        <v>1902</v>
      </c>
      <c r="J47" s="980"/>
      <c r="K47" s="981"/>
      <c r="L47" s="994" t="str">
        <f>IF(M48="住宅",0,IF(L49&gt;J52,L61,J61))</f>
        <v>0</v>
      </c>
      <c r="O47" s="1008" t="s">
        <v>769</v>
      </c>
      <c r="P47" s="1005" t="s">
        <v>1903</v>
      </c>
      <c r="Q47" s="1006">
        <f ca="1">C29</f>
        <v>2143109</v>
      </c>
      <c r="R47" s="1007" t="s">
        <v>1898</v>
      </c>
    </row>
    <row r="48" spans="1:18" s="652" customFormat="1" ht="15.75" thickBot="1">
      <c r="A48" s="228" t="s">
        <v>1904</v>
      </c>
      <c r="B48" s="229" t="s">
        <v>1905</v>
      </c>
      <c r="C48" s="229" t="s">
        <v>1906</v>
      </c>
      <c r="D48" s="229" t="s">
        <v>1907</v>
      </c>
      <c r="E48" s="944" t="s">
        <v>1908</v>
      </c>
      <c r="F48" s="945"/>
      <c r="I48" s="1457" t="s">
        <v>1909</v>
      </c>
      <c r="J48" s="1458" t="s">
        <v>3036</v>
      </c>
      <c r="K48" s="1459" t="s">
        <v>1910</v>
      </c>
      <c r="L48" s="982">
        <f>'数据-取费表'!B11</f>
        <v>40</v>
      </c>
      <c r="M48" s="995" t="str">
        <f>IF('数据-取费表'!B10="住宅","住宅","非住宅")</f>
        <v>非住宅</v>
      </c>
      <c r="O48" s="1008" t="s">
        <v>770</v>
      </c>
      <c r="P48" s="1005" t="s">
        <v>1911</v>
      </c>
      <c r="Q48" s="1009" t="e">
        <f>J59</f>
        <v>#VALUE!</v>
      </c>
      <c r="R48" s="1007"/>
    </row>
    <row r="49" spans="1:18" s="652" customFormat="1" ht="15.75" thickBot="1">
      <c r="A49" s="1055" t="s">
        <v>781</v>
      </c>
      <c r="B49" s="233" t="s">
        <v>1912</v>
      </c>
      <c r="C49" s="1056">
        <f ca="1">C50+C54+C56</f>
        <v>1063037</v>
      </c>
      <c r="D49" s="1057"/>
      <c r="E49" s="44"/>
      <c r="F49" s="15"/>
      <c r="I49" s="1460" t="s">
        <v>1913</v>
      </c>
      <c r="J49" s="1461" t="s">
        <v>3042</v>
      </c>
      <c r="K49" s="1462" t="s">
        <v>1914</v>
      </c>
      <c r="L49" s="821">
        <f>'数据-取费表'!B13</f>
        <v>26</v>
      </c>
      <c r="O49" s="1008" t="s">
        <v>771</v>
      </c>
      <c r="P49" s="1005" t="s">
        <v>1915</v>
      </c>
      <c r="Q49" s="1009">
        <f>J53</f>
        <v>7.4999999999999997E-2</v>
      </c>
      <c r="R49" s="1007"/>
    </row>
    <row r="50" spans="1:18" s="652" customFormat="1" ht="15.75" thickBot="1">
      <c r="A50" s="260" t="s">
        <v>1774</v>
      </c>
      <c r="B50" s="1369" t="s">
        <v>1916</v>
      </c>
      <c r="C50" s="234">
        <f>ROUND(F50*F52*F51*(1-F53),0)</f>
        <v>1061710</v>
      </c>
      <c r="D50" s="42" t="s">
        <v>2460</v>
      </c>
      <c r="E50" s="1463" t="s">
        <v>1917</v>
      </c>
      <c r="F50" s="3325">
        <v>6.5</v>
      </c>
      <c r="I50" s="1460" t="s">
        <v>1918</v>
      </c>
      <c r="J50" s="821">
        <f>'数据-取费表'!B27</f>
        <v>2009</v>
      </c>
      <c r="K50" s="1464" t="s">
        <v>1919</v>
      </c>
      <c r="L50" s="983"/>
      <c r="O50" s="1008" t="s">
        <v>772</v>
      </c>
      <c r="P50" s="1005" t="s">
        <v>1920</v>
      </c>
      <c r="Q50" s="1006">
        <f>J54</f>
        <v>26</v>
      </c>
      <c r="R50" s="1007" t="s">
        <v>1921</v>
      </c>
    </row>
    <row r="51" spans="1:18" s="652" customFormat="1" ht="15.75" thickBot="1">
      <c r="A51" s="237"/>
      <c r="B51" s="238"/>
      <c r="C51" s="239"/>
      <c r="D51" s="240"/>
      <c r="E51" s="255" t="s">
        <v>1777</v>
      </c>
      <c r="F51" s="943">
        <f>F7</f>
        <v>497.23</v>
      </c>
      <c r="I51" s="1460" t="s">
        <v>1922</v>
      </c>
      <c r="J51" s="984">
        <f>SUMPRODUCT((I64:I66=J48)*(J63:L63=J49)*(J64:L66))</f>
        <v>60</v>
      </c>
      <c r="K51" s="1464" t="s">
        <v>1923</v>
      </c>
      <c r="L51" s="983"/>
      <c r="O51" s="1004" t="s">
        <v>773</v>
      </c>
      <c r="P51" s="1005" t="str">
        <f>IF(C2="元","收益价值(元)","收益价值(万元)")</f>
        <v>收益价值(万元)</v>
      </c>
      <c r="Q51" s="1006">
        <f ca="1">ROUND(IF(C2="元",Q45+Q46,(Q45+Q46)/10000),0)</f>
        <v>1531</v>
      </c>
      <c r="R51" s="1007" t="s">
        <v>774</v>
      </c>
    </row>
    <row r="52" spans="1:18" s="652" customFormat="1" ht="16.5" thickBot="1">
      <c r="A52" s="237"/>
      <c r="B52" s="238"/>
      <c r="C52" s="239"/>
      <c r="D52" s="240"/>
      <c r="E52" s="235" t="s">
        <v>1779</v>
      </c>
      <c r="F52" s="236">
        <f>F8</f>
        <v>365</v>
      </c>
      <c r="I52" s="1465" t="s">
        <v>1924</v>
      </c>
      <c r="J52" s="985">
        <f>IF(J50="",J51,J50+J51-YEAR('数据-取费表'!B2))</f>
        <v>47</v>
      </c>
      <c r="K52" s="1466" t="s">
        <v>1925</v>
      </c>
      <c r="L52" s="986">
        <f ca="1">ROUND(-PV('数据-取费表'!B15,J52,(C40-C13*J35)),0)</f>
        <v>80939151</v>
      </c>
      <c r="O52" s="998" t="s">
        <v>1926</v>
      </c>
      <c r="P52" s="999"/>
      <c r="Q52" s="995"/>
      <c r="R52" s="999"/>
    </row>
    <row r="53" spans="1:18" s="652" customFormat="1" ht="15.75" thickBot="1">
      <c r="A53" s="241"/>
      <c r="B53" s="242"/>
      <c r="C53" s="243"/>
      <c r="D53" s="244"/>
      <c r="E53" s="235" t="s">
        <v>1780</v>
      </c>
      <c r="F53" s="993">
        <f>'数据-取费表'!B39</f>
        <v>0.1</v>
      </c>
      <c r="I53" s="1467" t="s">
        <v>1927</v>
      </c>
      <c r="J53" s="987">
        <v>7.4999999999999997E-2</v>
      </c>
      <c r="K53" s="1467" t="s">
        <v>1928</v>
      </c>
      <c r="L53" s="987"/>
      <c r="O53" s="1000" t="s">
        <v>1893</v>
      </c>
      <c r="P53" s="1001" t="s">
        <v>1894</v>
      </c>
      <c r="Q53" s="1002" t="s">
        <v>1895</v>
      </c>
      <c r="R53" s="1003" t="s">
        <v>1896</v>
      </c>
    </row>
    <row r="54" spans="1:18" s="652" customFormat="1" ht="29.25" customHeight="1" thickBot="1">
      <c r="A54" s="1014" t="s">
        <v>1781</v>
      </c>
      <c r="B54" s="1448" t="s">
        <v>1782</v>
      </c>
      <c r="C54" s="1015">
        <f ca="1">ROUND(IF(F54="押一",C50/12*F11,IF(F54="押二",C50/12*2*F11,IF(F54="押三",C50/12*3*F11,C55*F11))),0)</f>
        <v>1327</v>
      </c>
      <c r="D54" s="1449" t="s">
        <v>2465</v>
      </c>
      <c r="E54" s="246" t="s">
        <v>1783</v>
      </c>
      <c r="F54" s="1450" t="s">
        <v>3041</v>
      </c>
      <c r="I54" s="1556" t="s">
        <v>2468</v>
      </c>
      <c r="J54" s="988">
        <f>IF(M48="住宅",IF(E1="——",MAX(J52,L49),MAX(J52,L49-'数据-取费表'!B26)),IF(E1="——",MIN(J52,L49),MIN(J52,L49-'数据-取费表'!B26)))</f>
        <v>26</v>
      </c>
      <c r="K54" s="3558" t="s">
        <v>2458</v>
      </c>
      <c r="L54" s="3559"/>
      <c r="O54" s="1004" t="s">
        <v>767</v>
      </c>
      <c r="P54" s="1005" t="s">
        <v>1897</v>
      </c>
      <c r="Q54" s="1006">
        <f ca="1">C40+J29</f>
        <v>15307777</v>
      </c>
      <c r="R54" s="1007" t="s">
        <v>1898</v>
      </c>
    </row>
    <row r="55" spans="1:18" s="652" customFormat="1" ht="20.25" thickBot="1">
      <c r="A55" s="1014"/>
      <c r="B55" s="1468" t="s">
        <v>1786</v>
      </c>
      <c r="C55" s="1019"/>
      <c r="D55" s="42"/>
      <c r="E55" s="1469"/>
      <c r="F55" s="946"/>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1929</v>
      </c>
      <c r="Q55" s="1006">
        <f>L61</f>
        <v>0</v>
      </c>
      <c r="R55" s="1007" t="s">
        <v>1930</v>
      </c>
    </row>
    <row r="56" spans="1:18" s="652" customFormat="1" ht="20.25" thickBot="1">
      <c r="A56" s="1024" t="s">
        <v>1787</v>
      </c>
      <c r="B56" s="1452" t="s">
        <v>1788</v>
      </c>
      <c r="C56" s="1025"/>
      <c r="D56" s="1041"/>
      <c r="E56" s="1471"/>
      <c r="F56" s="1080"/>
      <c r="I56" s="1472" t="s">
        <v>1931</v>
      </c>
      <c r="J56" s="1247" t="e">
        <f>ROUND(IF(J48="钢混",J58/J51,1-(1-2%)*(J51-J58)/J51),3)</f>
        <v>#VALUE!</v>
      </c>
      <c r="K56" s="1473" t="s">
        <v>1932</v>
      </c>
      <c r="L56" s="989"/>
      <c r="O56" s="1008" t="s">
        <v>769</v>
      </c>
      <c r="P56" s="1005" t="s">
        <v>1933</v>
      </c>
      <c r="Q56" s="1006">
        <f>IF(L56="比较法",L50,IF(L56="基准地价",L51,0))</f>
        <v>0</v>
      </c>
      <c r="R56" s="1007" t="s">
        <v>1898</v>
      </c>
    </row>
    <row r="57" spans="1:18" s="652" customFormat="1" ht="44.25" thickTop="1" thickBot="1">
      <c r="A57" s="1020">
        <v>2</v>
      </c>
      <c r="B57" s="1021" t="s">
        <v>1789</v>
      </c>
      <c r="C57" s="1079">
        <f ca="1">C13</f>
        <v>1671625</v>
      </c>
      <c r="D57" s="941"/>
      <c r="E57" s="942"/>
      <c r="F57" s="948"/>
      <c r="I57" s="1474" t="s">
        <v>1934</v>
      </c>
      <c r="J57" s="992" t="s">
        <v>3045</v>
      </c>
      <c r="K57" s="1460" t="s">
        <v>1935</v>
      </c>
      <c r="L57" s="821" t="str">
        <f>IF(L49&lt;J52,"——",L49-J52)</f>
        <v>——</v>
      </c>
      <c r="O57" s="1008" t="s">
        <v>770</v>
      </c>
      <c r="P57" s="1005" t="s">
        <v>1936</v>
      </c>
      <c r="Q57" s="1009">
        <f>L53</f>
        <v>0</v>
      </c>
      <c r="R57" s="1007"/>
    </row>
    <row r="58" spans="1:18" s="652" customFormat="1" ht="29.25" thickBot="1">
      <c r="A58" s="947"/>
      <c r="B58" s="235" t="s">
        <v>1866</v>
      </c>
      <c r="C58" s="104">
        <f ca="1">C29</f>
        <v>2143109</v>
      </c>
      <c r="D58" s="941"/>
      <c r="E58" s="942"/>
      <c r="F58" s="948"/>
      <c r="I58" s="1475" t="s">
        <v>1937</v>
      </c>
      <c r="J58" s="991" t="str">
        <f>IF(OR(M48="住宅",J52&lt;L49,J57="是"),"——",J52-L49)</f>
        <v>——</v>
      </c>
      <c r="K58" s="1460" t="s">
        <v>1938</v>
      </c>
      <c r="L58" s="821" t="str">
        <f>IF(L49&lt;J52,"——",IF(L56="比较法",L50,IF(L56="基准地价",L51,L52)))</f>
        <v>——</v>
      </c>
      <c r="O58" s="1008" t="s">
        <v>771</v>
      </c>
      <c r="P58" s="1005" t="s">
        <v>1939</v>
      </c>
      <c r="Q58" s="1006" t="e">
        <f>L59</f>
        <v>#DIV/0!</v>
      </c>
      <c r="R58" s="1007" t="s">
        <v>1940</v>
      </c>
    </row>
    <row r="59" spans="1:18" s="652" customFormat="1" ht="29.25" thickBot="1">
      <c r="A59" s="248" t="s">
        <v>14</v>
      </c>
      <c r="B59" s="249" t="s">
        <v>1869</v>
      </c>
      <c r="C59" s="250">
        <f ca="1">ROUND(C60+C65+C66+C67,0)</f>
        <v>210754</v>
      </c>
      <c r="D59" s="12" t="s">
        <v>1870</v>
      </c>
      <c r="E59" s="1260"/>
      <c r="F59" s="15"/>
      <c r="I59" s="1475" t="s">
        <v>1941</v>
      </c>
      <c r="J59" s="1246" t="e">
        <f>IF(J56&lt;0.4,0.4,J56)</f>
        <v>#VALUE!</v>
      </c>
      <c r="K59" s="1466" t="s">
        <v>1942</v>
      </c>
      <c r="L59" s="821" t="e">
        <f>ROUND(POWER(1+L53,L48-L49)*(POWER(1+L53,L49)-1)/(POWER(1+L53,L48)-1),4)</f>
        <v>#DIV/0!</v>
      </c>
      <c r="O59" s="1008" t="s">
        <v>772</v>
      </c>
      <c r="P59" s="1005" t="str">
        <f>K60</f>
        <v>建筑物剩余耐用年限下的土地年期修正系数Kn</v>
      </c>
      <c r="Q59" s="1006" t="e">
        <f>L60</f>
        <v>#DIV/0!</v>
      </c>
      <c r="R59" s="1007" t="s">
        <v>1943</v>
      </c>
    </row>
    <row r="60" spans="1:18" s="652" customFormat="1" ht="29.25" thickBot="1">
      <c r="A60" s="253" t="s">
        <v>15</v>
      </c>
      <c r="B60" s="235" t="s">
        <v>1811</v>
      </c>
      <c r="C60" s="2744">
        <f ca="1">ROUND(IF(AND(项目基本情况!B7="自然人",项目基本情况!B6="北京市"),C50*F60/(1+'数据-取费表'!F30),C61+C62+C63),0)</f>
        <v>177021</v>
      </c>
      <c r="D60" s="1255" t="s">
        <v>1871</v>
      </c>
      <c r="E60" s="1258" t="s">
        <v>1872</v>
      </c>
      <c r="F60" s="2743" t="str">
        <f>IF(项目基本情况!B7="企业","——",IF('数据-取费表'!B10="住宅",IF(F50*F51*F52/12/(1+'数据-取费表'!F30)&gt;100000,4%,2.5%),IF(F50*F51*F52/12/(1+'数据-取费表'!F30)&gt;100000,12%,7%)))</f>
        <v>——</v>
      </c>
      <c r="I60" s="1475" t="s">
        <v>1944</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1531</v>
      </c>
      <c r="R60" s="1007" t="s">
        <v>774</v>
      </c>
    </row>
    <row r="61" spans="1:18" s="652" customFormat="1" ht="16.5" thickBot="1">
      <c r="A61" s="253" t="s">
        <v>16</v>
      </c>
      <c r="B61" s="235" t="s">
        <v>1873</v>
      </c>
      <c r="C61" s="13">
        <f ca="1">IF(项目基本情况!B7="自然人","——",ROUND(C49*F61/(1+'数据-取费表'!F30),0))</f>
        <v>55683</v>
      </c>
      <c r="D61" s="1258" t="s">
        <v>1874</v>
      </c>
      <c r="E61" s="235" t="s">
        <v>1823</v>
      </c>
      <c r="F61" s="267">
        <f t="shared" ref="F61:F67" si="0">F32</f>
        <v>5.5000000000000007E-2</v>
      </c>
      <c r="I61" s="1476" t="s">
        <v>1945</v>
      </c>
      <c r="J61" s="990" t="str">
        <f>IF(OR(M48="住宅",J52&lt;L49,J57="是"),"0",ROUND(J60/(1+J53)^J54,0))</f>
        <v>0</v>
      </c>
      <c r="K61" s="1477" t="s">
        <v>1946</v>
      </c>
      <c r="L61" s="990">
        <f>IF(OR(M48="住宅",L49&lt;J52),0,ROUND(L58*(L59/L60-1),0))</f>
        <v>0</v>
      </c>
      <c r="O61" s="998" t="s">
        <v>1947</v>
      </c>
      <c r="P61" s="999"/>
      <c r="Q61" s="995"/>
      <c r="R61" s="999"/>
    </row>
    <row r="62" spans="1:18" s="652" customFormat="1" ht="15.75" thickBot="1">
      <c r="A62" s="253" t="s">
        <v>17</v>
      </c>
      <c r="B62" s="235" t="s">
        <v>1948</v>
      </c>
      <c r="C62" s="13">
        <f>IF(项目基本情况!B7="自然人","——",IF(D62="按租金收入计税",ROUND(C50*F62/(1+'数据-取费表'!F30),0),IF(D62="按房产原值计税",ROUND(C58*F62*0.7,0),'数据-取费表'!B44)))</f>
        <v>121338</v>
      </c>
      <c r="D62" s="1363" t="s">
        <v>2641</v>
      </c>
      <c r="E62" s="235" t="s">
        <v>1823</v>
      </c>
      <c r="F62" s="258">
        <f t="shared" si="0"/>
        <v>0.12</v>
      </c>
      <c r="O62" s="1000" t="s">
        <v>1893</v>
      </c>
      <c r="P62" s="1001" t="s">
        <v>1894</v>
      </c>
      <c r="Q62" s="1002" t="s">
        <v>1895</v>
      </c>
      <c r="R62" s="1003" t="s">
        <v>1896</v>
      </c>
    </row>
    <row r="63" spans="1:18" s="652" customFormat="1" ht="15.75" thickBot="1">
      <c r="A63" s="260" t="s">
        <v>18</v>
      </c>
      <c r="B63" s="36" t="s">
        <v>1949</v>
      </c>
      <c r="C63" s="14">
        <f>IF(项目基本情况!B7="自然人","——",ROUND(F63*F64,0))</f>
        <v>0</v>
      </c>
      <c r="D63" s="261" t="s">
        <v>1950</v>
      </c>
      <c r="E63" s="235" t="s">
        <v>1951</v>
      </c>
      <c r="F63" s="262">
        <f t="shared" si="0"/>
        <v>0</v>
      </c>
      <c r="I63" s="1478" t="s">
        <v>1952</v>
      </c>
      <c r="J63" s="1250" t="s">
        <v>1953</v>
      </c>
      <c r="K63" s="1250" t="s">
        <v>1954</v>
      </c>
      <c r="L63" s="1250" t="s">
        <v>1955</v>
      </c>
      <c r="M63" s="1249" t="s">
        <v>1956</v>
      </c>
      <c r="O63" s="1004" t="s">
        <v>767</v>
      </c>
      <c r="P63" s="1005" t="s">
        <v>1897</v>
      </c>
      <c r="Q63" s="1006">
        <f ca="1">C40+J29</f>
        <v>15307777</v>
      </c>
      <c r="R63" s="1007" t="s">
        <v>1898</v>
      </c>
    </row>
    <row r="64" spans="1:18" s="652" customFormat="1" ht="20.25" thickBot="1">
      <c r="A64" s="263"/>
      <c r="B64" s="244"/>
      <c r="C64" s="17"/>
      <c r="D64" s="264"/>
      <c r="E64" s="235" t="s">
        <v>1957</v>
      </c>
      <c r="F64" s="236">
        <f t="shared" si="0"/>
        <v>0</v>
      </c>
      <c r="I64" s="1478" t="s">
        <v>1958</v>
      </c>
      <c r="J64" s="1250">
        <v>70</v>
      </c>
      <c r="K64" s="1250">
        <v>50</v>
      </c>
      <c r="L64" s="1250">
        <v>80</v>
      </c>
      <c r="M64" s="1248">
        <v>0.02</v>
      </c>
      <c r="O64" s="1004" t="s">
        <v>768</v>
      </c>
      <c r="P64" s="1005" t="s">
        <v>1929</v>
      </c>
      <c r="Q64" s="1006">
        <f>L61</f>
        <v>0</v>
      </c>
      <c r="R64" s="1007" t="s">
        <v>1930</v>
      </c>
    </row>
    <row r="65" spans="1:18" s="652" customFormat="1" ht="23.25" thickBot="1">
      <c r="A65" s="253" t="s">
        <v>19</v>
      </c>
      <c r="B65" s="235" t="s">
        <v>1878</v>
      </c>
      <c r="C65" s="13">
        <f ca="1">ROUND(C58*F65,0)</f>
        <v>21431</v>
      </c>
      <c r="D65" s="1258" t="s">
        <v>1879</v>
      </c>
      <c r="E65" s="235" t="s">
        <v>1823</v>
      </c>
      <c r="F65" s="265">
        <f t="shared" si="0"/>
        <v>0.01</v>
      </c>
      <c r="I65" s="1478" t="s">
        <v>1959</v>
      </c>
      <c r="J65" s="1250">
        <v>50</v>
      </c>
      <c r="K65" s="1250">
        <v>35</v>
      </c>
      <c r="L65" s="1250">
        <v>60</v>
      </c>
      <c r="M65" s="1249">
        <v>0</v>
      </c>
      <c r="O65" s="1008" t="s">
        <v>769</v>
      </c>
      <c r="P65" s="1005" t="s">
        <v>1933</v>
      </c>
      <c r="Q65" s="1010">
        <f ca="1">L52</f>
        <v>80939151</v>
      </c>
      <c r="R65" s="1011" t="s">
        <v>1960</v>
      </c>
    </row>
    <row r="66" spans="1:18" s="652" customFormat="1" ht="20.25" thickBot="1">
      <c r="A66" s="253" t="s">
        <v>20</v>
      </c>
      <c r="B66" s="235" t="s">
        <v>1838</v>
      </c>
      <c r="C66" s="13">
        <f ca="1">ROUND(C57*F66,0)</f>
        <v>1672</v>
      </c>
      <c r="D66" s="1258" t="s">
        <v>1839</v>
      </c>
      <c r="E66" s="235" t="s">
        <v>1840</v>
      </c>
      <c r="F66" s="266">
        <f t="shared" si="0"/>
        <v>1E-3</v>
      </c>
      <c r="I66" s="1478" t="s">
        <v>1961</v>
      </c>
      <c r="J66" s="1250">
        <v>40</v>
      </c>
      <c r="K66" s="1250">
        <v>30</v>
      </c>
      <c r="L66" s="1250">
        <v>50</v>
      </c>
      <c r="M66" s="1248">
        <v>0.02</v>
      </c>
      <c r="O66" s="1008" t="s">
        <v>770</v>
      </c>
      <c r="P66" s="1012" t="s">
        <v>1962</v>
      </c>
      <c r="Q66" s="1006">
        <f ca="1">ROUND(Q67-Q68*Q69,0)</f>
        <v>958625</v>
      </c>
      <c r="R66" s="1007"/>
    </row>
    <row r="67" spans="1:18" s="652" customFormat="1" ht="15.75" thickBot="1">
      <c r="A67" s="253" t="s">
        <v>21</v>
      </c>
      <c r="B67" s="235" t="s">
        <v>1821</v>
      </c>
      <c r="C67" s="13">
        <f ca="1">ROUND(C49*F67,0)</f>
        <v>10630</v>
      </c>
      <c r="D67" s="1258" t="s">
        <v>1844</v>
      </c>
      <c r="E67" s="235" t="s">
        <v>1840</v>
      </c>
      <c r="F67" s="245">
        <f t="shared" si="0"/>
        <v>0.01</v>
      </c>
      <c r="O67" s="1008" t="s">
        <v>775</v>
      </c>
      <c r="P67" s="1012" t="s">
        <v>1963</v>
      </c>
      <c r="Q67" s="1006">
        <f ca="1">C39</f>
        <v>958625</v>
      </c>
      <c r="R67" s="1007" t="s">
        <v>1898</v>
      </c>
    </row>
    <row r="68" spans="1:18" ht="15.75" thickBot="1">
      <c r="A68" s="248" t="s">
        <v>22</v>
      </c>
      <c r="B68" s="41" t="s">
        <v>1848</v>
      </c>
      <c r="C68" s="250">
        <f ca="1">C49-C59</f>
        <v>852283</v>
      </c>
      <c r="D68" s="1255" t="s">
        <v>1849</v>
      </c>
      <c r="E68" s="1257"/>
      <c r="F68" s="268"/>
      <c r="H68" s="652"/>
      <c r="I68" s="652"/>
      <c r="J68" s="652"/>
      <c r="K68" s="652"/>
      <c r="L68" s="652"/>
      <c r="M68" s="652"/>
      <c r="O68" s="1008" t="s">
        <v>776</v>
      </c>
      <c r="P68" s="1012" t="s">
        <v>1964</v>
      </c>
      <c r="Q68" s="1006">
        <f ca="1">C13</f>
        <v>1671625</v>
      </c>
      <c r="R68" s="1007" t="s">
        <v>1898</v>
      </c>
    </row>
    <row r="69" spans="1:18" ht="15.75" thickBot="1">
      <c r="A69" s="232" t="s">
        <v>23</v>
      </c>
      <c r="B69" s="233" t="s">
        <v>1886</v>
      </c>
      <c r="C69" s="234">
        <f ca="1">ROUND(C68*(1-((1+F71)/(1+F69))^F70)/(F69-F71),0)</f>
        <v>4224048</v>
      </c>
      <c r="D69" s="261" t="s">
        <v>1854</v>
      </c>
      <c r="E69" s="235" t="s">
        <v>1855</v>
      </c>
      <c r="F69" s="245">
        <f>F40</f>
        <v>5.5E-2</v>
      </c>
      <c r="H69" s="652"/>
      <c r="I69" s="652"/>
      <c r="J69" s="652"/>
      <c r="K69" s="652"/>
      <c r="L69" s="652"/>
      <c r="M69" s="652"/>
      <c r="O69" s="1008" t="s">
        <v>777</v>
      </c>
      <c r="P69" s="1012" t="s">
        <v>1965</v>
      </c>
      <c r="Q69" s="1009">
        <f>J35</f>
        <v>0</v>
      </c>
      <c r="R69" s="1007"/>
    </row>
    <row r="70" spans="1:18" ht="15.75" thickBot="1">
      <c r="A70" s="237"/>
      <c r="B70" s="238"/>
      <c r="C70" s="239"/>
      <c r="D70" s="269" t="s">
        <v>1888</v>
      </c>
      <c r="E70" s="235" t="s">
        <v>1860</v>
      </c>
      <c r="F70" s="270">
        <f>F41</f>
        <v>5.58</v>
      </c>
      <c r="H70" s="652"/>
      <c r="I70" s="652"/>
      <c r="J70" s="652"/>
      <c r="K70" s="652"/>
      <c r="L70" s="652"/>
      <c r="M70" s="652"/>
      <c r="O70" s="1008" t="s">
        <v>771</v>
      </c>
      <c r="P70" s="1005" t="s">
        <v>1936</v>
      </c>
      <c r="Q70" s="1009">
        <f>L53</f>
        <v>0</v>
      </c>
      <c r="R70" s="1007"/>
    </row>
    <row r="71" spans="1:18" ht="20.25" thickBot="1">
      <c r="A71" s="241"/>
      <c r="B71" s="242"/>
      <c r="C71" s="243"/>
      <c r="D71" s="264"/>
      <c r="E71" s="235" t="s">
        <v>1864</v>
      </c>
      <c r="F71" s="993">
        <f>M28</f>
        <v>2.5000000000000001E-2</v>
      </c>
      <c r="H71" s="652"/>
      <c r="M71" s="652"/>
      <c r="O71" s="1008" t="s">
        <v>772</v>
      </c>
      <c r="P71" s="1005" t="s">
        <v>1939</v>
      </c>
      <c r="Q71" s="1006" t="e">
        <f>L59</f>
        <v>#DIV/0!</v>
      </c>
      <c r="R71" s="1007" t="s">
        <v>1940</v>
      </c>
    </row>
    <row r="72" spans="1:18" ht="15.75" thickBot="1">
      <c r="A72" s="271" t="s">
        <v>24</v>
      </c>
      <c r="B72" s="272" t="s">
        <v>1889</v>
      </c>
      <c r="C72" s="273">
        <f ca="1">ROUND(C69/F72,0)</f>
        <v>8495</v>
      </c>
      <c r="D72" s="274" t="s">
        <v>1890</v>
      </c>
      <c r="E72" s="275" t="s">
        <v>1891</v>
      </c>
      <c r="F72" s="276">
        <f>F43</f>
        <v>497.23</v>
      </c>
      <c r="O72" s="1008" t="s">
        <v>778</v>
      </c>
      <c r="P72" s="1005" t="str">
        <f>K60</f>
        <v>建筑物剩余耐用年限下的土地年期修正系数Kn</v>
      </c>
      <c r="Q72" s="1006" t="e">
        <f>L60</f>
        <v>#DIV/0!</v>
      </c>
      <c r="R72" s="1007" t="s">
        <v>1943</v>
      </c>
    </row>
    <row r="73" spans="1:18" ht="15.75" thickBot="1">
      <c r="A73" s="652"/>
      <c r="B73" s="656"/>
      <c r="C73" s="656"/>
      <c r="D73" s="652"/>
      <c r="E73" s="652"/>
      <c r="F73" s="652"/>
      <c r="O73" s="1004" t="s">
        <v>773</v>
      </c>
      <c r="P73" s="1005" t="str">
        <f>IF(C2="元","收益价值(元)","收益价值(万元)")</f>
        <v>收益价值(万元)</v>
      </c>
      <c r="Q73" s="1006">
        <f ca="1">ROUND(IF(C2="元",Q63+Q64,(Q63+Q64)/10000),0)</f>
        <v>1531</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2791</v>
      </c>
      <c r="B1" s="3081"/>
      <c r="C1" s="3087"/>
      <c r="D1" s="3087"/>
      <c r="E1" s="3082"/>
      <c r="F1" s="3083"/>
      <c r="G1" s="3176"/>
      <c r="J1" s="3179" t="s">
        <v>2647</v>
      </c>
      <c r="K1" s="3180"/>
      <c r="L1" s="3180"/>
      <c r="M1" s="3180"/>
      <c r="N1" s="3180"/>
      <c r="O1" s="3180"/>
      <c r="P1" s="3180"/>
      <c r="Q1" s="3180"/>
      <c r="R1" s="3181"/>
      <c r="S1" s="3182"/>
      <c r="T1" s="3182"/>
      <c r="U1" s="3182"/>
    </row>
    <row r="2" spans="1:23" s="3090" customFormat="1" ht="13.15" customHeight="1">
      <c r="A2" s="3085" t="s">
        <v>2648</v>
      </c>
      <c r="B2" s="3086" t="e">
        <f>C40</f>
        <v>#DIV/0!</v>
      </c>
      <c r="C2" s="3087" t="s">
        <v>2649</v>
      </c>
      <c r="D2" s="3087"/>
      <c r="E2" s="3088"/>
      <c r="F2" s="3089"/>
      <c r="G2" s="3183"/>
      <c r="H2" s="3184"/>
      <c r="I2" s="3185"/>
      <c r="J2" s="3566" t="s">
        <v>2650</v>
      </c>
      <c r="K2" s="3567"/>
      <c r="L2" s="3186" t="s">
        <v>2651</v>
      </c>
      <c r="M2" s="3186" t="s">
        <v>2652</v>
      </c>
      <c r="N2" s="3186" t="s">
        <v>2653</v>
      </c>
      <c r="O2" s="3186" t="s">
        <v>2654</v>
      </c>
      <c r="P2" s="3186" t="s">
        <v>2655</v>
      </c>
      <c r="Q2" s="3187" t="s">
        <v>2656</v>
      </c>
      <c r="R2" s="3188" t="s">
        <v>2657</v>
      </c>
      <c r="S2" s="3182"/>
      <c r="T2" s="3182"/>
      <c r="U2" s="3182"/>
      <c r="V2" s="3185"/>
      <c r="W2" s="3184"/>
    </row>
    <row r="3" spans="1:23" s="3090" customFormat="1" ht="13.15" customHeight="1">
      <c r="A3" s="3092" t="s">
        <v>2658</v>
      </c>
      <c r="B3" s="3093" t="e">
        <f>ROUND(B2*10000/B4,0)</f>
        <v>#DIV/0!</v>
      </c>
      <c r="C3" s="3087" t="s">
        <v>2659</v>
      </c>
      <c r="D3" s="3087"/>
      <c r="E3" s="3088"/>
      <c r="F3" s="3089"/>
      <c r="G3" s="3183"/>
      <c r="H3" s="3184"/>
      <c r="I3" s="3185"/>
      <c r="J3" s="3568" t="s">
        <v>2660</v>
      </c>
      <c r="K3" s="3569"/>
      <c r="L3" s="3189"/>
      <c r="M3" s="3189"/>
      <c r="N3" s="3189"/>
      <c r="O3" s="3189"/>
      <c r="P3" s="3189"/>
      <c r="Q3" s="3190"/>
      <c r="R3" s="3191">
        <f>SUM(L3:Q3)</f>
        <v>0</v>
      </c>
      <c r="S3" s="3182"/>
      <c r="T3" s="3182"/>
      <c r="U3" s="3182"/>
      <c r="V3" s="3185"/>
      <c r="W3" s="3184"/>
    </row>
    <row r="4" spans="1:23" s="3090" customFormat="1" ht="13.15" customHeight="1">
      <c r="A4" s="3094" t="s">
        <v>2661</v>
      </c>
      <c r="B4" s="3151"/>
      <c r="C4" s="3087"/>
      <c r="D4" s="3087"/>
      <c r="E4" s="3088"/>
      <c r="F4" s="3089"/>
      <c r="G4" s="3183"/>
      <c r="H4" s="3184"/>
      <c r="I4" s="3185"/>
      <c r="J4" s="3568" t="s">
        <v>2662</v>
      </c>
      <c r="K4" s="3569"/>
      <c r="L4" s="3192"/>
      <c r="M4" s="3192"/>
      <c r="N4" s="3192"/>
      <c r="O4" s="3192"/>
      <c r="P4" s="3192"/>
      <c r="Q4" s="3193"/>
      <c r="R4" s="3194">
        <f>SUM(L4:Q4)</f>
        <v>0</v>
      </c>
      <c r="S4" s="3182"/>
      <c r="T4" s="3182"/>
      <c r="U4" s="3182"/>
      <c r="V4" s="3185"/>
      <c r="W4" s="3184"/>
    </row>
    <row r="5" spans="1:23" s="3090" customFormat="1" ht="13.15" customHeight="1" thickBot="1">
      <c r="A5" s="3095" t="s">
        <v>2663</v>
      </c>
      <c r="B5" s="3152"/>
      <c r="C5" s="3087"/>
      <c r="D5" s="3096"/>
      <c r="E5" s="3089"/>
      <c r="F5" s="3089"/>
      <c r="G5" s="3183"/>
      <c r="H5" s="3184"/>
      <c r="I5" s="3185"/>
      <c r="J5" s="3195" t="s">
        <v>2664</v>
      </c>
      <c r="K5" s="3196"/>
      <c r="L5" s="3196"/>
      <c r="M5" s="3197"/>
      <c r="N5" s="3197"/>
      <c r="O5" s="3197"/>
      <c r="P5" s="3197"/>
      <c r="Q5" s="3197"/>
      <c r="R5" s="3188">
        <f>SUM(R14,R19,R24,R25,R27,R28)</f>
        <v>0</v>
      </c>
      <c r="S5" s="3182"/>
      <c r="T5" s="3182" t="s">
        <v>2665</v>
      </c>
      <c r="U5" s="3182" t="e">
        <f>ROUND(R5*10000/365/R3,1)</f>
        <v>#DIV/0!</v>
      </c>
      <c r="V5" s="3185"/>
      <c r="W5" s="3184"/>
    </row>
    <row r="6" spans="1:23" s="3090" customFormat="1" ht="13.15" customHeight="1" thickBot="1">
      <c r="A6" s="3574" t="s">
        <v>2666</v>
      </c>
      <c r="B6" s="3575"/>
      <c r="C6" s="3576"/>
      <c r="D6" s="3153"/>
      <c r="E6" s="3097"/>
      <c r="F6" s="3098"/>
      <c r="G6" s="3198"/>
      <c r="H6" s="3184"/>
      <c r="I6" s="3185"/>
      <c r="J6" s="3560">
        <v>1</v>
      </c>
      <c r="K6" s="3561" t="s">
        <v>2667</v>
      </c>
      <c r="L6" s="3199" t="s">
        <v>2668</v>
      </c>
      <c r="M6" s="3200" t="s">
        <v>2669</v>
      </c>
      <c r="N6" s="3200" t="s">
        <v>2670</v>
      </c>
      <c r="O6" s="3200" t="s">
        <v>2671</v>
      </c>
      <c r="P6" s="3200" t="s">
        <v>2672</v>
      </c>
      <c r="Q6" s="3200" t="s">
        <v>2673</v>
      </c>
      <c r="R6" s="3191" t="s">
        <v>2674</v>
      </c>
      <c r="S6" s="3182"/>
      <c r="T6" s="3182" t="s">
        <v>2675</v>
      </c>
      <c r="U6" s="3182"/>
      <c r="V6" s="3185"/>
      <c r="W6" s="3184"/>
    </row>
    <row r="7" spans="1:23" s="3090" customFormat="1" ht="13.15" customHeight="1">
      <c r="A7" s="3100" t="s">
        <v>2676</v>
      </c>
      <c r="B7" s="3101"/>
      <c r="C7" s="3102"/>
      <c r="D7" s="3103">
        <f>SUM(D9,D10,D11,D17,0)</f>
        <v>0</v>
      </c>
      <c r="E7" s="3104" t="e">
        <f>E9+E10+E11+E17</f>
        <v>#DIV/0!</v>
      </c>
      <c r="F7" s="3105"/>
      <c r="G7" s="3201"/>
      <c r="H7" s="3184"/>
      <c r="I7" s="3185"/>
      <c r="J7" s="3560"/>
      <c r="K7" s="3562"/>
      <c r="L7" s="3202" t="s">
        <v>2776</v>
      </c>
      <c r="M7" s="3203"/>
      <c r="N7" s="3203"/>
      <c r="O7" s="3204"/>
      <c r="P7" s="3204"/>
      <c r="Q7" s="3205">
        <v>365</v>
      </c>
      <c r="R7" s="3206">
        <f>ROUND(M7*N7*O7*P7*Q7/10000,0)</f>
        <v>0</v>
      </c>
      <c r="S7" s="3182"/>
      <c r="T7" s="3182" t="s">
        <v>2677</v>
      </c>
      <c r="U7" s="3182"/>
      <c r="V7" s="3185"/>
      <c r="W7" s="3184"/>
    </row>
    <row r="8" spans="1:23" s="3090" customFormat="1" ht="13.15" customHeight="1">
      <c r="A8" s="3106" t="s">
        <v>2678</v>
      </c>
      <c r="B8" s="3577" t="s">
        <v>2679</v>
      </c>
      <c r="C8" s="3578"/>
      <c r="D8" s="3107" t="s">
        <v>2680</v>
      </c>
      <c r="E8" s="3108" t="s">
        <v>2681</v>
      </c>
      <c r="F8" s="3091" t="s">
        <v>2682</v>
      </c>
      <c r="G8" s="3261" t="s">
        <v>2790</v>
      </c>
      <c r="H8" s="3184"/>
      <c r="I8" s="3185"/>
      <c r="J8" s="3560"/>
      <c r="K8" s="3562"/>
      <c r="L8" s="3202" t="s">
        <v>2777</v>
      </c>
      <c r="M8" s="3203"/>
      <c r="N8" s="3203"/>
      <c r="O8" s="3204"/>
      <c r="P8" s="3204"/>
      <c r="Q8" s="3205">
        <v>365</v>
      </c>
      <c r="R8" s="3206">
        <f t="shared" ref="R8:R13" si="0">ROUND(M8*N8*O8*P8*Q8/10000,0)</f>
        <v>0</v>
      </c>
      <c r="S8" s="3182"/>
      <c r="T8" s="3182" t="s">
        <v>2683</v>
      </c>
      <c r="U8" s="3182"/>
      <c r="V8" s="3185"/>
      <c r="W8" s="3184"/>
    </row>
    <row r="9" spans="1:23" s="3090" customFormat="1" ht="13.15" customHeight="1">
      <c r="A9" s="3106">
        <v>1</v>
      </c>
      <c r="B9" s="3577" t="s">
        <v>2684</v>
      </c>
      <c r="C9" s="3578"/>
      <c r="D9" s="3107">
        <f>ROUND(D6*E9,0)</f>
        <v>0</v>
      </c>
      <c r="E9" s="3154"/>
      <c r="F9" s="3109" t="s">
        <v>2685</v>
      </c>
      <c r="G9" s="3207" t="s">
        <v>2788</v>
      </c>
      <c r="H9" s="3184"/>
      <c r="I9" s="3185"/>
      <c r="J9" s="3560"/>
      <c r="K9" s="3562"/>
      <c r="L9" s="3202" t="s">
        <v>2778</v>
      </c>
      <c r="M9" s="3203"/>
      <c r="N9" s="3203"/>
      <c r="O9" s="3204"/>
      <c r="P9" s="3204"/>
      <c r="Q9" s="3205">
        <v>365</v>
      </c>
      <c r="R9" s="3206">
        <f t="shared" si="0"/>
        <v>0</v>
      </c>
      <c r="S9" s="3182"/>
      <c r="T9" s="3182"/>
      <c r="U9" s="3182"/>
      <c r="V9" s="3185"/>
      <c r="W9" s="3184"/>
    </row>
    <row r="10" spans="1:23" s="3090" customFormat="1" ht="13.15" customHeight="1">
      <c r="A10" s="3106">
        <v>2</v>
      </c>
      <c r="B10" s="3577" t="s">
        <v>2686</v>
      </c>
      <c r="C10" s="3578"/>
      <c r="D10" s="3107">
        <f>ROUND(D6*E10,0)</f>
        <v>0</v>
      </c>
      <c r="E10" s="3154"/>
      <c r="F10" s="3109" t="s">
        <v>2687</v>
      </c>
      <c r="G10" s="3207" t="s">
        <v>2789</v>
      </c>
      <c r="H10" s="3184"/>
      <c r="I10" s="3185"/>
      <c r="J10" s="3560"/>
      <c r="K10" s="3562"/>
      <c r="L10" s="3202" t="s">
        <v>2779</v>
      </c>
      <c r="M10" s="3203"/>
      <c r="N10" s="3203"/>
      <c r="O10" s="3204"/>
      <c r="P10" s="3204"/>
      <c r="Q10" s="3205">
        <v>365</v>
      </c>
      <c r="R10" s="3206">
        <f t="shared" si="0"/>
        <v>0</v>
      </c>
      <c r="S10" s="3182"/>
      <c r="T10" s="3182"/>
      <c r="U10" s="3182"/>
      <c r="V10" s="3185"/>
      <c r="W10" s="3184"/>
    </row>
    <row r="11" spans="1:23" s="3090" customFormat="1" ht="13.15" customHeight="1">
      <c r="A11" s="3106">
        <v>3</v>
      </c>
      <c r="B11" s="3577" t="s">
        <v>2688</v>
      </c>
      <c r="C11" s="3578"/>
      <c r="D11" s="3107">
        <f>D12+D14+D15+D16</f>
        <v>0</v>
      </c>
      <c r="E11" s="3110" t="e">
        <f>D11/D6</f>
        <v>#DIV/0!</v>
      </c>
      <c r="F11" s="3091"/>
      <c r="G11" s="3207"/>
      <c r="H11" s="3184"/>
      <c r="I11" s="3185"/>
      <c r="J11" s="3560"/>
      <c r="K11" s="3562"/>
      <c r="L11" s="3202" t="s">
        <v>2780</v>
      </c>
      <c r="M11" s="3203"/>
      <c r="N11" s="3203"/>
      <c r="O11" s="3204"/>
      <c r="P11" s="3204"/>
      <c r="Q11" s="3205">
        <v>365</v>
      </c>
      <c r="R11" s="3206">
        <f t="shared" si="0"/>
        <v>0</v>
      </c>
      <c r="S11" s="3182"/>
      <c r="T11" s="3182"/>
      <c r="U11" s="3182"/>
      <c r="V11" s="3185"/>
      <c r="W11" s="3184"/>
    </row>
    <row r="12" spans="1:23" s="3090" customFormat="1" ht="13.15" customHeight="1">
      <c r="A12" s="3111" t="s">
        <v>2689</v>
      </c>
      <c r="B12" s="3570" t="s">
        <v>2690</v>
      </c>
      <c r="C12" s="3571"/>
      <c r="D12" s="3112">
        <f>ROUND(D13*1.2%*(1-30%),0)</f>
        <v>0</v>
      </c>
      <c r="E12" s="3113">
        <v>1.2E-2</v>
      </c>
      <c r="F12" s="3091" t="s">
        <v>2691</v>
      </c>
      <c r="G12" s="3207"/>
      <c r="H12" s="3184"/>
      <c r="I12" s="3185"/>
      <c r="J12" s="3560"/>
      <c r="K12" s="3562"/>
      <c r="L12" s="3202" t="s">
        <v>2781</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2692</v>
      </c>
      <c r="D13" s="3155"/>
      <c r="E13" s="3116"/>
      <c r="F13" s="3091"/>
      <c r="G13" s="3207"/>
      <c r="H13" s="3184"/>
      <c r="I13" s="3185"/>
      <c r="J13" s="3560"/>
      <c r="K13" s="3562"/>
      <c r="L13" s="3202" t="s">
        <v>2782</v>
      </c>
      <c r="M13" s="3203"/>
      <c r="N13" s="3203"/>
      <c r="O13" s="3204"/>
      <c r="P13" s="3204"/>
      <c r="Q13" s="3205">
        <v>365</v>
      </c>
      <c r="R13" s="3206">
        <f t="shared" si="0"/>
        <v>0</v>
      </c>
      <c r="S13" s="3182"/>
      <c r="T13" s="3182"/>
      <c r="U13" s="3182"/>
      <c r="V13" s="3185"/>
      <c r="W13" s="3184"/>
    </row>
    <row r="14" spans="1:23" s="3090" customFormat="1" ht="13.15" customHeight="1">
      <c r="A14" s="3111" t="s">
        <v>2693</v>
      </c>
      <c r="B14" s="3570" t="s">
        <v>2694</v>
      </c>
      <c r="C14" s="3571"/>
      <c r="D14" s="3112">
        <f>ROUND(E14*B5/10000,0)</f>
        <v>0</v>
      </c>
      <c r="E14" s="3156"/>
      <c r="F14" s="3091" t="s">
        <v>2695</v>
      </c>
      <c r="G14" s="3207"/>
      <c r="H14" s="3184"/>
      <c r="I14" s="3185"/>
      <c r="J14" s="3560"/>
      <c r="K14" s="3563"/>
      <c r="L14" s="3208" t="s">
        <v>2696</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2697</v>
      </c>
      <c r="B15" s="3570" t="s">
        <v>2698</v>
      </c>
      <c r="C15" s="3571"/>
      <c r="D15" s="3112">
        <f>ROUND(D6*E15,0)</f>
        <v>0</v>
      </c>
      <c r="E15" s="3113">
        <v>5.5E-2</v>
      </c>
      <c r="F15" s="3091" t="s">
        <v>2699</v>
      </c>
      <c r="G15" s="3207"/>
      <c r="H15" s="3184"/>
      <c r="I15" s="3185"/>
      <c r="J15" s="3560">
        <v>2</v>
      </c>
      <c r="K15" s="3561" t="s">
        <v>2700</v>
      </c>
      <c r="L15" s="3212" t="s">
        <v>2701</v>
      </c>
      <c r="M15" s="3213" t="s">
        <v>2702</v>
      </c>
      <c r="N15" s="3213" t="s">
        <v>2703</v>
      </c>
      <c r="O15" s="3214" t="s">
        <v>2704</v>
      </c>
      <c r="P15" s="3214" t="s">
        <v>2705</v>
      </c>
      <c r="Q15" s="3151" t="s">
        <v>2706</v>
      </c>
      <c r="R15" s="3215" t="s">
        <v>2707</v>
      </c>
      <c r="S15" s="3182"/>
      <c r="T15" s="3182"/>
      <c r="U15" s="3182"/>
      <c r="V15" s="3185"/>
      <c r="W15" s="3184"/>
    </row>
    <row r="16" spans="1:23" s="3090" customFormat="1" ht="13.15" customHeight="1">
      <c r="A16" s="3111" t="s">
        <v>2708</v>
      </c>
      <c r="B16" s="3570" t="s">
        <v>2709</v>
      </c>
      <c r="C16" s="3571"/>
      <c r="D16" s="3157">
        <f>D6*E16</f>
        <v>0</v>
      </c>
      <c r="E16" s="3158"/>
      <c r="F16" s="3109" t="s">
        <v>2710</v>
      </c>
      <c r="G16" s="3207"/>
      <c r="H16" s="3184"/>
      <c r="I16" s="3185"/>
      <c r="J16" s="3560"/>
      <c r="K16" s="3562"/>
      <c r="L16" s="3202" t="s">
        <v>2783</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2" t="s">
        <v>2711</v>
      </c>
      <c r="C17" s="3573"/>
      <c r="D17" s="3118">
        <f>ROUND(D6*E17,0)</f>
        <v>0</v>
      </c>
      <c r="E17" s="3159"/>
      <c r="F17" s="3119" t="s">
        <v>2712</v>
      </c>
      <c r="G17" s="3260">
        <v>0.1</v>
      </c>
      <c r="H17" s="3184"/>
      <c r="I17" s="3185"/>
      <c r="J17" s="3560"/>
      <c r="K17" s="3562"/>
      <c r="L17" s="3202" t="s">
        <v>2784</v>
      </c>
      <c r="M17" s="3203"/>
      <c r="N17" s="3203"/>
      <c r="O17" s="3204"/>
      <c r="P17" s="3205">
        <v>365</v>
      </c>
      <c r="Q17" s="3203"/>
      <c r="R17" s="3216">
        <f>ROUND(M17*N17*O17*P17/10000,0)</f>
        <v>0</v>
      </c>
      <c r="S17" s="3182"/>
      <c r="T17" s="3182"/>
      <c r="U17" s="3182"/>
      <c r="V17" s="3185"/>
      <c r="W17" s="3184"/>
    </row>
    <row r="18" spans="1:23" s="3090" customFormat="1" ht="13.15" customHeight="1" thickBot="1">
      <c r="A18" s="3100" t="s">
        <v>2713</v>
      </c>
      <c r="B18" s="3101"/>
      <c r="C18" s="3101"/>
      <c r="D18" s="3120">
        <f>ROUND(D6*E18,0)</f>
        <v>0</v>
      </c>
      <c r="E18" s="3160"/>
      <c r="F18" s="3121" t="s">
        <v>2714</v>
      </c>
      <c r="G18" s="3260">
        <v>0.05</v>
      </c>
      <c r="H18" s="3184"/>
      <c r="I18" s="3185"/>
      <c r="J18" s="3560"/>
      <c r="K18" s="3562"/>
      <c r="L18" s="3202" t="s">
        <v>2785</v>
      </c>
      <c r="M18" s="3203"/>
      <c r="N18" s="3203"/>
      <c r="O18" s="3204"/>
      <c r="P18" s="3205">
        <v>365</v>
      </c>
      <c r="Q18" s="3203"/>
      <c r="R18" s="3216">
        <f>ROUND(M18*N18*O18*P18/10000,0)</f>
        <v>0</v>
      </c>
      <c r="S18" s="3182"/>
      <c r="T18" s="3182"/>
      <c r="U18" s="3182"/>
      <c r="V18" s="3185"/>
      <c r="W18" s="3184"/>
    </row>
    <row r="19" spans="1:23" s="3090" customFormat="1" ht="13.15" customHeight="1" thickBot="1">
      <c r="A19" s="3122" t="s">
        <v>2715</v>
      </c>
      <c r="B19" s="3097"/>
      <c r="C19" s="3097"/>
      <c r="D19" s="3097"/>
      <c r="E19" s="3097"/>
      <c r="F19" s="3098"/>
      <c r="G19" s="3207"/>
      <c r="H19" s="3184"/>
      <c r="I19" s="3185"/>
      <c r="J19" s="3560"/>
      <c r="K19" s="3563"/>
      <c r="L19" s="3208" t="s">
        <v>2696</v>
      </c>
      <c r="M19" s="3209"/>
      <c r="N19" s="3209">
        <f>SUM(N16:N18)</f>
        <v>0</v>
      </c>
      <c r="O19" s="3210"/>
      <c r="P19" s="3217" t="s">
        <v>2786</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0">
        <v>3</v>
      </c>
      <c r="K20" s="3561" t="s">
        <v>2716</v>
      </c>
      <c r="L20" s="3212" t="s">
        <v>2717</v>
      </c>
      <c r="M20" s="3213" t="s">
        <v>2718</v>
      </c>
      <c r="N20" s="3219" t="s">
        <v>2719</v>
      </c>
      <c r="O20" s="3214" t="s">
        <v>2720</v>
      </c>
      <c r="P20" s="3156" t="s">
        <v>2705</v>
      </c>
      <c r="Q20" s="3151" t="s">
        <v>2706</v>
      </c>
      <c r="R20" s="3215" t="s">
        <v>2707</v>
      </c>
      <c r="S20" s="3220"/>
      <c r="T20" s="3220"/>
      <c r="U20" s="3220"/>
      <c r="V20" s="3185"/>
      <c r="W20" s="3184"/>
    </row>
    <row r="21" spans="1:23" s="3090" customFormat="1" ht="13.15" customHeight="1">
      <c r="A21" s="3100"/>
      <c r="B21" s="3101"/>
      <c r="C21" s="3124" t="s">
        <v>2721</v>
      </c>
      <c r="D21" s="3125" t="s">
        <v>2722</v>
      </c>
      <c r="E21" s="3126" t="s">
        <v>2723</v>
      </c>
      <c r="F21" s="3123"/>
      <c r="G21" s="3207"/>
      <c r="H21" s="3184"/>
      <c r="I21" s="3185"/>
      <c r="J21" s="3560"/>
      <c r="K21" s="3562"/>
      <c r="L21" s="3212" t="s">
        <v>2724</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2725</v>
      </c>
      <c r="D22" s="3162" t="s">
        <v>2726</v>
      </c>
      <c r="E22" s="3163" t="s">
        <v>2727</v>
      </c>
      <c r="F22" s="3123"/>
      <c r="G22" s="3222"/>
      <c r="H22" s="3184"/>
      <c r="I22" s="3185"/>
      <c r="J22" s="3560"/>
      <c r="K22" s="3562"/>
      <c r="L22" s="3212" t="s">
        <v>2728</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2729</v>
      </c>
      <c r="C23" s="3128">
        <f>D6</f>
        <v>0</v>
      </c>
      <c r="D23" s="3129">
        <f>C23*(1+D24)</f>
        <v>0</v>
      </c>
      <c r="E23" s="3130">
        <f>D23*(1+E24)</f>
        <v>0</v>
      </c>
      <c r="F23" s="3131"/>
      <c r="G23" s="3223"/>
      <c r="H23" s="3184"/>
      <c r="I23" s="3185"/>
      <c r="J23" s="3560"/>
      <c r="K23" s="3562"/>
      <c r="L23" s="3212" t="s">
        <v>2730</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2731</v>
      </c>
      <c r="C24" s="3134"/>
      <c r="D24" s="3164"/>
      <c r="E24" s="3165"/>
      <c r="F24" s="3135"/>
      <c r="G24" s="3223"/>
      <c r="H24" s="3184"/>
      <c r="I24" s="3185"/>
      <c r="J24" s="3560"/>
      <c r="K24" s="3563"/>
      <c r="L24" s="3208" t="s">
        <v>2696</v>
      </c>
      <c r="M24" s="3209">
        <f>SUM(M21:M23)</f>
        <v>0</v>
      </c>
      <c r="N24" s="3209"/>
      <c r="O24" s="3210"/>
      <c r="P24" s="3217" t="s">
        <v>2786</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2732</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2733</v>
      </c>
      <c r="C26" s="3128">
        <f>D7</f>
        <v>0</v>
      </c>
      <c r="D26" s="3129">
        <f>D23*D27</f>
        <v>0</v>
      </c>
      <c r="E26" s="3130">
        <f>E23*E27</f>
        <v>0</v>
      </c>
      <c r="F26" s="3131"/>
      <c r="G26" s="3223"/>
      <c r="H26" s="3184"/>
      <c r="I26" s="3185"/>
      <c r="J26" s="3564">
        <v>5</v>
      </c>
      <c r="K26" s="3231" t="s">
        <v>2734</v>
      </c>
      <c r="L26" s="3232"/>
      <c r="M26" s="3233"/>
      <c r="N26" s="3234" t="s">
        <v>2735</v>
      </c>
      <c r="O26" s="3234" t="s">
        <v>2736</v>
      </c>
      <c r="P26" s="3235" t="s">
        <v>2737</v>
      </c>
      <c r="Q26" s="3235" t="s">
        <v>2738</v>
      </c>
      <c r="R26" s="3191" t="s">
        <v>2707</v>
      </c>
      <c r="S26" s="3236"/>
      <c r="T26" s="3236"/>
      <c r="U26" s="3236"/>
      <c r="V26" s="3229"/>
      <c r="W26" s="3230"/>
    </row>
    <row r="27" spans="1:23" s="3090" customFormat="1" ht="13.15" customHeight="1">
      <c r="A27" s="3132"/>
      <c r="B27" s="3133" t="s">
        <v>2739</v>
      </c>
      <c r="C27" s="3137" t="e">
        <f>E7</f>
        <v>#DIV/0!</v>
      </c>
      <c r="D27" s="3164"/>
      <c r="E27" s="3165"/>
      <c r="F27" s="3135"/>
      <c r="G27" s="3223"/>
      <c r="H27" s="3230"/>
      <c r="I27" s="3229"/>
      <c r="J27" s="3565"/>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2740</v>
      </c>
      <c r="F28" s="3135"/>
      <c r="G28" s="3222"/>
      <c r="H28" s="3230"/>
      <c r="I28" s="3229"/>
      <c r="J28" s="3242">
        <v>6</v>
      </c>
      <c r="K28" s="3243" t="s">
        <v>2741</v>
      </c>
      <c r="L28" s="3244" t="s">
        <v>2742</v>
      </c>
      <c r="M28" s="3245"/>
      <c r="N28" s="3244" t="s">
        <v>2743</v>
      </c>
      <c r="O28" s="3246"/>
      <c r="P28" s="3244" t="s">
        <v>2744</v>
      </c>
      <c r="Q28" s="3247">
        <v>1.4999999999999999E-2</v>
      </c>
      <c r="R28" s="3248"/>
      <c r="S28" s="3220"/>
      <c r="T28" s="3220"/>
      <c r="U28" s="3220"/>
      <c r="V28" s="3229"/>
      <c r="W28" s="3230"/>
    </row>
    <row r="29" spans="1:23" s="3136" customFormat="1" ht="13.15" customHeight="1">
      <c r="A29" s="3127">
        <v>3</v>
      </c>
      <c r="B29" s="3099" t="s">
        <v>2745</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2739</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2746</v>
      </c>
      <c r="K31" s="3180"/>
      <c r="L31" s="3180"/>
      <c r="M31" s="3180"/>
      <c r="N31" s="3180"/>
      <c r="O31" s="3180"/>
      <c r="P31" s="3180"/>
      <c r="Q31" s="3180"/>
      <c r="R31" s="3181"/>
      <c r="S31" s="3220"/>
      <c r="T31" s="3182"/>
      <c r="U31" s="3182"/>
      <c r="V31" s="3229"/>
      <c r="W31" s="3230"/>
    </row>
    <row r="32" spans="1:23" s="3136" customFormat="1" ht="13.15" customHeight="1">
      <c r="A32" s="3127">
        <v>4</v>
      </c>
      <c r="B32" s="3099" t="s">
        <v>2747</v>
      </c>
      <c r="C32" s="3128">
        <f>C23-C26-C29</f>
        <v>0</v>
      </c>
      <c r="D32" s="3129">
        <f>D23-D26-D29</f>
        <v>0</v>
      </c>
      <c r="E32" s="3130">
        <f>E23-E26-E29</f>
        <v>0</v>
      </c>
      <c r="F32" s="3131"/>
      <c r="G32" s="3222"/>
      <c r="H32" s="3184"/>
      <c r="I32" s="3185"/>
      <c r="J32" s="3566" t="s">
        <v>2748</v>
      </c>
      <c r="K32" s="3567"/>
      <c r="L32" s="3186" t="s">
        <v>2749</v>
      </c>
      <c r="M32" s="3186" t="s">
        <v>2652</v>
      </c>
      <c r="N32" s="3186" t="s">
        <v>2653</v>
      </c>
      <c r="O32" s="3186" t="s">
        <v>2654</v>
      </c>
      <c r="P32" s="3186" t="s">
        <v>2655</v>
      </c>
      <c r="Q32" s="3187" t="s">
        <v>2750</v>
      </c>
      <c r="R32" s="3249" t="s">
        <v>2751</v>
      </c>
      <c r="S32" s="3220"/>
      <c r="T32" s="3182"/>
      <c r="U32" s="3182"/>
      <c r="V32" s="3229"/>
      <c r="W32" s="3230"/>
    </row>
    <row r="33" spans="1:23" s="3090" customFormat="1" ht="13.15" customHeight="1">
      <c r="A33" s="3127"/>
      <c r="B33" s="3099"/>
      <c r="C33" s="3128"/>
      <c r="D33" s="3139"/>
      <c r="E33" s="3140"/>
      <c r="F33" s="3131"/>
      <c r="G33" s="3222"/>
      <c r="H33" s="3230"/>
      <c r="I33" s="3229"/>
      <c r="J33" s="3568" t="s">
        <v>2752</v>
      </c>
      <c r="K33" s="3569"/>
      <c r="L33" s="3189"/>
      <c r="M33" s="3189"/>
      <c r="N33" s="3189"/>
      <c r="O33" s="3189"/>
      <c r="P33" s="3189"/>
      <c r="Q33" s="3190"/>
      <c r="R33" s="3250">
        <f>SUM(L33:Q33)</f>
        <v>0</v>
      </c>
      <c r="S33" s="3220"/>
      <c r="T33" s="3182"/>
      <c r="U33" s="3182"/>
      <c r="V33" s="3185"/>
      <c r="W33" s="3184"/>
    </row>
    <row r="34" spans="1:23" s="3090" customFormat="1" ht="13.15" customHeight="1">
      <c r="A34" s="3127">
        <v>5</v>
      </c>
      <c r="B34" s="3099" t="s">
        <v>2753</v>
      </c>
      <c r="C34" s="3167"/>
      <c r="D34" s="3168"/>
      <c r="E34" s="3169"/>
      <c r="F34" s="3131"/>
      <c r="G34" s="3222"/>
      <c r="H34" s="3230"/>
      <c r="I34" s="3229"/>
      <c r="J34" s="3568" t="s">
        <v>2754</v>
      </c>
      <c r="K34" s="3569"/>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2755</v>
      </c>
      <c r="C35" s="3170"/>
      <c r="D35" s="3171"/>
      <c r="E35" s="3172"/>
      <c r="F35" s="3131"/>
      <c r="G35" s="3252"/>
      <c r="H35" s="3184"/>
      <c r="I35" s="3229"/>
      <c r="J35" s="3195" t="s">
        <v>2756</v>
      </c>
      <c r="K35" s="3196"/>
      <c r="L35" s="3196"/>
      <c r="M35" s="3197"/>
      <c r="N35" s="3197"/>
      <c r="O35" s="3197"/>
      <c r="P35" s="3197"/>
      <c r="Q35" s="3197"/>
      <c r="R35" s="3253">
        <f>R40+R41+R43</f>
        <v>0</v>
      </c>
      <c r="S35" s="3220"/>
      <c r="T35" s="3182" t="s">
        <v>2757</v>
      </c>
      <c r="U35" s="3182"/>
      <c r="V35" s="3185"/>
      <c r="W35" s="3184"/>
    </row>
    <row r="36" spans="1:23" s="3090" customFormat="1" ht="13.15" customHeight="1" thickBot="1">
      <c r="A36" s="3127">
        <v>7</v>
      </c>
      <c r="B36" s="3141" t="s">
        <v>2758</v>
      </c>
      <c r="C36" s="3173"/>
      <c r="D36" s="3174"/>
      <c r="E36" s="3175"/>
      <c r="F36" s="3142">
        <f>C36+D36+E36</f>
        <v>0</v>
      </c>
      <c r="G36" s="3222"/>
      <c r="H36" s="3184"/>
      <c r="I36" s="3185"/>
      <c r="J36" s="3560">
        <v>1</v>
      </c>
      <c r="K36" s="3561" t="s">
        <v>2759</v>
      </c>
      <c r="L36" s="3199"/>
      <c r="M36" s="3200"/>
      <c r="N36" s="3200"/>
      <c r="O36" s="3200"/>
      <c r="P36" s="3200"/>
      <c r="Q36" s="3200"/>
      <c r="R36" s="3191" t="s">
        <v>2707</v>
      </c>
      <c r="S36" s="3220"/>
      <c r="T36" s="3182" t="s">
        <v>2760</v>
      </c>
      <c r="U36" s="3182"/>
      <c r="V36" s="3185"/>
      <c r="W36" s="3184"/>
    </row>
    <row r="37" spans="1:23" s="3090" customFormat="1" ht="13.15" customHeight="1">
      <c r="A37" s="3127"/>
      <c r="B37" s="3099"/>
      <c r="C37" s="3099"/>
      <c r="D37" s="3099"/>
      <c r="E37" s="3099"/>
      <c r="F37" s="3131"/>
      <c r="G37" s="3222"/>
      <c r="H37" s="3184"/>
      <c r="I37" s="3185"/>
      <c r="J37" s="3560"/>
      <c r="K37" s="3562"/>
      <c r="L37" s="3212"/>
      <c r="M37" s="3213"/>
      <c r="N37" s="3151"/>
      <c r="O37" s="3214"/>
      <c r="P37" s="3214"/>
      <c r="Q37" s="3156"/>
      <c r="R37" s="3254"/>
      <c r="S37" s="3220"/>
      <c r="T37" s="3182" t="s">
        <v>2761</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0"/>
      <c r="K38" s="3562"/>
      <c r="L38" s="3212"/>
      <c r="M38" s="3213"/>
      <c r="N38" s="3151"/>
      <c r="O38" s="3214"/>
      <c r="P38" s="3214"/>
      <c r="Q38" s="3156"/>
      <c r="R38" s="3254"/>
      <c r="S38" s="3220"/>
      <c r="T38" s="3182" t="s">
        <v>2683</v>
      </c>
      <c r="U38" s="3182"/>
      <c r="V38" s="3185"/>
      <c r="W38" s="3184"/>
    </row>
    <row r="39" spans="1:23" s="3090" customFormat="1" ht="13.15" customHeight="1">
      <c r="A39" s="3127">
        <v>9</v>
      </c>
      <c r="B39" s="3099" t="s">
        <v>2762</v>
      </c>
      <c r="C39" s="3112" t="e">
        <f>C38</f>
        <v>#DIV/0!</v>
      </c>
      <c r="D39" s="3099">
        <f>D38/(1+D34)^C36</f>
        <v>0</v>
      </c>
      <c r="E39" s="3099">
        <f>E38/(1+E34)^(C36+D36)</f>
        <v>0</v>
      </c>
      <c r="F39" s="3131"/>
      <c r="G39" s="3255"/>
      <c r="H39" s="3184"/>
      <c r="I39" s="3185"/>
      <c r="J39" s="3560"/>
      <c r="K39" s="3562"/>
      <c r="L39" s="3212"/>
      <c r="M39" s="3213"/>
      <c r="N39" s="3151"/>
      <c r="O39" s="3214"/>
      <c r="P39" s="3214"/>
      <c r="Q39" s="3156"/>
      <c r="R39" s="3254"/>
      <c r="S39" s="3220"/>
      <c r="T39" s="3182"/>
      <c r="U39" s="3182"/>
      <c r="V39" s="3185"/>
      <c r="W39" s="3184"/>
    </row>
    <row r="40" spans="1:23" s="3090" customFormat="1" ht="13.15" customHeight="1">
      <c r="A40" s="3143">
        <v>10</v>
      </c>
      <c r="B40" s="3099" t="s">
        <v>2763</v>
      </c>
      <c r="C40" s="3144" t="e">
        <f>C39+D39+E39</f>
        <v>#DIV/0!</v>
      </c>
      <c r="D40" s="3145"/>
      <c r="E40" s="3145"/>
      <c r="F40" s="3146"/>
      <c r="G40" s="3222"/>
      <c r="H40" s="3184"/>
      <c r="I40" s="3185"/>
      <c r="J40" s="3560"/>
      <c r="K40" s="3563"/>
      <c r="L40" s="3208" t="s">
        <v>2764</v>
      </c>
      <c r="M40" s="3209"/>
      <c r="N40" s="3209"/>
      <c r="O40" s="3210"/>
      <c r="P40" s="3210"/>
      <c r="Q40" s="3211"/>
      <c r="R40" s="3188">
        <f>SUM(R37:R39)</f>
        <v>0</v>
      </c>
      <c r="S40" s="3220"/>
      <c r="T40" s="3182"/>
      <c r="U40" s="3182"/>
      <c r="V40" s="3185"/>
      <c r="W40" s="3184"/>
    </row>
    <row r="41" spans="1:23" s="3090" customFormat="1" ht="13.15" customHeight="1" thickBot="1">
      <c r="A41" s="3147">
        <v>11</v>
      </c>
      <c r="B41" s="3148" t="s">
        <v>2765</v>
      </c>
      <c r="C41" s="3148" t="e">
        <f>ROUND(C40*10000/B4,0)</f>
        <v>#DIV/0!</v>
      </c>
      <c r="D41" s="3149"/>
      <c r="E41" s="3149"/>
      <c r="F41" s="3150"/>
      <c r="G41" s="3256"/>
      <c r="H41" s="3184"/>
      <c r="I41" s="3185"/>
      <c r="J41" s="3224">
        <v>2</v>
      </c>
      <c r="K41" s="3225" t="s">
        <v>2766</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4">
        <v>3</v>
      </c>
      <c r="K42" s="3231" t="s">
        <v>2767</v>
      </c>
      <c r="L42" s="3232"/>
      <c r="M42" s="3233"/>
      <c r="N42" s="3234" t="s">
        <v>2768</v>
      </c>
      <c r="O42" s="3234" t="s">
        <v>2769</v>
      </c>
      <c r="P42" s="3235" t="s">
        <v>2770</v>
      </c>
      <c r="Q42" s="3235" t="s">
        <v>2771</v>
      </c>
      <c r="R42" s="3191" t="s">
        <v>2674</v>
      </c>
      <c r="S42" s="3236"/>
      <c r="T42" s="3236"/>
      <c r="U42" s="3182"/>
      <c r="V42" s="3185"/>
      <c r="W42" s="3184"/>
    </row>
    <row r="43" spans="1:23" ht="13.15" customHeight="1">
      <c r="A43" s="3090"/>
      <c r="B43" s="3090"/>
      <c r="C43" s="3090"/>
      <c r="D43" s="3090"/>
      <c r="E43" s="3090"/>
      <c r="F43" s="3090"/>
      <c r="I43" s="3177"/>
      <c r="J43" s="3565"/>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2772</v>
      </c>
      <c r="L44" s="3259" t="s">
        <v>2773</v>
      </c>
      <c r="M44" s="3245"/>
      <c r="N44" s="3259" t="s">
        <v>2774</v>
      </c>
      <c r="O44" s="3245"/>
      <c r="P44" s="3259" t="s">
        <v>2775</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8"/>
    <col min="23" max="23" width="9" style="659"/>
    <col min="24" max="25" width="9" style="958"/>
    <col min="26" max="44" width="9" style="659"/>
    <col min="45" max="16384" width="9" style="32"/>
  </cols>
  <sheetData>
    <row r="1" spans="1:44" ht="20.25">
      <c r="A1" s="288" t="s">
        <v>1966</v>
      </c>
      <c r="B1" s="822"/>
      <c r="C1" s="37"/>
      <c r="D1" s="37"/>
      <c r="E1" s="37"/>
      <c r="F1" s="37"/>
      <c r="G1" s="37"/>
      <c r="H1" s="37"/>
      <c r="I1" s="37"/>
      <c r="J1" s="37"/>
      <c r="K1" s="37"/>
      <c r="L1" s="37"/>
      <c r="M1" s="37"/>
      <c r="N1" s="37"/>
      <c r="O1" s="37"/>
      <c r="P1" s="37"/>
      <c r="Q1" s="37"/>
      <c r="R1" s="645"/>
      <c r="S1" s="31"/>
      <c r="T1" s="31"/>
      <c r="U1" s="956"/>
      <c r="V1" s="956"/>
      <c r="X1" s="956"/>
      <c r="Y1" s="956"/>
    </row>
    <row r="2" spans="1:44" ht="15.75">
      <c r="A2" s="81" t="s">
        <v>1967</v>
      </c>
      <c r="B2" s="250">
        <f>B23</f>
        <v>0</v>
      </c>
      <c r="C2" s="860" t="str">
        <f>C23</f>
        <v>万元</v>
      </c>
      <c r="D2" s="37"/>
      <c r="E2" s="37"/>
      <c r="F2" s="37"/>
      <c r="G2" s="37"/>
      <c r="H2" s="37"/>
      <c r="I2" s="37"/>
      <c r="J2" s="37"/>
      <c r="K2" s="37"/>
      <c r="L2" s="37"/>
      <c r="M2" s="37"/>
      <c r="N2" s="37"/>
      <c r="O2" s="37"/>
      <c r="P2" s="37"/>
      <c r="Q2" s="37"/>
      <c r="R2" s="645"/>
      <c r="S2" s="31"/>
      <c r="T2" s="31"/>
      <c r="U2" s="956"/>
      <c r="V2" s="956"/>
      <c r="X2" s="956"/>
      <c r="Y2" s="956"/>
    </row>
    <row r="3" spans="1:44" ht="15.75">
      <c r="A3" s="83" t="s">
        <v>1968</v>
      </c>
      <c r="B3" s="250" t="e">
        <f>B24</f>
        <v>#DIV/0!</v>
      </c>
      <c r="C3" s="860" t="s">
        <v>1969</v>
      </c>
      <c r="D3" s="37"/>
      <c r="E3" s="37"/>
      <c r="F3" s="37"/>
      <c r="G3" s="37"/>
      <c r="H3" s="37"/>
      <c r="I3" s="37"/>
      <c r="J3" s="37"/>
      <c r="K3" s="37"/>
      <c r="L3" s="37"/>
      <c r="M3" s="37"/>
      <c r="N3" s="37"/>
      <c r="O3" s="37"/>
      <c r="P3" s="37"/>
      <c r="Q3" s="37"/>
      <c r="R3" s="645"/>
      <c r="S3" s="31"/>
      <c r="T3" s="31"/>
      <c r="U3" s="956"/>
      <c r="V3" s="956"/>
      <c r="X3" s="956"/>
      <c r="Y3" s="956"/>
    </row>
    <row r="4" spans="1:44" ht="14.25" customHeight="1" thickBot="1">
      <c r="A4" s="34"/>
      <c r="B4" s="575" t="s">
        <v>1970</v>
      </c>
      <c r="C4" s="3582" t="s">
        <v>1971</v>
      </c>
      <c r="D4" s="3583"/>
      <c r="E4" s="3583"/>
      <c r="F4" s="3583"/>
      <c r="G4" s="3583"/>
      <c r="H4" s="3583"/>
      <c r="I4" s="3583"/>
      <c r="J4" s="3583"/>
      <c r="K4" s="3583"/>
      <c r="L4" s="3583"/>
      <c r="M4" s="3583"/>
      <c r="N4" s="3583"/>
      <c r="O4" s="3583"/>
      <c r="P4" s="3583"/>
      <c r="Q4" s="3583"/>
      <c r="R4" s="3583"/>
      <c r="S4" s="3584"/>
      <c r="T4" s="575" t="s">
        <v>1972</v>
      </c>
      <c r="U4" s="956"/>
      <c r="V4" s="956"/>
      <c r="X4" s="956"/>
      <c r="Y4" s="956"/>
    </row>
    <row r="5" spans="1:44" s="587" customFormat="1">
      <c r="A5" s="960"/>
      <c r="B5" s="583" t="s">
        <v>1973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7"/>
      <c r="V5" s="957"/>
      <c r="W5" s="660"/>
      <c r="X5" s="957"/>
      <c r="Y5" s="957"/>
      <c r="Z5" s="660"/>
      <c r="AA5" s="660"/>
      <c r="AB5" s="660"/>
      <c r="AC5" s="660"/>
      <c r="AD5" s="660"/>
      <c r="AE5" s="660"/>
      <c r="AF5" s="660"/>
      <c r="AG5" s="660"/>
      <c r="AH5" s="660"/>
      <c r="AI5" s="660"/>
      <c r="AJ5" s="660"/>
      <c r="AK5" s="660"/>
      <c r="AL5" s="660"/>
      <c r="AM5" s="660"/>
      <c r="AN5" s="660"/>
      <c r="AO5" s="660"/>
      <c r="AP5" s="660"/>
      <c r="AQ5" s="660"/>
      <c r="AR5" s="660"/>
    </row>
    <row r="6" spans="1:44" s="594" customFormat="1">
      <c r="A6" s="961"/>
      <c r="B6" s="588"/>
      <c r="C6" s="589"/>
      <c r="D6" s="590"/>
      <c r="E6" s="590"/>
      <c r="F6" s="590"/>
      <c r="G6" s="590"/>
      <c r="H6" s="590"/>
      <c r="I6" s="590"/>
      <c r="J6" s="591"/>
      <c r="K6" s="591"/>
      <c r="L6" s="592"/>
      <c r="M6" s="823"/>
      <c r="N6" s="825"/>
      <c r="O6" s="590"/>
      <c r="P6" s="590"/>
      <c r="Q6" s="590"/>
      <c r="R6" s="590"/>
      <c r="S6" s="871"/>
      <c r="T6" s="593"/>
      <c r="U6" s="957"/>
      <c r="V6" s="957"/>
      <c r="W6" s="661"/>
      <c r="X6" s="957"/>
      <c r="Y6" s="957"/>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2"/>
      <c r="B7" s="840"/>
      <c r="C7" s="841"/>
      <c r="D7" s="842"/>
      <c r="E7" s="842"/>
      <c r="F7" s="842"/>
      <c r="G7" s="842"/>
      <c r="H7" s="842"/>
      <c r="I7" s="842"/>
      <c r="J7" s="842"/>
      <c r="K7" s="842"/>
      <c r="L7" s="842"/>
      <c r="M7" s="843"/>
      <c r="N7" s="844"/>
      <c r="O7" s="842"/>
      <c r="P7" s="842"/>
      <c r="Q7" s="842"/>
      <c r="R7" s="842"/>
      <c r="S7" s="872"/>
      <c r="T7" s="596"/>
      <c r="U7" s="957"/>
      <c r="V7" s="957"/>
      <c r="W7" s="661"/>
      <c r="X7" s="957"/>
      <c r="Y7" s="957"/>
      <c r="Z7" s="661"/>
      <c r="AA7" s="661"/>
      <c r="AB7" s="661"/>
      <c r="AC7" s="661"/>
      <c r="AD7" s="661"/>
      <c r="AE7" s="661"/>
      <c r="AF7" s="661"/>
      <c r="AG7" s="661"/>
      <c r="AH7" s="661"/>
      <c r="AI7" s="661"/>
      <c r="AJ7" s="661"/>
      <c r="AK7" s="661"/>
      <c r="AL7" s="661"/>
      <c r="AM7" s="661"/>
      <c r="AN7" s="661"/>
      <c r="AO7" s="661"/>
      <c r="AP7" s="661"/>
      <c r="AQ7" s="661"/>
      <c r="AR7" s="661"/>
    </row>
    <row r="8" spans="1:44" s="26" customFormat="1">
      <c r="A8" s="963"/>
      <c r="B8" s="853" t="s">
        <v>1974</v>
      </c>
      <c r="C8" s="845"/>
      <c r="D8" s="846"/>
      <c r="E8" s="846"/>
      <c r="F8" s="846"/>
      <c r="G8" s="846"/>
      <c r="H8" s="846"/>
      <c r="I8" s="846"/>
      <c r="J8" s="846"/>
      <c r="K8" s="846"/>
      <c r="L8" s="847"/>
      <c r="M8" s="848"/>
      <c r="N8" s="848"/>
      <c r="O8" s="846"/>
      <c r="P8" s="846"/>
      <c r="Q8" s="846"/>
      <c r="R8" s="846"/>
      <c r="S8" s="873"/>
      <c r="T8" s="849"/>
      <c r="U8" s="957"/>
      <c r="V8" s="957"/>
      <c r="W8" s="662"/>
      <c r="X8" s="957"/>
      <c r="Y8" s="957"/>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3"/>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7"/>
      <c r="V9" s="957"/>
      <c r="W9" s="662"/>
      <c r="X9" s="957"/>
      <c r="Y9" s="957"/>
      <c r="Z9" s="662"/>
      <c r="AA9" s="662"/>
      <c r="AB9" s="662"/>
      <c r="AC9" s="662"/>
      <c r="AD9" s="662"/>
      <c r="AE9" s="662"/>
      <c r="AF9" s="662"/>
      <c r="AG9" s="662"/>
      <c r="AH9" s="662"/>
      <c r="AI9" s="662"/>
      <c r="AJ9" s="662"/>
      <c r="AK9" s="662"/>
      <c r="AL9" s="662"/>
      <c r="AM9" s="662"/>
      <c r="AN9" s="662"/>
      <c r="AO9" s="662"/>
      <c r="AP9" s="662"/>
      <c r="AQ9" s="662"/>
      <c r="AR9" s="662"/>
    </row>
    <row r="10" spans="1:44" s="26" customFormat="1">
      <c r="A10" s="963"/>
      <c r="B10" s="834" t="s">
        <v>1975</v>
      </c>
      <c r="C10" s="830"/>
      <c r="D10" s="831"/>
      <c r="E10" s="831"/>
      <c r="F10" s="831"/>
      <c r="G10" s="831"/>
      <c r="H10" s="831"/>
      <c r="I10" s="831"/>
      <c r="J10" s="831"/>
      <c r="K10" s="831"/>
      <c r="L10" s="831"/>
      <c r="M10" s="833"/>
      <c r="N10" s="824"/>
      <c r="O10" s="826"/>
      <c r="P10" s="827"/>
      <c r="Q10" s="828"/>
      <c r="R10" s="829"/>
      <c r="S10" s="875"/>
      <c r="T10" s="595"/>
      <c r="U10" s="957"/>
      <c r="V10" s="957"/>
      <c r="W10" s="662"/>
      <c r="X10" s="957"/>
      <c r="Y10" s="957"/>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3"/>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7"/>
      <c r="V11" s="957"/>
      <c r="W11" s="662"/>
      <c r="X11" s="957"/>
      <c r="Y11" s="957"/>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3"/>
      <c r="B12" s="834" t="s">
        <v>1976</v>
      </c>
      <c r="C12" s="830"/>
      <c r="D12" s="831"/>
      <c r="E12" s="831"/>
      <c r="F12" s="831"/>
      <c r="G12" s="831"/>
      <c r="H12" s="831"/>
      <c r="I12" s="831"/>
      <c r="J12" s="831"/>
      <c r="K12" s="831"/>
      <c r="L12" s="832"/>
      <c r="M12" s="833"/>
      <c r="N12" s="824"/>
      <c r="O12" s="826"/>
      <c r="P12" s="827"/>
      <c r="Q12" s="828"/>
      <c r="R12" s="829"/>
      <c r="S12" s="875"/>
      <c r="T12" s="595"/>
      <c r="U12" s="957"/>
      <c r="V12" s="957"/>
      <c r="W12" s="662"/>
      <c r="X12" s="957"/>
      <c r="Y12" s="957"/>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3"/>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7"/>
      <c r="V13" s="957"/>
      <c r="W13" s="662"/>
      <c r="X13" s="957"/>
      <c r="Y13" s="957"/>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3"/>
      <c r="B14" s="853" t="s">
        <v>1977</v>
      </c>
      <c r="C14" s="845"/>
      <c r="D14" s="846"/>
      <c r="E14" s="846"/>
      <c r="F14" s="846"/>
      <c r="G14" s="846"/>
      <c r="H14" s="846"/>
      <c r="I14" s="846"/>
      <c r="J14" s="846"/>
      <c r="K14" s="846"/>
      <c r="L14" s="846"/>
      <c r="M14" s="848"/>
      <c r="N14" s="854"/>
      <c r="O14" s="855"/>
      <c r="P14" s="856"/>
      <c r="Q14" s="857"/>
      <c r="R14" s="858"/>
      <c r="S14" s="877"/>
      <c r="T14" s="849"/>
      <c r="U14" s="957"/>
      <c r="V14" s="957"/>
      <c r="W14" s="662"/>
      <c r="X14" s="957"/>
      <c r="Y14" s="957"/>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3"/>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7"/>
      <c r="V15" s="957"/>
      <c r="W15" s="662"/>
      <c r="X15" s="957"/>
      <c r="Y15" s="957"/>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3"/>
      <c r="B16" s="853" t="s">
        <v>1978</v>
      </c>
      <c r="C16" s="845"/>
      <c r="D16" s="846"/>
      <c r="E16" s="846"/>
      <c r="F16" s="846"/>
      <c r="G16" s="846"/>
      <c r="H16" s="846"/>
      <c r="I16" s="846"/>
      <c r="J16" s="846"/>
      <c r="K16" s="846"/>
      <c r="L16" s="846"/>
      <c r="M16" s="848"/>
      <c r="N16" s="854"/>
      <c r="O16" s="855"/>
      <c r="P16" s="856"/>
      <c r="Q16" s="857"/>
      <c r="R16" s="858"/>
      <c r="S16" s="877"/>
      <c r="T16" s="869"/>
      <c r="U16" s="957"/>
      <c r="V16" s="957"/>
      <c r="W16" s="662"/>
      <c r="X16" s="957"/>
      <c r="Y16" s="957"/>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3"/>
      <c r="B17" s="835"/>
      <c r="C17" s="866"/>
      <c r="D17" s="867"/>
      <c r="E17" s="867"/>
      <c r="F17" s="867"/>
      <c r="G17" s="867"/>
      <c r="H17" s="867"/>
      <c r="I17" s="867"/>
      <c r="J17" s="867"/>
      <c r="K17" s="867"/>
      <c r="L17" s="867"/>
      <c r="M17" s="868"/>
      <c r="N17" s="868"/>
      <c r="O17" s="867"/>
      <c r="P17" s="867"/>
      <c r="Q17" s="867"/>
      <c r="R17" s="867"/>
      <c r="S17" s="878"/>
      <c r="T17" s="839"/>
      <c r="U17" s="957"/>
      <c r="V17" s="957"/>
      <c r="W17" s="662"/>
      <c r="X17" s="957"/>
      <c r="Y17" s="957"/>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3"/>
      <c r="B18" s="853" t="s">
        <v>1979</v>
      </c>
      <c r="C18" s="845"/>
      <c r="D18" s="846"/>
      <c r="E18" s="846"/>
      <c r="F18" s="846"/>
      <c r="G18" s="846"/>
      <c r="H18" s="846"/>
      <c r="I18" s="846"/>
      <c r="J18" s="846"/>
      <c r="K18" s="846"/>
      <c r="L18" s="846"/>
      <c r="M18" s="848"/>
      <c r="N18" s="854"/>
      <c r="O18" s="855"/>
      <c r="P18" s="856"/>
      <c r="Q18" s="857"/>
      <c r="R18" s="858"/>
      <c r="S18" s="877"/>
      <c r="T18" s="869"/>
      <c r="U18" s="957"/>
      <c r="V18" s="957"/>
      <c r="W18" s="662"/>
      <c r="X18" s="957"/>
      <c r="Y18" s="957"/>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3"/>
      <c r="B19" s="840"/>
      <c r="C19" s="841"/>
      <c r="D19" s="842"/>
      <c r="E19" s="842"/>
      <c r="F19" s="842"/>
      <c r="G19" s="842"/>
      <c r="H19" s="842"/>
      <c r="I19" s="842"/>
      <c r="J19" s="842"/>
      <c r="K19" s="842"/>
      <c r="L19" s="842"/>
      <c r="M19" s="843"/>
      <c r="N19" s="843"/>
      <c r="O19" s="842"/>
      <c r="P19" s="842"/>
      <c r="Q19" s="842"/>
      <c r="R19" s="842"/>
      <c r="S19" s="872"/>
      <c r="T19" s="596"/>
      <c r="U19" s="957"/>
      <c r="V19" s="957"/>
      <c r="W19" s="662"/>
      <c r="X19" s="957"/>
      <c r="Y19" s="957"/>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1980</v>
      </c>
      <c r="B20" s="1480" t="s">
        <v>1981</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1982</v>
      </c>
      <c r="G22" s="1251"/>
      <c r="H22" s="1251"/>
      <c r="I22" s="1251"/>
      <c r="J22" s="1252"/>
      <c r="K22" s="37"/>
      <c r="L22" s="37"/>
      <c r="M22" s="37"/>
      <c r="N22" s="37"/>
      <c r="O22" s="37"/>
      <c r="P22" s="37"/>
      <c r="Q22" s="37"/>
      <c r="R22" s="645"/>
      <c r="S22" s="31"/>
      <c r="T22" s="31"/>
      <c r="U22" s="956"/>
      <c r="V22" s="957"/>
      <c r="W22" s="662"/>
      <c r="X22" s="662"/>
      <c r="Y22" s="662"/>
      <c r="Z22" s="662"/>
    </row>
    <row r="23" spans="1:45" ht="16.5" thickBot="1">
      <c r="A23" s="81" t="s">
        <v>1983</v>
      </c>
      <c r="B23" s="224">
        <f>IF(F23="——",IF(C23="万元",T25,S25),IF(C23="万元",T25-H23,S25-H23))</f>
        <v>0</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6"/>
      <c r="V23" s="957"/>
      <c r="W23" s="662"/>
      <c r="X23" s="662"/>
      <c r="Y23" s="662"/>
      <c r="Z23" s="662"/>
    </row>
    <row r="24" spans="1:45" ht="15.75">
      <c r="A24" s="1482" t="s">
        <v>1984</v>
      </c>
      <c r="B24" s="224" t="e">
        <f>ROUND(B23*10000/B25,0)</f>
        <v>#DIV/0!</v>
      </c>
      <c r="C24" s="822"/>
      <c r="D24" s="37"/>
      <c r="E24" s="37"/>
      <c r="F24" s="37"/>
      <c r="G24" s="37"/>
      <c r="H24" s="37"/>
      <c r="I24" s="37"/>
      <c r="J24" s="37"/>
      <c r="K24" s="37"/>
      <c r="L24" s="37"/>
      <c r="M24" s="37"/>
      <c r="N24" s="37"/>
      <c r="O24" s="37"/>
      <c r="P24" s="37"/>
      <c r="Q24" s="37"/>
      <c r="R24" s="645"/>
      <c r="S24" s="13" t="s">
        <v>1985</v>
      </c>
      <c r="T24" s="1259" t="s">
        <v>1986</v>
      </c>
      <c r="U24" s="2172" t="s">
        <v>1987</v>
      </c>
      <c r="V24" s="2905"/>
      <c r="W24" s="2906" t="s">
        <v>1988</v>
      </c>
      <c r="X24" s="2172" t="s">
        <v>1989</v>
      </c>
      <c r="Y24" s="2905"/>
      <c r="Z24" s="2907" t="s">
        <v>1988</v>
      </c>
    </row>
    <row r="25" spans="1:45">
      <c r="A25" s="250" t="s">
        <v>1990</v>
      </c>
      <c r="B25" s="13">
        <f>SUM(B27:B10000)</f>
        <v>0</v>
      </c>
      <c r="C25" s="3579" t="s">
        <v>45</v>
      </c>
      <c r="D25" s="3580"/>
      <c r="E25" s="3580"/>
      <c r="F25" s="3580"/>
      <c r="G25" s="3580"/>
      <c r="H25" s="3580"/>
      <c r="I25" s="3580"/>
      <c r="J25" s="3580"/>
      <c r="K25" s="3580"/>
      <c r="L25" s="3580"/>
      <c r="M25" s="3580"/>
      <c r="N25" s="3580"/>
      <c r="O25" s="3580"/>
      <c r="P25" s="3580"/>
      <c r="Q25" s="3581"/>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5"/>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3" t="s">
        <v>1996</v>
      </c>
      <c r="V26" s="683" t="s">
        <v>1997</v>
      </c>
      <c r="W26" s="10" t="s">
        <v>1998</v>
      </c>
      <c r="X26" s="683" t="s">
        <v>1996</v>
      </c>
      <c r="Y26" s="683" t="s">
        <v>1997</v>
      </c>
      <c r="Z26" s="10" t="s">
        <v>1998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1999</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4"/>
      <c r="X27" s="2908">
        <f>ROUND(Z27*B27,0)</f>
        <v>0</v>
      </c>
      <c r="Y27" s="2908">
        <f>ROUND(Z27*B27/10000,0)</f>
        <v>0</v>
      </c>
      <c r="Z27" s="954"/>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5"/>
      <c r="X28" s="2908">
        <f t="shared" ref="X28:X91" si="24">ROUND(Z28*B28,0)</f>
        <v>0</v>
      </c>
      <c r="Y28" s="2908">
        <f t="shared" ref="Y28:Y91" si="25">ROUND(Z28*B28/10000,0)</f>
        <v>0</v>
      </c>
      <c r="Z28" s="955"/>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5"/>
      <c r="X29" s="2908">
        <f t="shared" si="24"/>
        <v>0</v>
      </c>
      <c r="Y29" s="2908">
        <f t="shared" si="25"/>
        <v>0</v>
      </c>
      <c r="Z29" s="955"/>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5"/>
      <c r="X30" s="2908">
        <f t="shared" si="24"/>
        <v>0</v>
      </c>
      <c r="Y30" s="2908">
        <f t="shared" si="25"/>
        <v>0</v>
      </c>
      <c r="Z30" s="955"/>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5"/>
      <c r="X31" s="2908">
        <f t="shared" si="24"/>
        <v>0</v>
      </c>
      <c r="Y31" s="2908">
        <f t="shared" si="25"/>
        <v>0</v>
      </c>
      <c r="Z31" s="955"/>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5"/>
      <c r="X32" s="2908">
        <f t="shared" si="24"/>
        <v>0</v>
      </c>
      <c r="Y32" s="2908">
        <f t="shared" si="25"/>
        <v>0</v>
      </c>
      <c r="Z32" s="955"/>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5"/>
      <c r="X33" s="2908">
        <f t="shared" si="24"/>
        <v>0</v>
      </c>
      <c r="Y33" s="2908">
        <f t="shared" si="25"/>
        <v>0</v>
      </c>
      <c r="Z33" s="955"/>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5"/>
      <c r="X34" s="2908">
        <f t="shared" si="24"/>
        <v>0</v>
      </c>
      <c r="Y34" s="2908">
        <f t="shared" si="25"/>
        <v>0</v>
      </c>
      <c r="Z34" s="955"/>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5"/>
      <c r="X35" s="2908">
        <f t="shared" si="24"/>
        <v>0</v>
      </c>
      <c r="Y35" s="2908">
        <f t="shared" si="25"/>
        <v>0</v>
      </c>
      <c r="Z35" s="955"/>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5"/>
      <c r="X36" s="2908">
        <f t="shared" si="24"/>
        <v>0</v>
      </c>
      <c r="Y36" s="2908">
        <f t="shared" si="25"/>
        <v>0</v>
      </c>
      <c r="Z36" s="955"/>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5"/>
      <c r="X37" s="2908">
        <f t="shared" si="24"/>
        <v>0</v>
      </c>
      <c r="Y37" s="2908">
        <f t="shared" si="25"/>
        <v>0</v>
      </c>
      <c r="Z37" s="955"/>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5"/>
      <c r="X38" s="2908">
        <f t="shared" si="24"/>
        <v>0</v>
      </c>
      <c r="Y38" s="2908">
        <f t="shared" si="25"/>
        <v>0</v>
      </c>
      <c r="Z38" s="955"/>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5"/>
      <c r="X39" s="2908">
        <f t="shared" si="24"/>
        <v>0</v>
      </c>
      <c r="Y39" s="2908">
        <f t="shared" si="25"/>
        <v>0</v>
      </c>
      <c r="Z39" s="955"/>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5"/>
      <c r="X40" s="2908">
        <f t="shared" si="24"/>
        <v>0</v>
      </c>
      <c r="Y40" s="2908">
        <f t="shared" si="25"/>
        <v>0</v>
      </c>
      <c r="Z40" s="955"/>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5"/>
      <c r="X41" s="2908">
        <f t="shared" si="24"/>
        <v>0</v>
      </c>
      <c r="Y41" s="2908">
        <f t="shared" si="25"/>
        <v>0</v>
      </c>
      <c r="Z41" s="955"/>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5"/>
      <c r="X42" s="2908">
        <f t="shared" si="24"/>
        <v>0</v>
      </c>
      <c r="Y42" s="2908">
        <f t="shared" si="25"/>
        <v>0</v>
      </c>
      <c r="Z42" s="955"/>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5"/>
      <c r="X43" s="2908">
        <f t="shared" si="24"/>
        <v>0</v>
      </c>
      <c r="Y43" s="2908">
        <f t="shared" si="25"/>
        <v>0</v>
      </c>
      <c r="Z43" s="955"/>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5"/>
      <c r="X44" s="2908">
        <f t="shared" si="24"/>
        <v>0</v>
      </c>
      <c r="Y44" s="2908">
        <f t="shared" si="25"/>
        <v>0</v>
      </c>
      <c r="Z44" s="955"/>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5"/>
      <c r="X45" s="2908">
        <f t="shared" si="24"/>
        <v>0</v>
      </c>
      <c r="Y45" s="2908">
        <f t="shared" si="25"/>
        <v>0</v>
      </c>
      <c r="Z45" s="955"/>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5"/>
      <c r="X46" s="2908">
        <f t="shared" si="24"/>
        <v>0</v>
      </c>
      <c r="Y46" s="2908">
        <f t="shared" si="25"/>
        <v>0</v>
      </c>
      <c r="Z46" s="955"/>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5"/>
      <c r="X47" s="2908">
        <f t="shared" si="24"/>
        <v>0</v>
      </c>
      <c r="Y47" s="2908">
        <f t="shared" si="25"/>
        <v>0</v>
      </c>
      <c r="Z47" s="955"/>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5"/>
      <c r="X48" s="2908">
        <f t="shared" si="24"/>
        <v>0</v>
      </c>
      <c r="Y48" s="2908">
        <f t="shared" si="25"/>
        <v>0</v>
      </c>
      <c r="Z48" s="955"/>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5"/>
      <c r="X49" s="2908">
        <f t="shared" si="24"/>
        <v>0</v>
      </c>
      <c r="Y49" s="2908">
        <f t="shared" si="25"/>
        <v>0</v>
      </c>
      <c r="Z49" s="955"/>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5"/>
      <c r="X50" s="2908">
        <f t="shared" si="24"/>
        <v>0</v>
      </c>
      <c r="Y50" s="2908">
        <f t="shared" si="25"/>
        <v>0</v>
      </c>
      <c r="Z50" s="955"/>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5"/>
      <c r="X51" s="2908">
        <f t="shared" si="24"/>
        <v>0</v>
      </c>
      <c r="Y51" s="2908">
        <f t="shared" si="25"/>
        <v>0</v>
      </c>
      <c r="Z51" s="955"/>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5"/>
      <c r="X52" s="2908">
        <f t="shared" si="24"/>
        <v>0</v>
      </c>
      <c r="Y52" s="2908">
        <f t="shared" si="25"/>
        <v>0</v>
      </c>
      <c r="Z52" s="955"/>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5"/>
      <c r="X53" s="2908">
        <f t="shared" si="24"/>
        <v>0</v>
      </c>
      <c r="Y53" s="2908">
        <f t="shared" si="25"/>
        <v>0</v>
      </c>
      <c r="Z53" s="955"/>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5"/>
      <c r="X54" s="2908">
        <f t="shared" si="24"/>
        <v>0</v>
      </c>
      <c r="Y54" s="2908">
        <f t="shared" si="25"/>
        <v>0</v>
      </c>
      <c r="Z54" s="955"/>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5"/>
      <c r="X55" s="2908">
        <f t="shared" si="24"/>
        <v>0</v>
      </c>
      <c r="Y55" s="2908">
        <f t="shared" si="25"/>
        <v>0</v>
      </c>
      <c r="Z55" s="955"/>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5"/>
      <c r="X56" s="2908">
        <f t="shared" si="24"/>
        <v>0</v>
      </c>
      <c r="Y56" s="2908">
        <f t="shared" si="25"/>
        <v>0</v>
      </c>
      <c r="Z56" s="955"/>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5"/>
      <c r="X57" s="2908">
        <f t="shared" si="24"/>
        <v>0</v>
      </c>
      <c r="Y57" s="2908">
        <f t="shared" si="25"/>
        <v>0</v>
      </c>
      <c r="Z57" s="955"/>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5"/>
      <c r="X58" s="2908">
        <f t="shared" si="24"/>
        <v>0</v>
      </c>
      <c r="Y58" s="2908">
        <f t="shared" si="25"/>
        <v>0</v>
      </c>
      <c r="Z58" s="955"/>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5"/>
      <c r="X59" s="2908">
        <f t="shared" si="24"/>
        <v>0</v>
      </c>
      <c r="Y59" s="2908">
        <f t="shared" si="25"/>
        <v>0</v>
      </c>
      <c r="Z59" s="955"/>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5"/>
      <c r="X60" s="2908">
        <f t="shared" si="24"/>
        <v>0</v>
      </c>
      <c r="Y60" s="2908">
        <f t="shared" si="25"/>
        <v>0</v>
      </c>
      <c r="Z60" s="955"/>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5"/>
      <c r="X61" s="2908">
        <f t="shared" si="24"/>
        <v>0</v>
      </c>
      <c r="Y61" s="2908">
        <f t="shared" si="25"/>
        <v>0</v>
      </c>
      <c r="Z61" s="955"/>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5"/>
      <c r="X62" s="2908">
        <f t="shared" si="24"/>
        <v>0</v>
      </c>
      <c r="Y62" s="2908">
        <f t="shared" si="25"/>
        <v>0</v>
      </c>
      <c r="Z62" s="955"/>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5"/>
      <c r="X63" s="2908">
        <f t="shared" si="24"/>
        <v>0</v>
      </c>
      <c r="Y63" s="2908">
        <f t="shared" si="25"/>
        <v>0</v>
      </c>
      <c r="Z63" s="955"/>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5"/>
      <c r="X64" s="2908">
        <f t="shared" si="24"/>
        <v>0</v>
      </c>
      <c r="Y64" s="2908">
        <f t="shared" si="25"/>
        <v>0</v>
      </c>
      <c r="Z64" s="955"/>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5"/>
      <c r="X65" s="2908">
        <f t="shared" si="24"/>
        <v>0</v>
      </c>
      <c r="Y65" s="2908">
        <f t="shared" si="25"/>
        <v>0</v>
      </c>
      <c r="Z65" s="955"/>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5"/>
      <c r="X66" s="2908">
        <f t="shared" si="24"/>
        <v>0</v>
      </c>
      <c r="Y66" s="2908">
        <f t="shared" si="25"/>
        <v>0</v>
      </c>
      <c r="Z66" s="955"/>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5"/>
      <c r="X67" s="2908">
        <f t="shared" si="24"/>
        <v>0</v>
      </c>
      <c r="Y67" s="2908">
        <f t="shared" si="25"/>
        <v>0</v>
      </c>
      <c r="Z67" s="955"/>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5"/>
      <c r="X68" s="2908">
        <f t="shared" si="24"/>
        <v>0</v>
      </c>
      <c r="Y68" s="2908">
        <f t="shared" si="25"/>
        <v>0</v>
      </c>
      <c r="Z68" s="955"/>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5"/>
      <c r="X69" s="2908">
        <f t="shared" si="24"/>
        <v>0</v>
      </c>
      <c r="Y69" s="2908">
        <f t="shared" si="25"/>
        <v>0</v>
      </c>
      <c r="Z69" s="955"/>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5"/>
      <c r="X70" s="2908">
        <f t="shared" si="24"/>
        <v>0</v>
      </c>
      <c r="Y70" s="2908">
        <f t="shared" si="25"/>
        <v>0</v>
      </c>
      <c r="Z70" s="955"/>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5"/>
      <c r="X71" s="2908">
        <f t="shared" si="24"/>
        <v>0</v>
      </c>
      <c r="Y71" s="2908">
        <f t="shared" si="25"/>
        <v>0</v>
      </c>
      <c r="Z71" s="955"/>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5"/>
      <c r="X72" s="2908">
        <f t="shared" si="24"/>
        <v>0</v>
      </c>
      <c r="Y72" s="2908">
        <f t="shared" si="25"/>
        <v>0</v>
      </c>
      <c r="Z72" s="955"/>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5"/>
      <c r="X73" s="2908">
        <f t="shared" si="24"/>
        <v>0</v>
      </c>
      <c r="Y73" s="2908">
        <f t="shared" si="25"/>
        <v>0</v>
      </c>
      <c r="Z73" s="955"/>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5"/>
      <c r="X74" s="2908">
        <f t="shared" si="24"/>
        <v>0</v>
      </c>
      <c r="Y74" s="2908">
        <f t="shared" si="25"/>
        <v>0</v>
      </c>
      <c r="Z74" s="955"/>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5"/>
      <c r="X75" s="2908">
        <f t="shared" si="24"/>
        <v>0</v>
      </c>
      <c r="Y75" s="2908">
        <f t="shared" si="25"/>
        <v>0</v>
      </c>
      <c r="Z75" s="955"/>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5"/>
      <c r="X76" s="2908">
        <f t="shared" si="24"/>
        <v>0</v>
      </c>
      <c r="Y76" s="2908">
        <f t="shared" si="25"/>
        <v>0</v>
      </c>
      <c r="Z76" s="955"/>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5"/>
      <c r="X77" s="2908">
        <f t="shared" si="24"/>
        <v>0</v>
      </c>
      <c r="Y77" s="2908">
        <f t="shared" si="25"/>
        <v>0</v>
      </c>
      <c r="Z77" s="955"/>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5"/>
      <c r="X78" s="2908">
        <f t="shared" si="24"/>
        <v>0</v>
      </c>
      <c r="Y78" s="2908">
        <f t="shared" si="25"/>
        <v>0</v>
      </c>
      <c r="Z78" s="955"/>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5"/>
      <c r="X79" s="2908">
        <f t="shared" si="24"/>
        <v>0</v>
      </c>
      <c r="Y79" s="2908">
        <f t="shared" si="25"/>
        <v>0</v>
      </c>
      <c r="Z79" s="955"/>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5"/>
      <c r="X80" s="2908">
        <f t="shared" si="24"/>
        <v>0</v>
      </c>
      <c r="Y80" s="2908">
        <f t="shared" si="25"/>
        <v>0</v>
      </c>
      <c r="Z80" s="955"/>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5"/>
      <c r="X81" s="2908">
        <f t="shared" si="24"/>
        <v>0</v>
      </c>
      <c r="Y81" s="2908">
        <f t="shared" si="25"/>
        <v>0</v>
      </c>
      <c r="Z81" s="955"/>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5"/>
      <c r="X82" s="2908">
        <f t="shared" si="24"/>
        <v>0</v>
      </c>
      <c r="Y82" s="2908">
        <f t="shared" si="25"/>
        <v>0</v>
      </c>
      <c r="Z82" s="955"/>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5"/>
      <c r="X83" s="2908">
        <f t="shared" si="24"/>
        <v>0</v>
      </c>
      <c r="Y83" s="2908">
        <f t="shared" si="25"/>
        <v>0</v>
      </c>
      <c r="Z83" s="955"/>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5"/>
      <c r="X84" s="2908">
        <f t="shared" si="24"/>
        <v>0</v>
      </c>
      <c r="Y84" s="2908">
        <f t="shared" si="25"/>
        <v>0</v>
      </c>
      <c r="Z84" s="955"/>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5"/>
      <c r="X85" s="2908">
        <f t="shared" si="24"/>
        <v>0</v>
      </c>
      <c r="Y85" s="2908">
        <f t="shared" si="25"/>
        <v>0</v>
      </c>
      <c r="Z85" s="955"/>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5"/>
      <c r="X86" s="2908">
        <f t="shared" si="24"/>
        <v>0</v>
      </c>
      <c r="Y86" s="2908">
        <f t="shared" si="25"/>
        <v>0</v>
      </c>
      <c r="Z86" s="955"/>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5"/>
      <c r="X87" s="2908">
        <f t="shared" si="24"/>
        <v>0</v>
      </c>
      <c r="Y87" s="2908">
        <f t="shared" si="25"/>
        <v>0</v>
      </c>
      <c r="Z87" s="955"/>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5"/>
      <c r="X88" s="2908">
        <f t="shared" si="24"/>
        <v>0</v>
      </c>
      <c r="Y88" s="2908">
        <f t="shared" si="25"/>
        <v>0</v>
      </c>
      <c r="Z88" s="955"/>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5"/>
      <c r="X89" s="2908">
        <f t="shared" si="24"/>
        <v>0</v>
      </c>
      <c r="Y89" s="2908">
        <f t="shared" si="25"/>
        <v>0</v>
      </c>
      <c r="Z89" s="955"/>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5"/>
      <c r="X90" s="2908">
        <f t="shared" si="24"/>
        <v>0</v>
      </c>
      <c r="Y90" s="2908">
        <f t="shared" si="25"/>
        <v>0</v>
      </c>
      <c r="Z90" s="955"/>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5"/>
      <c r="X91" s="2908">
        <f t="shared" si="24"/>
        <v>0</v>
      </c>
      <c r="Y91" s="2908">
        <f t="shared" si="25"/>
        <v>0</v>
      </c>
      <c r="Z91" s="955"/>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5"/>
      <c r="X92" s="2908">
        <f t="shared" ref="X92:X155" si="39">ROUND(Z92*B92,0)</f>
        <v>0</v>
      </c>
      <c r="Y92" s="2908">
        <f t="shared" ref="Y92:Y155" si="40">ROUND(Z92*B92/10000,0)</f>
        <v>0</v>
      </c>
      <c r="Z92" s="955"/>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5"/>
      <c r="X93" s="2908">
        <f t="shared" si="39"/>
        <v>0</v>
      </c>
      <c r="Y93" s="2908">
        <f t="shared" si="40"/>
        <v>0</v>
      </c>
      <c r="Z93" s="955"/>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5"/>
      <c r="X94" s="2908">
        <f t="shared" si="39"/>
        <v>0</v>
      </c>
      <c r="Y94" s="2908">
        <f t="shared" si="40"/>
        <v>0</v>
      </c>
      <c r="Z94" s="955"/>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5"/>
      <c r="X95" s="2908">
        <f t="shared" si="39"/>
        <v>0</v>
      </c>
      <c r="Y95" s="2908">
        <f t="shared" si="40"/>
        <v>0</v>
      </c>
      <c r="Z95" s="955"/>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5"/>
      <c r="X96" s="2908">
        <f t="shared" si="39"/>
        <v>0</v>
      </c>
      <c r="Y96" s="2908">
        <f t="shared" si="40"/>
        <v>0</v>
      </c>
      <c r="Z96" s="955"/>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5"/>
      <c r="X97" s="2908">
        <f t="shared" si="39"/>
        <v>0</v>
      </c>
      <c r="Y97" s="2908">
        <f t="shared" si="40"/>
        <v>0</v>
      </c>
      <c r="Z97" s="955"/>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5"/>
      <c r="X98" s="2908">
        <f t="shared" si="39"/>
        <v>0</v>
      </c>
      <c r="Y98" s="2908">
        <f t="shared" si="40"/>
        <v>0</v>
      </c>
      <c r="Z98" s="955"/>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5"/>
      <c r="X99" s="2908">
        <f t="shared" si="39"/>
        <v>0</v>
      </c>
      <c r="Y99" s="2908">
        <f t="shared" si="40"/>
        <v>0</v>
      </c>
      <c r="Z99" s="955"/>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5"/>
      <c r="X100" s="2908">
        <f t="shared" si="39"/>
        <v>0</v>
      </c>
      <c r="Y100" s="2908">
        <f t="shared" si="40"/>
        <v>0</v>
      </c>
      <c r="Z100" s="955"/>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5"/>
      <c r="X101" s="2908">
        <f t="shared" si="39"/>
        <v>0</v>
      </c>
      <c r="Y101" s="2908">
        <f t="shared" si="40"/>
        <v>0</v>
      </c>
      <c r="Z101" s="955"/>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5"/>
      <c r="X102" s="2908">
        <f t="shared" si="39"/>
        <v>0</v>
      </c>
      <c r="Y102" s="2908">
        <f t="shared" si="40"/>
        <v>0</v>
      </c>
      <c r="Z102" s="955"/>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5"/>
      <c r="X103" s="2908">
        <f t="shared" si="39"/>
        <v>0</v>
      </c>
      <c r="Y103" s="2908">
        <f t="shared" si="40"/>
        <v>0</v>
      </c>
      <c r="Z103" s="955"/>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5"/>
      <c r="X104" s="2908">
        <f t="shared" si="39"/>
        <v>0</v>
      </c>
      <c r="Y104" s="2908">
        <f t="shared" si="40"/>
        <v>0</v>
      </c>
      <c r="Z104" s="955"/>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5"/>
      <c r="X105" s="2908">
        <f t="shared" si="39"/>
        <v>0</v>
      </c>
      <c r="Y105" s="2908">
        <f t="shared" si="40"/>
        <v>0</v>
      </c>
      <c r="Z105" s="955"/>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5"/>
      <c r="X106" s="2908">
        <f t="shared" si="39"/>
        <v>0</v>
      </c>
      <c r="Y106" s="2908">
        <f t="shared" si="40"/>
        <v>0</v>
      </c>
      <c r="Z106" s="955"/>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5"/>
      <c r="X107" s="2908">
        <f t="shared" si="39"/>
        <v>0</v>
      </c>
      <c r="Y107" s="2908">
        <f t="shared" si="40"/>
        <v>0</v>
      </c>
      <c r="Z107" s="955"/>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5"/>
      <c r="X108" s="2908">
        <f t="shared" si="39"/>
        <v>0</v>
      </c>
      <c r="Y108" s="2908">
        <f t="shared" si="40"/>
        <v>0</v>
      </c>
      <c r="Z108" s="955"/>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5"/>
      <c r="X109" s="2908">
        <f t="shared" si="39"/>
        <v>0</v>
      </c>
      <c r="Y109" s="2908">
        <f t="shared" si="40"/>
        <v>0</v>
      </c>
      <c r="Z109" s="955"/>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5"/>
      <c r="X110" s="2908">
        <f t="shared" si="39"/>
        <v>0</v>
      </c>
      <c r="Y110" s="2908">
        <f t="shared" si="40"/>
        <v>0</v>
      </c>
      <c r="Z110" s="955"/>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5"/>
      <c r="X111" s="2908">
        <f t="shared" si="39"/>
        <v>0</v>
      </c>
      <c r="Y111" s="2908">
        <f t="shared" si="40"/>
        <v>0</v>
      </c>
      <c r="Z111" s="955"/>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5"/>
      <c r="X112" s="2908">
        <f t="shared" si="39"/>
        <v>0</v>
      </c>
      <c r="Y112" s="2908">
        <f t="shared" si="40"/>
        <v>0</v>
      </c>
      <c r="Z112" s="955"/>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5"/>
      <c r="X113" s="2908">
        <f t="shared" si="39"/>
        <v>0</v>
      </c>
      <c r="Y113" s="2908">
        <f t="shared" si="40"/>
        <v>0</v>
      </c>
      <c r="Z113" s="955"/>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5"/>
      <c r="X114" s="2908">
        <f t="shared" si="39"/>
        <v>0</v>
      </c>
      <c r="Y114" s="2908">
        <f t="shared" si="40"/>
        <v>0</v>
      </c>
      <c r="Z114" s="955"/>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5"/>
      <c r="X115" s="2908">
        <f t="shared" si="39"/>
        <v>0</v>
      </c>
      <c r="Y115" s="2908">
        <f t="shared" si="40"/>
        <v>0</v>
      </c>
      <c r="Z115" s="955"/>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5"/>
      <c r="X116" s="2908">
        <f t="shared" si="39"/>
        <v>0</v>
      </c>
      <c r="Y116" s="2908">
        <f t="shared" si="40"/>
        <v>0</v>
      </c>
      <c r="Z116" s="955"/>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5"/>
      <c r="X117" s="2908">
        <f t="shared" si="39"/>
        <v>0</v>
      </c>
      <c r="Y117" s="2908">
        <f t="shared" si="40"/>
        <v>0</v>
      </c>
      <c r="Z117" s="955"/>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5"/>
      <c r="X118" s="2908">
        <f t="shared" si="39"/>
        <v>0</v>
      </c>
      <c r="Y118" s="2908">
        <f t="shared" si="40"/>
        <v>0</v>
      </c>
      <c r="Z118" s="955"/>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5"/>
      <c r="X119" s="2908">
        <f t="shared" si="39"/>
        <v>0</v>
      </c>
      <c r="Y119" s="2908">
        <f t="shared" si="40"/>
        <v>0</v>
      </c>
      <c r="Z119" s="955"/>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5"/>
      <c r="X120" s="2908">
        <f t="shared" si="39"/>
        <v>0</v>
      </c>
      <c r="Y120" s="2908">
        <f t="shared" si="40"/>
        <v>0</v>
      </c>
      <c r="Z120" s="955"/>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5"/>
      <c r="X121" s="2908">
        <f t="shared" si="39"/>
        <v>0</v>
      </c>
      <c r="Y121" s="2908">
        <f t="shared" si="40"/>
        <v>0</v>
      </c>
      <c r="Z121" s="955"/>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5"/>
      <c r="X122" s="2908">
        <f t="shared" si="39"/>
        <v>0</v>
      </c>
      <c r="Y122" s="2908">
        <f t="shared" si="40"/>
        <v>0</v>
      </c>
      <c r="Z122" s="955"/>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5"/>
      <c r="X123" s="2908">
        <f t="shared" si="39"/>
        <v>0</v>
      </c>
      <c r="Y123" s="2908">
        <f t="shared" si="40"/>
        <v>0</v>
      </c>
      <c r="Z123" s="955"/>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5"/>
      <c r="X124" s="2908">
        <f t="shared" si="39"/>
        <v>0</v>
      </c>
      <c r="Y124" s="2908">
        <f t="shared" si="40"/>
        <v>0</v>
      </c>
      <c r="Z124" s="955"/>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5"/>
      <c r="X125" s="2908">
        <f t="shared" si="39"/>
        <v>0</v>
      </c>
      <c r="Y125" s="2908">
        <f t="shared" si="40"/>
        <v>0</v>
      </c>
      <c r="Z125" s="955"/>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5"/>
      <c r="X126" s="2908">
        <f t="shared" si="39"/>
        <v>0</v>
      </c>
      <c r="Y126" s="2908">
        <f t="shared" si="40"/>
        <v>0</v>
      </c>
      <c r="Z126" s="955"/>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5"/>
      <c r="X127" s="2908">
        <f t="shared" si="39"/>
        <v>0</v>
      </c>
      <c r="Y127" s="2908">
        <f t="shared" si="40"/>
        <v>0</v>
      </c>
      <c r="Z127" s="955"/>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5"/>
      <c r="X128" s="2908">
        <f t="shared" si="39"/>
        <v>0</v>
      </c>
      <c r="Y128" s="2908">
        <f t="shared" si="40"/>
        <v>0</v>
      </c>
      <c r="Z128" s="955"/>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5"/>
      <c r="X129" s="2908">
        <f t="shared" si="39"/>
        <v>0</v>
      </c>
      <c r="Y129" s="2908">
        <f t="shared" si="40"/>
        <v>0</v>
      </c>
      <c r="Z129" s="955"/>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5"/>
      <c r="X130" s="2908">
        <f t="shared" si="39"/>
        <v>0</v>
      </c>
      <c r="Y130" s="2908">
        <f t="shared" si="40"/>
        <v>0</v>
      </c>
      <c r="Z130" s="955"/>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5"/>
      <c r="X131" s="2908">
        <f t="shared" si="39"/>
        <v>0</v>
      </c>
      <c r="Y131" s="2908">
        <f t="shared" si="40"/>
        <v>0</v>
      </c>
      <c r="Z131" s="955"/>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5"/>
      <c r="X132" s="2908">
        <f t="shared" si="39"/>
        <v>0</v>
      </c>
      <c r="Y132" s="2908">
        <f t="shared" si="40"/>
        <v>0</v>
      </c>
      <c r="Z132" s="955"/>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5"/>
      <c r="X133" s="2908">
        <f t="shared" si="39"/>
        <v>0</v>
      </c>
      <c r="Y133" s="2908">
        <f t="shared" si="40"/>
        <v>0</v>
      </c>
      <c r="Z133" s="955"/>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5"/>
      <c r="X134" s="2908">
        <f t="shared" si="39"/>
        <v>0</v>
      </c>
      <c r="Y134" s="2908">
        <f t="shared" si="40"/>
        <v>0</v>
      </c>
      <c r="Z134" s="955"/>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5"/>
      <c r="X135" s="2908">
        <f t="shared" si="39"/>
        <v>0</v>
      </c>
      <c r="Y135" s="2908">
        <f t="shared" si="40"/>
        <v>0</v>
      </c>
      <c r="Z135" s="955"/>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5"/>
      <c r="X136" s="2908">
        <f t="shared" si="39"/>
        <v>0</v>
      </c>
      <c r="Y136" s="2908">
        <f t="shared" si="40"/>
        <v>0</v>
      </c>
      <c r="Z136" s="955"/>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5"/>
      <c r="X137" s="2908">
        <f t="shared" si="39"/>
        <v>0</v>
      </c>
      <c r="Y137" s="2908">
        <f t="shared" si="40"/>
        <v>0</v>
      </c>
      <c r="Z137" s="955"/>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5"/>
      <c r="X138" s="2908">
        <f t="shared" si="39"/>
        <v>0</v>
      </c>
      <c r="Y138" s="2908">
        <f t="shared" si="40"/>
        <v>0</v>
      </c>
      <c r="Z138" s="955"/>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5"/>
      <c r="X139" s="2908">
        <f t="shared" si="39"/>
        <v>0</v>
      </c>
      <c r="Y139" s="2908">
        <f t="shared" si="40"/>
        <v>0</v>
      </c>
      <c r="Z139" s="955"/>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5"/>
      <c r="X140" s="2908">
        <f t="shared" si="39"/>
        <v>0</v>
      </c>
      <c r="Y140" s="2908">
        <f t="shared" si="40"/>
        <v>0</v>
      </c>
      <c r="Z140" s="955"/>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5"/>
      <c r="X141" s="2908">
        <f t="shared" si="39"/>
        <v>0</v>
      </c>
      <c r="Y141" s="2908">
        <f t="shared" si="40"/>
        <v>0</v>
      </c>
      <c r="Z141" s="955"/>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5"/>
      <c r="X142" s="2908">
        <f t="shared" si="39"/>
        <v>0</v>
      </c>
      <c r="Y142" s="2908">
        <f t="shared" si="40"/>
        <v>0</v>
      </c>
      <c r="Z142" s="955"/>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5"/>
      <c r="X143" s="2908">
        <f t="shared" si="39"/>
        <v>0</v>
      </c>
      <c r="Y143" s="2908">
        <f t="shared" si="40"/>
        <v>0</v>
      </c>
      <c r="Z143" s="955"/>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5"/>
      <c r="X144" s="2908">
        <f t="shared" si="39"/>
        <v>0</v>
      </c>
      <c r="Y144" s="2908">
        <f t="shared" si="40"/>
        <v>0</v>
      </c>
      <c r="Z144" s="955"/>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5"/>
      <c r="X145" s="2908">
        <f t="shared" si="39"/>
        <v>0</v>
      </c>
      <c r="Y145" s="2908">
        <f t="shared" si="40"/>
        <v>0</v>
      </c>
      <c r="Z145" s="955"/>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5"/>
      <c r="X146" s="2908">
        <f t="shared" si="39"/>
        <v>0</v>
      </c>
      <c r="Y146" s="2908">
        <f t="shared" si="40"/>
        <v>0</v>
      </c>
      <c r="Z146" s="955"/>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5"/>
      <c r="X147" s="2908">
        <f t="shared" si="39"/>
        <v>0</v>
      </c>
      <c r="Y147" s="2908">
        <f t="shared" si="40"/>
        <v>0</v>
      </c>
      <c r="Z147" s="955"/>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5"/>
      <c r="X148" s="2908">
        <f t="shared" si="39"/>
        <v>0</v>
      </c>
      <c r="Y148" s="2908">
        <f t="shared" si="40"/>
        <v>0</v>
      </c>
      <c r="Z148" s="955"/>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5"/>
      <c r="X149" s="2908">
        <f t="shared" si="39"/>
        <v>0</v>
      </c>
      <c r="Y149" s="2908">
        <f t="shared" si="40"/>
        <v>0</v>
      </c>
      <c r="Z149" s="955"/>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5"/>
      <c r="X150" s="2908">
        <f t="shared" si="39"/>
        <v>0</v>
      </c>
      <c r="Y150" s="2908">
        <f t="shared" si="40"/>
        <v>0</v>
      </c>
      <c r="Z150" s="955"/>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5"/>
      <c r="X151" s="2908">
        <f t="shared" si="39"/>
        <v>0</v>
      </c>
      <c r="Y151" s="2908">
        <f t="shared" si="40"/>
        <v>0</v>
      </c>
      <c r="Z151" s="955"/>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5"/>
      <c r="X152" s="2908">
        <f t="shared" si="39"/>
        <v>0</v>
      </c>
      <c r="Y152" s="2908">
        <f t="shared" si="40"/>
        <v>0</v>
      </c>
      <c r="Z152" s="955"/>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5"/>
      <c r="X153" s="2908">
        <f t="shared" si="39"/>
        <v>0</v>
      </c>
      <c r="Y153" s="2908">
        <f t="shared" si="40"/>
        <v>0</v>
      </c>
      <c r="Z153" s="955"/>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5"/>
      <c r="X154" s="2908">
        <f t="shared" si="39"/>
        <v>0</v>
      </c>
      <c r="Y154" s="2908">
        <f t="shared" si="40"/>
        <v>0</v>
      </c>
      <c r="Z154" s="955"/>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5"/>
      <c r="X155" s="2908">
        <f t="shared" si="39"/>
        <v>0</v>
      </c>
      <c r="Y155" s="2908">
        <f t="shared" si="40"/>
        <v>0</v>
      </c>
      <c r="Z155" s="955"/>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5"/>
      <c r="X156" s="2908">
        <f t="shared" ref="X156:X219" si="54">ROUND(Z156*B156,0)</f>
        <v>0</v>
      </c>
      <c r="Y156" s="2908">
        <f t="shared" ref="Y156:Y219" si="55">ROUND(Z156*B156/10000,0)</f>
        <v>0</v>
      </c>
      <c r="Z156" s="955"/>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5"/>
      <c r="X157" s="2908">
        <f t="shared" si="54"/>
        <v>0</v>
      </c>
      <c r="Y157" s="2908">
        <f t="shared" si="55"/>
        <v>0</v>
      </c>
      <c r="Z157" s="955"/>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5"/>
      <c r="X158" s="2908">
        <f t="shared" si="54"/>
        <v>0</v>
      </c>
      <c r="Y158" s="2908">
        <f t="shared" si="55"/>
        <v>0</v>
      </c>
      <c r="Z158" s="955"/>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5"/>
      <c r="X159" s="2908">
        <f t="shared" si="54"/>
        <v>0</v>
      </c>
      <c r="Y159" s="2908">
        <f t="shared" si="55"/>
        <v>0</v>
      </c>
      <c r="Z159" s="955"/>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5"/>
      <c r="X160" s="2908">
        <f t="shared" si="54"/>
        <v>0</v>
      </c>
      <c r="Y160" s="2908">
        <f t="shared" si="55"/>
        <v>0</v>
      </c>
      <c r="Z160" s="955"/>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5"/>
      <c r="X161" s="2908">
        <f t="shared" si="54"/>
        <v>0</v>
      </c>
      <c r="Y161" s="2908">
        <f t="shared" si="55"/>
        <v>0</v>
      </c>
      <c r="Z161" s="955"/>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5"/>
      <c r="X162" s="2908">
        <f t="shared" si="54"/>
        <v>0</v>
      </c>
      <c r="Y162" s="2908">
        <f t="shared" si="55"/>
        <v>0</v>
      </c>
      <c r="Z162" s="955"/>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5"/>
      <c r="X163" s="2908">
        <f t="shared" si="54"/>
        <v>0</v>
      </c>
      <c r="Y163" s="2908">
        <f t="shared" si="55"/>
        <v>0</v>
      </c>
      <c r="Z163" s="955"/>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5"/>
      <c r="X164" s="2908">
        <f t="shared" si="54"/>
        <v>0</v>
      </c>
      <c r="Y164" s="2908">
        <f t="shared" si="55"/>
        <v>0</v>
      </c>
      <c r="Z164" s="955"/>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5"/>
      <c r="X165" s="2908">
        <f t="shared" si="54"/>
        <v>0</v>
      </c>
      <c r="Y165" s="2908">
        <f t="shared" si="55"/>
        <v>0</v>
      </c>
      <c r="Z165" s="955"/>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5"/>
      <c r="X166" s="2908">
        <f t="shared" si="54"/>
        <v>0</v>
      </c>
      <c r="Y166" s="2908">
        <f t="shared" si="55"/>
        <v>0</v>
      </c>
      <c r="Z166" s="955"/>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5"/>
      <c r="X167" s="2908">
        <f t="shared" si="54"/>
        <v>0</v>
      </c>
      <c r="Y167" s="2908">
        <f t="shared" si="55"/>
        <v>0</v>
      </c>
      <c r="Z167" s="955"/>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5"/>
      <c r="X168" s="2908">
        <f t="shared" si="54"/>
        <v>0</v>
      </c>
      <c r="Y168" s="2908">
        <f t="shared" si="55"/>
        <v>0</v>
      </c>
      <c r="Z168" s="955"/>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5"/>
      <c r="X169" s="2908">
        <f t="shared" si="54"/>
        <v>0</v>
      </c>
      <c r="Y169" s="2908">
        <f t="shared" si="55"/>
        <v>0</v>
      </c>
      <c r="Z169" s="955"/>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5"/>
      <c r="X170" s="2908">
        <f t="shared" si="54"/>
        <v>0</v>
      </c>
      <c r="Y170" s="2908">
        <f t="shared" si="55"/>
        <v>0</v>
      </c>
      <c r="Z170" s="955"/>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5"/>
      <c r="X171" s="2908">
        <f t="shared" si="54"/>
        <v>0</v>
      </c>
      <c r="Y171" s="2908">
        <f t="shared" si="55"/>
        <v>0</v>
      </c>
      <c r="Z171" s="955"/>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5"/>
      <c r="X172" s="2908">
        <f t="shared" si="54"/>
        <v>0</v>
      </c>
      <c r="Y172" s="2908">
        <f t="shared" si="55"/>
        <v>0</v>
      </c>
      <c r="Z172" s="955"/>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5"/>
      <c r="X173" s="2908">
        <f t="shared" si="54"/>
        <v>0</v>
      </c>
      <c r="Y173" s="2908">
        <f t="shared" si="55"/>
        <v>0</v>
      </c>
      <c r="Z173" s="955"/>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5"/>
      <c r="X174" s="2908">
        <f t="shared" si="54"/>
        <v>0</v>
      </c>
      <c r="Y174" s="2908">
        <f t="shared" si="55"/>
        <v>0</v>
      </c>
      <c r="Z174" s="955"/>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5"/>
      <c r="X175" s="2908">
        <f t="shared" si="54"/>
        <v>0</v>
      </c>
      <c r="Y175" s="2908">
        <f t="shared" si="55"/>
        <v>0</v>
      </c>
      <c r="Z175" s="955"/>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5"/>
      <c r="X176" s="2908">
        <f t="shared" si="54"/>
        <v>0</v>
      </c>
      <c r="Y176" s="2908">
        <f t="shared" si="55"/>
        <v>0</v>
      </c>
      <c r="Z176" s="955"/>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5"/>
      <c r="X177" s="2908">
        <f t="shared" si="54"/>
        <v>0</v>
      </c>
      <c r="Y177" s="2908">
        <f t="shared" si="55"/>
        <v>0</v>
      </c>
      <c r="Z177" s="955"/>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5"/>
      <c r="X178" s="2908">
        <f t="shared" si="54"/>
        <v>0</v>
      </c>
      <c r="Y178" s="2908">
        <f t="shared" si="55"/>
        <v>0</v>
      </c>
      <c r="Z178" s="955"/>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5"/>
      <c r="X179" s="2908">
        <f t="shared" si="54"/>
        <v>0</v>
      </c>
      <c r="Y179" s="2908">
        <f t="shared" si="55"/>
        <v>0</v>
      </c>
      <c r="Z179" s="955"/>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5"/>
      <c r="X180" s="2908">
        <f t="shared" si="54"/>
        <v>0</v>
      </c>
      <c r="Y180" s="2908">
        <f t="shared" si="55"/>
        <v>0</v>
      </c>
      <c r="Z180" s="955"/>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5"/>
      <c r="X181" s="2908">
        <f t="shared" si="54"/>
        <v>0</v>
      </c>
      <c r="Y181" s="2908">
        <f t="shared" si="55"/>
        <v>0</v>
      </c>
      <c r="Z181" s="955"/>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5"/>
      <c r="X182" s="2908">
        <f t="shared" si="54"/>
        <v>0</v>
      </c>
      <c r="Y182" s="2908">
        <f t="shared" si="55"/>
        <v>0</v>
      </c>
      <c r="Z182" s="955"/>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5"/>
      <c r="X183" s="2908">
        <f t="shared" si="54"/>
        <v>0</v>
      </c>
      <c r="Y183" s="2908">
        <f t="shared" si="55"/>
        <v>0</v>
      </c>
      <c r="Z183" s="955"/>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5"/>
      <c r="X184" s="2908">
        <f t="shared" si="54"/>
        <v>0</v>
      </c>
      <c r="Y184" s="2908">
        <f t="shared" si="55"/>
        <v>0</v>
      </c>
      <c r="Z184" s="955"/>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5"/>
      <c r="X185" s="2908">
        <f t="shared" si="54"/>
        <v>0</v>
      </c>
      <c r="Y185" s="2908">
        <f t="shared" si="55"/>
        <v>0</v>
      </c>
      <c r="Z185" s="955"/>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5"/>
      <c r="X186" s="2908">
        <f t="shared" si="54"/>
        <v>0</v>
      </c>
      <c r="Y186" s="2908">
        <f t="shared" si="55"/>
        <v>0</v>
      </c>
      <c r="Z186" s="955"/>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5"/>
      <c r="X187" s="2908">
        <f t="shared" si="54"/>
        <v>0</v>
      </c>
      <c r="Y187" s="2908">
        <f t="shared" si="55"/>
        <v>0</v>
      </c>
      <c r="Z187" s="955"/>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5"/>
      <c r="X188" s="2908">
        <f t="shared" si="54"/>
        <v>0</v>
      </c>
      <c r="Y188" s="2908">
        <f t="shared" si="55"/>
        <v>0</v>
      </c>
      <c r="Z188" s="955"/>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5"/>
      <c r="X189" s="2908">
        <f t="shared" si="54"/>
        <v>0</v>
      </c>
      <c r="Y189" s="2908">
        <f t="shared" si="55"/>
        <v>0</v>
      </c>
      <c r="Z189" s="955"/>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5"/>
      <c r="X190" s="2908">
        <f t="shared" si="54"/>
        <v>0</v>
      </c>
      <c r="Y190" s="2908">
        <f t="shared" si="55"/>
        <v>0</v>
      </c>
      <c r="Z190" s="955"/>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5"/>
      <c r="X191" s="2908">
        <f t="shared" si="54"/>
        <v>0</v>
      </c>
      <c r="Y191" s="2908">
        <f t="shared" si="55"/>
        <v>0</v>
      </c>
      <c r="Z191" s="955"/>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5"/>
      <c r="X192" s="2908">
        <f t="shared" si="54"/>
        <v>0</v>
      </c>
      <c r="Y192" s="2908">
        <f t="shared" si="55"/>
        <v>0</v>
      </c>
      <c r="Z192" s="955"/>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5"/>
      <c r="X193" s="2908">
        <f t="shared" si="54"/>
        <v>0</v>
      </c>
      <c r="Y193" s="2908">
        <f t="shared" si="55"/>
        <v>0</v>
      </c>
      <c r="Z193" s="955"/>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5"/>
      <c r="X194" s="2908">
        <f t="shared" si="54"/>
        <v>0</v>
      </c>
      <c r="Y194" s="2908">
        <f t="shared" si="55"/>
        <v>0</v>
      </c>
      <c r="Z194" s="955"/>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5"/>
      <c r="X195" s="2908">
        <f t="shared" si="54"/>
        <v>0</v>
      </c>
      <c r="Y195" s="2908">
        <f t="shared" si="55"/>
        <v>0</v>
      </c>
      <c r="Z195" s="955"/>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5"/>
      <c r="X196" s="2908">
        <f t="shared" si="54"/>
        <v>0</v>
      </c>
      <c r="Y196" s="2908">
        <f t="shared" si="55"/>
        <v>0</v>
      </c>
      <c r="Z196" s="955"/>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5"/>
      <c r="X197" s="2908">
        <f t="shared" si="54"/>
        <v>0</v>
      </c>
      <c r="Y197" s="2908">
        <f t="shared" si="55"/>
        <v>0</v>
      </c>
      <c r="Z197" s="955"/>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5"/>
      <c r="X198" s="2908">
        <f t="shared" si="54"/>
        <v>0</v>
      </c>
      <c r="Y198" s="2908">
        <f t="shared" si="55"/>
        <v>0</v>
      </c>
      <c r="Z198" s="955"/>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5"/>
      <c r="X199" s="2908">
        <f t="shared" si="54"/>
        <v>0</v>
      </c>
      <c r="Y199" s="2908">
        <f t="shared" si="55"/>
        <v>0</v>
      </c>
      <c r="Z199" s="955"/>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5"/>
      <c r="X200" s="2908">
        <f t="shared" si="54"/>
        <v>0</v>
      </c>
      <c r="Y200" s="2908">
        <f t="shared" si="55"/>
        <v>0</v>
      </c>
      <c r="Z200" s="955"/>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5"/>
      <c r="X201" s="2908">
        <f t="shared" si="54"/>
        <v>0</v>
      </c>
      <c r="Y201" s="2908">
        <f t="shared" si="55"/>
        <v>0</v>
      </c>
      <c r="Z201" s="955"/>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5"/>
      <c r="X202" s="2908">
        <f t="shared" si="54"/>
        <v>0</v>
      </c>
      <c r="Y202" s="2908">
        <f t="shared" si="55"/>
        <v>0</v>
      </c>
      <c r="Z202" s="955"/>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5"/>
      <c r="X203" s="2908">
        <f t="shared" si="54"/>
        <v>0</v>
      </c>
      <c r="Y203" s="2908">
        <f t="shared" si="55"/>
        <v>0</v>
      </c>
      <c r="Z203" s="955"/>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5"/>
      <c r="X204" s="2908">
        <f t="shared" si="54"/>
        <v>0</v>
      </c>
      <c r="Y204" s="2908">
        <f t="shared" si="55"/>
        <v>0</v>
      </c>
      <c r="Z204" s="955"/>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5"/>
      <c r="X205" s="2908">
        <f t="shared" si="54"/>
        <v>0</v>
      </c>
      <c r="Y205" s="2908">
        <f t="shared" si="55"/>
        <v>0</v>
      </c>
      <c r="Z205" s="955"/>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5"/>
      <c r="X206" s="2908">
        <f t="shared" si="54"/>
        <v>0</v>
      </c>
      <c r="Y206" s="2908">
        <f t="shared" si="55"/>
        <v>0</v>
      </c>
      <c r="Z206" s="955"/>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5"/>
      <c r="X207" s="2908">
        <f t="shared" si="54"/>
        <v>0</v>
      </c>
      <c r="Y207" s="2908">
        <f t="shared" si="55"/>
        <v>0</v>
      </c>
      <c r="Z207" s="955"/>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5"/>
      <c r="X208" s="2908">
        <f t="shared" si="54"/>
        <v>0</v>
      </c>
      <c r="Y208" s="2908">
        <f t="shared" si="55"/>
        <v>0</v>
      </c>
      <c r="Z208" s="955"/>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5"/>
      <c r="X209" s="2908">
        <f t="shared" si="54"/>
        <v>0</v>
      </c>
      <c r="Y209" s="2908">
        <f t="shared" si="55"/>
        <v>0</v>
      </c>
      <c r="Z209" s="955"/>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5"/>
      <c r="X210" s="2908">
        <f t="shared" si="54"/>
        <v>0</v>
      </c>
      <c r="Y210" s="2908">
        <f t="shared" si="55"/>
        <v>0</v>
      </c>
      <c r="Z210" s="955"/>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5"/>
      <c r="X211" s="2908">
        <f t="shared" si="54"/>
        <v>0</v>
      </c>
      <c r="Y211" s="2908">
        <f t="shared" si="55"/>
        <v>0</v>
      </c>
      <c r="Z211" s="955"/>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5"/>
      <c r="X212" s="2908">
        <f t="shared" si="54"/>
        <v>0</v>
      </c>
      <c r="Y212" s="2908">
        <f t="shared" si="55"/>
        <v>0</v>
      </c>
      <c r="Z212" s="955"/>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5"/>
      <c r="X213" s="2908">
        <f t="shared" si="54"/>
        <v>0</v>
      </c>
      <c r="Y213" s="2908">
        <f t="shared" si="55"/>
        <v>0</v>
      </c>
      <c r="Z213" s="955"/>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5"/>
      <c r="X214" s="2908">
        <f t="shared" si="54"/>
        <v>0</v>
      </c>
      <c r="Y214" s="2908">
        <f t="shared" si="55"/>
        <v>0</v>
      </c>
      <c r="Z214" s="955"/>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5"/>
      <c r="X215" s="2908">
        <f t="shared" si="54"/>
        <v>0</v>
      </c>
      <c r="Y215" s="2908">
        <f t="shared" si="55"/>
        <v>0</v>
      </c>
      <c r="Z215" s="955"/>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5"/>
      <c r="X216" s="2908">
        <f t="shared" si="54"/>
        <v>0</v>
      </c>
      <c r="Y216" s="2908">
        <f t="shared" si="55"/>
        <v>0</v>
      </c>
      <c r="Z216" s="955"/>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5"/>
      <c r="X217" s="2908">
        <f t="shared" si="54"/>
        <v>0</v>
      </c>
      <c r="Y217" s="2908">
        <f t="shared" si="55"/>
        <v>0</v>
      </c>
      <c r="Z217" s="955"/>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5"/>
      <c r="X218" s="2908">
        <f t="shared" si="54"/>
        <v>0</v>
      </c>
      <c r="Y218" s="2908">
        <f t="shared" si="55"/>
        <v>0</v>
      </c>
      <c r="Z218" s="955"/>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5"/>
      <c r="X219" s="2908">
        <f t="shared" si="54"/>
        <v>0</v>
      </c>
      <c r="Y219" s="2908">
        <f t="shared" si="55"/>
        <v>0</v>
      </c>
      <c r="Z219" s="955"/>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5"/>
      <c r="X220" s="2908">
        <f t="shared" ref="X220:X283" si="69">ROUND(Z220*B220,0)</f>
        <v>0</v>
      </c>
      <c r="Y220" s="2908">
        <f t="shared" ref="Y220:Y283" si="70">ROUND(Z220*B220/10000,0)</f>
        <v>0</v>
      </c>
      <c r="Z220" s="955"/>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5"/>
      <c r="X221" s="2908">
        <f t="shared" si="69"/>
        <v>0</v>
      </c>
      <c r="Y221" s="2908">
        <f t="shared" si="70"/>
        <v>0</v>
      </c>
      <c r="Z221" s="955"/>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5"/>
      <c r="X222" s="2908">
        <f t="shared" si="69"/>
        <v>0</v>
      </c>
      <c r="Y222" s="2908">
        <f t="shared" si="70"/>
        <v>0</v>
      </c>
      <c r="Z222" s="955"/>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5"/>
      <c r="X223" s="2908">
        <f t="shared" si="69"/>
        <v>0</v>
      </c>
      <c r="Y223" s="2908">
        <f t="shared" si="70"/>
        <v>0</v>
      </c>
      <c r="Z223" s="955"/>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5"/>
      <c r="X224" s="2908">
        <f t="shared" si="69"/>
        <v>0</v>
      </c>
      <c r="Y224" s="2908">
        <f t="shared" si="70"/>
        <v>0</v>
      </c>
      <c r="Z224" s="955"/>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5"/>
      <c r="X225" s="2908">
        <f t="shared" si="69"/>
        <v>0</v>
      </c>
      <c r="Y225" s="2908">
        <f t="shared" si="70"/>
        <v>0</v>
      </c>
      <c r="Z225" s="955"/>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5"/>
      <c r="X226" s="2908">
        <f t="shared" si="69"/>
        <v>0</v>
      </c>
      <c r="Y226" s="2908">
        <f t="shared" si="70"/>
        <v>0</v>
      </c>
      <c r="Z226" s="955"/>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5"/>
      <c r="X227" s="2908">
        <f t="shared" si="69"/>
        <v>0</v>
      </c>
      <c r="Y227" s="2908">
        <f t="shared" si="70"/>
        <v>0</v>
      </c>
      <c r="Z227" s="955"/>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5"/>
      <c r="X228" s="2908">
        <f t="shared" si="69"/>
        <v>0</v>
      </c>
      <c r="Y228" s="2908">
        <f t="shared" si="70"/>
        <v>0</v>
      </c>
      <c r="Z228" s="955"/>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5"/>
      <c r="X229" s="2908">
        <f t="shared" si="69"/>
        <v>0</v>
      </c>
      <c r="Y229" s="2908">
        <f t="shared" si="70"/>
        <v>0</v>
      </c>
      <c r="Z229" s="955"/>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5"/>
      <c r="X230" s="2908">
        <f t="shared" si="69"/>
        <v>0</v>
      </c>
      <c r="Y230" s="2908">
        <f t="shared" si="70"/>
        <v>0</v>
      </c>
      <c r="Z230" s="955"/>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5"/>
      <c r="X231" s="2908">
        <f t="shared" si="69"/>
        <v>0</v>
      </c>
      <c r="Y231" s="2908">
        <f t="shared" si="70"/>
        <v>0</v>
      </c>
      <c r="Z231" s="955"/>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5"/>
      <c r="X232" s="2908">
        <f t="shared" si="69"/>
        <v>0</v>
      </c>
      <c r="Y232" s="2908">
        <f t="shared" si="70"/>
        <v>0</v>
      </c>
      <c r="Z232" s="955"/>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5"/>
      <c r="X233" s="2908">
        <f t="shared" si="69"/>
        <v>0</v>
      </c>
      <c r="Y233" s="2908">
        <f t="shared" si="70"/>
        <v>0</v>
      </c>
      <c r="Z233" s="955"/>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5"/>
      <c r="X234" s="2908">
        <f t="shared" si="69"/>
        <v>0</v>
      </c>
      <c r="Y234" s="2908">
        <f t="shared" si="70"/>
        <v>0</v>
      </c>
      <c r="Z234" s="955"/>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5"/>
      <c r="X235" s="2908">
        <f t="shared" si="69"/>
        <v>0</v>
      </c>
      <c r="Y235" s="2908">
        <f t="shared" si="70"/>
        <v>0</v>
      </c>
      <c r="Z235" s="955"/>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5"/>
      <c r="X236" s="2908">
        <f t="shared" si="69"/>
        <v>0</v>
      </c>
      <c r="Y236" s="2908">
        <f t="shared" si="70"/>
        <v>0</v>
      </c>
      <c r="Z236" s="955"/>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5"/>
      <c r="X237" s="2908">
        <f t="shared" si="69"/>
        <v>0</v>
      </c>
      <c r="Y237" s="2908">
        <f t="shared" si="70"/>
        <v>0</v>
      </c>
      <c r="Z237" s="955"/>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5"/>
      <c r="X238" s="2908">
        <f t="shared" si="69"/>
        <v>0</v>
      </c>
      <c r="Y238" s="2908">
        <f t="shared" si="70"/>
        <v>0</v>
      </c>
      <c r="Z238" s="955"/>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5"/>
      <c r="X239" s="2908">
        <f t="shared" si="69"/>
        <v>0</v>
      </c>
      <c r="Y239" s="2908">
        <f t="shared" si="70"/>
        <v>0</v>
      </c>
      <c r="Z239" s="955"/>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5"/>
      <c r="X240" s="2908">
        <f t="shared" si="69"/>
        <v>0</v>
      </c>
      <c r="Y240" s="2908">
        <f t="shared" si="70"/>
        <v>0</v>
      </c>
      <c r="Z240" s="955"/>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5"/>
      <c r="X241" s="2908">
        <f t="shared" si="69"/>
        <v>0</v>
      </c>
      <c r="Y241" s="2908">
        <f t="shared" si="70"/>
        <v>0</v>
      </c>
      <c r="Z241" s="955"/>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5"/>
      <c r="X242" s="2908">
        <f t="shared" si="69"/>
        <v>0</v>
      </c>
      <c r="Y242" s="2908">
        <f t="shared" si="70"/>
        <v>0</v>
      </c>
      <c r="Z242" s="955"/>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5"/>
      <c r="X243" s="2908">
        <f t="shared" si="69"/>
        <v>0</v>
      </c>
      <c r="Y243" s="2908">
        <f t="shared" si="70"/>
        <v>0</v>
      </c>
      <c r="Z243" s="955"/>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5"/>
      <c r="X244" s="2908">
        <f t="shared" si="69"/>
        <v>0</v>
      </c>
      <c r="Y244" s="2908">
        <f t="shared" si="70"/>
        <v>0</v>
      </c>
      <c r="Z244" s="955"/>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5"/>
      <c r="X245" s="2908">
        <f t="shared" si="69"/>
        <v>0</v>
      </c>
      <c r="Y245" s="2908">
        <f t="shared" si="70"/>
        <v>0</v>
      </c>
      <c r="Z245" s="955"/>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5"/>
      <c r="X246" s="2908">
        <f t="shared" si="69"/>
        <v>0</v>
      </c>
      <c r="Y246" s="2908">
        <f t="shared" si="70"/>
        <v>0</v>
      </c>
      <c r="Z246" s="955"/>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5"/>
      <c r="X247" s="2908">
        <f t="shared" si="69"/>
        <v>0</v>
      </c>
      <c r="Y247" s="2908">
        <f t="shared" si="70"/>
        <v>0</v>
      </c>
      <c r="Z247" s="955"/>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5"/>
      <c r="X248" s="2908">
        <f t="shared" si="69"/>
        <v>0</v>
      </c>
      <c r="Y248" s="2908">
        <f t="shared" si="70"/>
        <v>0</v>
      </c>
      <c r="Z248" s="955"/>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5"/>
      <c r="X249" s="2908">
        <f t="shared" si="69"/>
        <v>0</v>
      </c>
      <c r="Y249" s="2908">
        <f t="shared" si="70"/>
        <v>0</v>
      </c>
      <c r="Z249" s="955"/>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5"/>
      <c r="X250" s="2908">
        <f t="shared" si="69"/>
        <v>0</v>
      </c>
      <c r="Y250" s="2908">
        <f t="shared" si="70"/>
        <v>0</v>
      </c>
      <c r="Z250" s="955"/>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5"/>
      <c r="X251" s="2908">
        <f t="shared" si="69"/>
        <v>0</v>
      </c>
      <c r="Y251" s="2908">
        <f t="shared" si="70"/>
        <v>0</v>
      </c>
      <c r="Z251" s="955"/>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5"/>
      <c r="X252" s="2908">
        <f t="shared" si="69"/>
        <v>0</v>
      </c>
      <c r="Y252" s="2908">
        <f t="shared" si="70"/>
        <v>0</v>
      </c>
      <c r="Z252" s="955"/>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5"/>
      <c r="X253" s="2908">
        <f t="shared" si="69"/>
        <v>0</v>
      </c>
      <c r="Y253" s="2908">
        <f t="shared" si="70"/>
        <v>0</v>
      </c>
      <c r="Z253" s="955"/>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5"/>
      <c r="X254" s="2908">
        <f t="shared" si="69"/>
        <v>0</v>
      </c>
      <c r="Y254" s="2908">
        <f t="shared" si="70"/>
        <v>0</v>
      </c>
      <c r="Z254" s="955"/>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5"/>
      <c r="X255" s="2908">
        <f t="shared" si="69"/>
        <v>0</v>
      </c>
      <c r="Y255" s="2908">
        <f t="shared" si="70"/>
        <v>0</v>
      </c>
      <c r="Z255" s="955"/>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5"/>
      <c r="X256" s="2908">
        <f t="shared" si="69"/>
        <v>0</v>
      </c>
      <c r="Y256" s="2908">
        <f t="shared" si="70"/>
        <v>0</v>
      </c>
      <c r="Z256" s="955"/>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5"/>
      <c r="X257" s="2908">
        <f t="shared" si="69"/>
        <v>0</v>
      </c>
      <c r="Y257" s="2908">
        <f t="shared" si="70"/>
        <v>0</v>
      </c>
      <c r="Z257" s="955"/>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5"/>
      <c r="X258" s="2908">
        <f t="shared" si="69"/>
        <v>0</v>
      </c>
      <c r="Y258" s="2908">
        <f t="shared" si="70"/>
        <v>0</v>
      </c>
      <c r="Z258" s="955"/>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5"/>
      <c r="X259" s="2908">
        <f t="shared" si="69"/>
        <v>0</v>
      </c>
      <c r="Y259" s="2908">
        <f t="shared" si="70"/>
        <v>0</v>
      </c>
      <c r="Z259" s="955"/>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5"/>
      <c r="X260" s="2908">
        <f t="shared" si="69"/>
        <v>0</v>
      </c>
      <c r="Y260" s="2908">
        <f t="shared" si="70"/>
        <v>0</v>
      </c>
      <c r="Z260" s="955"/>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5"/>
      <c r="X261" s="2908">
        <f t="shared" si="69"/>
        <v>0</v>
      </c>
      <c r="Y261" s="2908">
        <f t="shared" si="70"/>
        <v>0</v>
      </c>
      <c r="Z261" s="955"/>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5"/>
      <c r="X262" s="2908">
        <f t="shared" si="69"/>
        <v>0</v>
      </c>
      <c r="Y262" s="2908">
        <f t="shared" si="70"/>
        <v>0</v>
      </c>
      <c r="Z262" s="955"/>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5"/>
      <c r="X263" s="2908">
        <f t="shared" si="69"/>
        <v>0</v>
      </c>
      <c r="Y263" s="2908">
        <f t="shared" si="70"/>
        <v>0</v>
      </c>
      <c r="Z263" s="955"/>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5"/>
      <c r="X264" s="2908">
        <f t="shared" si="69"/>
        <v>0</v>
      </c>
      <c r="Y264" s="2908">
        <f t="shared" si="70"/>
        <v>0</v>
      </c>
      <c r="Z264" s="955"/>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5"/>
      <c r="X265" s="2908">
        <f t="shared" si="69"/>
        <v>0</v>
      </c>
      <c r="Y265" s="2908">
        <f t="shared" si="70"/>
        <v>0</v>
      </c>
      <c r="Z265" s="955"/>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5"/>
      <c r="X266" s="2908">
        <f t="shared" si="69"/>
        <v>0</v>
      </c>
      <c r="Y266" s="2908">
        <f t="shared" si="70"/>
        <v>0</v>
      </c>
      <c r="Z266" s="955"/>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5"/>
      <c r="X267" s="2908">
        <f t="shared" si="69"/>
        <v>0</v>
      </c>
      <c r="Y267" s="2908">
        <f t="shared" si="70"/>
        <v>0</v>
      </c>
      <c r="Z267" s="955"/>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5"/>
      <c r="X268" s="2908">
        <f t="shared" si="69"/>
        <v>0</v>
      </c>
      <c r="Y268" s="2908">
        <f t="shared" si="70"/>
        <v>0</v>
      </c>
      <c r="Z268" s="955"/>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5"/>
      <c r="X269" s="2908">
        <f t="shared" si="69"/>
        <v>0</v>
      </c>
      <c r="Y269" s="2908">
        <f t="shared" si="70"/>
        <v>0</v>
      </c>
      <c r="Z269" s="955"/>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5"/>
      <c r="X270" s="2908">
        <f t="shared" si="69"/>
        <v>0</v>
      </c>
      <c r="Y270" s="2908">
        <f t="shared" si="70"/>
        <v>0</v>
      </c>
      <c r="Z270" s="955"/>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5"/>
      <c r="X271" s="2908">
        <f t="shared" si="69"/>
        <v>0</v>
      </c>
      <c r="Y271" s="2908">
        <f t="shared" si="70"/>
        <v>0</v>
      </c>
      <c r="Z271" s="955"/>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5"/>
      <c r="X272" s="2908">
        <f t="shared" si="69"/>
        <v>0</v>
      </c>
      <c r="Y272" s="2908">
        <f t="shared" si="70"/>
        <v>0</v>
      </c>
      <c r="Z272" s="955"/>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5"/>
      <c r="X273" s="2908">
        <f t="shared" si="69"/>
        <v>0</v>
      </c>
      <c r="Y273" s="2908">
        <f t="shared" si="70"/>
        <v>0</v>
      </c>
      <c r="Z273" s="955"/>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5"/>
      <c r="X274" s="2908">
        <f t="shared" si="69"/>
        <v>0</v>
      </c>
      <c r="Y274" s="2908">
        <f t="shared" si="70"/>
        <v>0</v>
      </c>
      <c r="Z274" s="955"/>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5"/>
      <c r="X275" s="2908">
        <f t="shared" si="69"/>
        <v>0</v>
      </c>
      <c r="Y275" s="2908">
        <f t="shared" si="70"/>
        <v>0</v>
      </c>
      <c r="Z275" s="955"/>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5"/>
      <c r="X276" s="2908">
        <f t="shared" si="69"/>
        <v>0</v>
      </c>
      <c r="Y276" s="2908">
        <f t="shared" si="70"/>
        <v>0</v>
      </c>
      <c r="Z276" s="955"/>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5"/>
      <c r="X277" s="2908">
        <f t="shared" si="69"/>
        <v>0</v>
      </c>
      <c r="Y277" s="2908">
        <f t="shared" si="70"/>
        <v>0</v>
      </c>
      <c r="Z277" s="955"/>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5"/>
      <c r="X278" s="2908">
        <f t="shared" si="69"/>
        <v>0</v>
      </c>
      <c r="Y278" s="2908">
        <f t="shared" si="70"/>
        <v>0</v>
      </c>
      <c r="Z278" s="955"/>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5"/>
      <c r="X279" s="2908">
        <f t="shared" si="69"/>
        <v>0</v>
      </c>
      <c r="Y279" s="2908">
        <f t="shared" si="70"/>
        <v>0</v>
      </c>
      <c r="Z279" s="955"/>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5"/>
      <c r="X280" s="2908">
        <f t="shared" si="69"/>
        <v>0</v>
      </c>
      <c r="Y280" s="2908">
        <f t="shared" si="70"/>
        <v>0</v>
      </c>
      <c r="Z280" s="955"/>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5"/>
      <c r="X281" s="2908">
        <f t="shared" si="69"/>
        <v>0</v>
      </c>
      <c r="Y281" s="2908">
        <f t="shared" si="70"/>
        <v>0</v>
      </c>
      <c r="Z281" s="955"/>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5"/>
      <c r="X282" s="2908">
        <f t="shared" si="69"/>
        <v>0</v>
      </c>
      <c r="Y282" s="2908">
        <f t="shared" si="70"/>
        <v>0</v>
      </c>
      <c r="Z282" s="955"/>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5"/>
      <c r="X283" s="2908">
        <f t="shared" si="69"/>
        <v>0</v>
      </c>
      <c r="Y283" s="2908">
        <f t="shared" si="70"/>
        <v>0</v>
      </c>
      <c r="Z283" s="955"/>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5"/>
      <c r="X284" s="2908">
        <f t="shared" ref="X284:X347" si="84">ROUND(Z284*B284,0)</f>
        <v>0</v>
      </c>
      <c r="Y284" s="2908">
        <f t="shared" ref="Y284:Y347" si="85">ROUND(Z284*B284/10000,0)</f>
        <v>0</v>
      </c>
      <c r="Z284" s="955"/>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5"/>
      <c r="X285" s="2908">
        <f t="shared" si="84"/>
        <v>0</v>
      </c>
      <c r="Y285" s="2908">
        <f t="shared" si="85"/>
        <v>0</v>
      </c>
      <c r="Z285" s="955"/>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5"/>
      <c r="X286" s="2908">
        <f t="shared" si="84"/>
        <v>0</v>
      </c>
      <c r="Y286" s="2908">
        <f t="shared" si="85"/>
        <v>0</v>
      </c>
      <c r="Z286" s="955"/>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5"/>
      <c r="X287" s="2908">
        <f t="shared" si="84"/>
        <v>0</v>
      </c>
      <c r="Y287" s="2908">
        <f t="shared" si="85"/>
        <v>0</v>
      </c>
      <c r="Z287" s="955"/>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5"/>
      <c r="X288" s="2908">
        <f t="shared" si="84"/>
        <v>0</v>
      </c>
      <c r="Y288" s="2908">
        <f t="shared" si="85"/>
        <v>0</v>
      </c>
      <c r="Z288" s="955"/>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5"/>
      <c r="X289" s="2908">
        <f t="shared" si="84"/>
        <v>0</v>
      </c>
      <c r="Y289" s="2908">
        <f t="shared" si="85"/>
        <v>0</v>
      </c>
      <c r="Z289" s="955"/>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5"/>
      <c r="X290" s="2908">
        <f t="shared" si="84"/>
        <v>0</v>
      </c>
      <c r="Y290" s="2908">
        <f t="shared" si="85"/>
        <v>0</v>
      </c>
      <c r="Z290" s="955"/>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5"/>
      <c r="X291" s="2908">
        <f t="shared" si="84"/>
        <v>0</v>
      </c>
      <c r="Y291" s="2908">
        <f t="shared" si="85"/>
        <v>0</v>
      </c>
      <c r="Z291" s="955"/>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5"/>
      <c r="X292" s="2908">
        <f t="shared" si="84"/>
        <v>0</v>
      </c>
      <c r="Y292" s="2908">
        <f t="shared" si="85"/>
        <v>0</v>
      </c>
      <c r="Z292" s="955"/>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5"/>
      <c r="X293" s="2908">
        <f t="shared" si="84"/>
        <v>0</v>
      </c>
      <c r="Y293" s="2908">
        <f t="shared" si="85"/>
        <v>0</v>
      </c>
      <c r="Z293" s="955"/>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5"/>
      <c r="X294" s="2908">
        <f t="shared" si="84"/>
        <v>0</v>
      </c>
      <c r="Y294" s="2908">
        <f t="shared" si="85"/>
        <v>0</v>
      </c>
      <c r="Z294" s="955"/>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5"/>
      <c r="X295" s="2908">
        <f t="shared" si="84"/>
        <v>0</v>
      </c>
      <c r="Y295" s="2908">
        <f t="shared" si="85"/>
        <v>0</v>
      </c>
      <c r="Z295" s="955"/>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5"/>
      <c r="X296" s="2908">
        <f t="shared" si="84"/>
        <v>0</v>
      </c>
      <c r="Y296" s="2908">
        <f t="shared" si="85"/>
        <v>0</v>
      </c>
      <c r="Z296" s="955"/>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5"/>
      <c r="X297" s="2908">
        <f t="shared" si="84"/>
        <v>0</v>
      </c>
      <c r="Y297" s="2908">
        <f t="shared" si="85"/>
        <v>0</v>
      </c>
      <c r="Z297" s="955"/>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5"/>
      <c r="X298" s="2908">
        <f t="shared" si="84"/>
        <v>0</v>
      </c>
      <c r="Y298" s="2908">
        <f t="shared" si="85"/>
        <v>0</v>
      </c>
      <c r="Z298" s="955"/>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5"/>
      <c r="X299" s="2908">
        <f t="shared" si="84"/>
        <v>0</v>
      </c>
      <c r="Y299" s="2908">
        <f t="shared" si="85"/>
        <v>0</v>
      </c>
      <c r="Z299" s="955"/>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5"/>
      <c r="X300" s="2908">
        <f t="shared" si="84"/>
        <v>0</v>
      </c>
      <c r="Y300" s="2908">
        <f t="shared" si="85"/>
        <v>0</v>
      </c>
      <c r="Z300" s="955"/>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5"/>
      <c r="X301" s="2908">
        <f t="shared" si="84"/>
        <v>0</v>
      </c>
      <c r="Y301" s="2908">
        <f t="shared" si="85"/>
        <v>0</v>
      </c>
      <c r="Z301" s="955"/>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5"/>
      <c r="X302" s="2908">
        <f t="shared" si="84"/>
        <v>0</v>
      </c>
      <c r="Y302" s="2908">
        <f t="shared" si="85"/>
        <v>0</v>
      </c>
      <c r="Z302" s="955"/>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5"/>
      <c r="X303" s="2908">
        <f t="shared" si="84"/>
        <v>0</v>
      </c>
      <c r="Y303" s="2908">
        <f t="shared" si="85"/>
        <v>0</v>
      </c>
      <c r="Z303" s="955"/>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5"/>
      <c r="X304" s="2908">
        <f t="shared" si="84"/>
        <v>0</v>
      </c>
      <c r="Y304" s="2908">
        <f t="shared" si="85"/>
        <v>0</v>
      </c>
      <c r="Z304" s="955"/>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5"/>
      <c r="X305" s="2908">
        <f t="shared" si="84"/>
        <v>0</v>
      </c>
      <c r="Y305" s="2908">
        <f t="shared" si="85"/>
        <v>0</v>
      </c>
      <c r="Z305" s="955"/>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5"/>
      <c r="X306" s="2908">
        <f t="shared" si="84"/>
        <v>0</v>
      </c>
      <c r="Y306" s="2908">
        <f t="shared" si="85"/>
        <v>0</v>
      </c>
      <c r="Z306" s="955"/>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5"/>
      <c r="X307" s="2908">
        <f t="shared" si="84"/>
        <v>0</v>
      </c>
      <c r="Y307" s="2908">
        <f t="shared" si="85"/>
        <v>0</v>
      </c>
      <c r="Z307" s="955"/>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5"/>
      <c r="X308" s="2908">
        <f t="shared" si="84"/>
        <v>0</v>
      </c>
      <c r="Y308" s="2908">
        <f t="shared" si="85"/>
        <v>0</v>
      </c>
      <c r="Z308" s="955"/>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5"/>
      <c r="X309" s="2908">
        <f t="shared" si="84"/>
        <v>0</v>
      </c>
      <c r="Y309" s="2908">
        <f t="shared" si="85"/>
        <v>0</v>
      </c>
      <c r="Z309" s="955"/>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5"/>
      <c r="X310" s="2908">
        <f t="shared" si="84"/>
        <v>0</v>
      </c>
      <c r="Y310" s="2908">
        <f t="shared" si="85"/>
        <v>0</v>
      </c>
      <c r="Z310" s="955"/>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5"/>
      <c r="X311" s="2908">
        <f t="shared" si="84"/>
        <v>0</v>
      </c>
      <c r="Y311" s="2908">
        <f t="shared" si="85"/>
        <v>0</v>
      </c>
      <c r="Z311" s="955"/>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5"/>
      <c r="X312" s="2908">
        <f t="shared" si="84"/>
        <v>0</v>
      </c>
      <c r="Y312" s="2908">
        <f t="shared" si="85"/>
        <v>0</v>
      </c>
      <c r="Z312" s="955"/>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5"/>
      <c r="X313" s="2908">
        <f t="shared" si="84"/>
        <v>0</v>
      </c>
      <c r="Y313" s="2908">
        <f t="shared" si="85"/>
        <v>0</v>
      </c>
      <c r="Z313" s="955"/>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5"/>
      <c r="X314" s="2908">
        <f t="shared" si="84"/>
        <v>0</v>
      </c>
      <c r="Y314" s="2908">
        <f t="shared" si="85"/>
        <v>0</v>
      </c>
      <c r="Z314" s="955"/>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5"/>
      <c r="X315" s="2908">
        <f t="shared" si="84"/>
        <v>0</v>
      </c>
      <c r="Y315" s="2908">
        <f t="shared" si="85"/>
        <v>0</v>
      </c>
      <c r="Z315" s="955"/>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5"/>
      <c r="X316" s="2908">
        <f t="shared" si="84"/>
        <v>0</v>
      </c>
      <c r="Y316" s="2908">
        <f t="shared" si="85"/>
        <v>0</v>
      </c>
      <c r="Z316" s="955"/>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5"/>
      <c r="X317" s="2908">
        <f t="shared" si="84"/>
        <v>0</v>
      </c>
      <c r="Y317" s="2908">
        <f t="shared" si="85"/>
        <v>0</v>
      </c>
      <c r="Z317" s="955"/>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5"/>
      <c r="X318" s="2908">
        <f t="shared" si="84"/>
        <v>0</v>
      </c>
      <c r="Y318" s="2908">
        <f t="shared" si="85"/>
        <v>0</v>
      </c>
      <c r="Z318" s="955"/>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5"/>
      <c r="X319" s="2908">
        <f t="shared" si="84"/>
        <v>0</v>
      </c>
      <c r="Y319" s="2908">
        <f t="shared" si="85"/>
        <v>0</v>
      </c>
      <c r="Z319" s="955"/>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5"/>
      <c r="X320" s="2908">
        <f t="shared" si="84"/>
        <v>0</v>
      </c>
      <c r="Y320" s="2908">
        <f t="shared" si="85"/>
        <v>0</v>
      </c>
      <c r="Z320" s="955"/>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5"/>
      <c r="X321" s="2908">
        <f t="shared" si="84"/>
        <v>0</v>
      </c>
      <c r="Y321" s="2908">
        <f t="shared" si="85"/>
        <v>0</v>
      </c>
      <c r="Z321" s="955"/>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5"/>
      <c r="X322" s="2908">
        <f t="shared" si="84"/>
        <v>0</v>
      </c>
      <c r="Y322" s="2908">
        <f t="shared" si="85"/>
        <v>0</v>
      </c>
      <c r="Z322" s="955"/>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5"/>
      <c r="X323" s="2908">
        <f t="shared" si="84"/>
        <v>0</v>
      </c>
      <c r="Y323" s="2908">
        <f t="shared" si="85"/>
        <v>0</v>
      </c>
      <c r="Z323" s="955"/>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5"/>
      <c r="X324" s="2908">
        <f t="shared" si="84"/>
        <v>0</v>
      </c>
      <c r="Y324" s="2908">
        <f t="shared" si="85"/>
        <v>0</v>
      </c>
      <c r="Z324" s="955"/>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5"/>
      <c r="X325" s="2908">
        <f t="shared" si="84"/>
        <v>0</v>
      </c>
      <c r="Y325" s="2908">
        <f t="shared" si="85"/>
        <v>0</v>
      </c>
      <c r="Z325" s="955"/>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5"/>
      <c r="X326" s="2908">
        <f t="shared" si="84"/>
        <v>0</v>
      </c>
      <c r="Y326" s="2908">
        <f t="shared" si="85"/>
        <v>0</v>
      </c>
      <c r="Z326" s="955"/>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5"/>
      <c r="X327" s="2908">
        <f t="shared" si="84"/>
        <v>0</v>
      </c>
      <c r="Y327" s="2908">
        <f t="shared" si="85"/>
        <v>0</v>
      </c>
      <c r="Z327" s="955"/>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5"/>
      <c r="X328" s="2908">
        <f t="shared" si="84"/>
        <v>0</v>
      </c>
      <c r="Y328" s="2908">
        <f t="shared" si="85"/>
        <v>0</v>
      </c>
      <c r="Z328" s="955"/>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5"/>
      <c r="X329" s="2908">
        <f t="shared" si="84"/>
        <v>0</v>
      </c>
      <c r="Y329" s="2908">
        <f t="shared" si="85"/>
        <v>0</v>
      </c>
      <c r="Z329" s="955"/>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5"/>
      <c r="X330" s="2908">
        <f t="shared" si="84"/>
        <v>0</v>
      </c>
      <c r="Y330" s="2908">
        <f t="shared" si="85"/>
        <v>0</v>
      </c>
      <c r="Z330" s="955"/>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5"/>
      <c r="X331" s="2908">
        <f t="shared" si="84"/>
        <v>0</v>
      </c>
      <c r="Y331" s="2908">
        <f t="shared" si="85"/>
        <v>0</v>
      </c>
      <c r="Z331" s="955"/>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5"/>
      <c r="X332" s="2908">
        <f t="shared" si="84"/>
        <v>0</v>
      </c>
      <c r="Y332" s="2908">
        <f t="shared" si="85"/>
        <v>0</v>
      </c>
      <c r="Z332" s="955"/>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5"/>
      <c r="X333" s="2908">
        <f t="shared" si="84"/>
        <v>0</v>
      </c>
      <c r="Y333" s="2908">
        <f t="shared" si="85"/>
        <v>0</v>
      </c>
      <c r="Z333" s="955"/>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5"/>
      <c r="X334" s="2908">
        <f t="shared" si="84"/>
        <v>0</v>
      </c>
      <c r="Y334" s="2908">
        <f t="shared" si="85"/>
        <v>0</v>
      </c>
      <c r="Z334" s="955"/>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5"/>
      <c r="X335" s="2908">
        <f t="shared" si="84"/>
        <v>0</v>
      </c>
      <c r="Y335" s="2908">
        <f t="shared" si="85"/>
        <v>0</v>
      </c>
      <c r="Z335" s="955"/>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5"/>
      <c r="X336" s="2908">
        <f t="shared" si="84"/>
        <v>0</v>
      </c>
      <c r="Y336" s="2908">
        <f t="shared" si="85"/>
        <v>0</v>
      </c>
      <c r="Z336" s="955"/>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5"/>
      <c r="X337" s="2908">
        <f t="shared" si="84"/>
        <v>0</v>
      </c>
      <c r="Y337" s="2908">
        <f t="shared" si="85"/>
        <v>0</v>
      </c>
      <c r="Z337" s="955"/>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5"/>
      <c r="X338" s="2908">
        <f t="shared" si="84"/>
        <v>0</v>
      </c>
      <c r="Y338" s="2908">
        <f t="shared" si="85"/>
        <v>0</v>
      </c>
      <c r="Z338" s="955"/>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5"/>
      <c r="X339" s="2908">
        <f t="shared" si="84"/>
        <v>0</v>
      </c>
      <c r="Y339" s="2908">
        <f t="shared" si="85"/>
        <v>0</v>
      </c>
      <c r="Z339" s="955"/>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5"/>
      <c r="X340" s="2908">
        <f t="shared" si="84"/>
        <v>0</v>
      </c>
      <c r="Y340" s="2908">
        <f t="shared" si="85"/>
        <v>0</v>
      </c>
      <c r="Z340" s="955"/>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5"/>
      <c r="X341" s="2908">
        <f t="shared" si="84"/>
        <v>0</v>
      </c>
      <c r="Y341" s="2908">
        <f t="shared" si="85"/>
        <v>0</v>
      </c>
      <c r="Z341" s="955"/>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5"/>
      <c r="X342" s="2908">
        <f t="shared" si="84"/>
        <v>0</v>
      </c>
      <c r="Y342" s="2908">
        <f t="shared" si="85"/>
        <v>0</v>
      </c>
      <c r="Z342" s="955"/>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5"/>
      <c r="X343" s="2908">
        <f t="shared" si="84"/>
        <v>0</v>
      </c>
      <c r="Y343" s="2908">
        <f t="shared" si="85"/>
        <v>0</v>
      </c>
      <c r="Z343" s="955"/>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5"/>
      <c r="X344" s="2908">
        <f t="shared" si="84"/>
        <v>0</v>
      </c>
      <c r="Y344" s="2908">
        <f t="shared" si="85"/>
        <v>0</v>
      </c>
      <c r="Z344" s="955"/>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5"/>
      <c r="X345" s="2908">
        <f t="shared" si="84"/>
        <v>0</v>
      </c>
      <c r="Y345" s="2908">
        <f t="shared" si="85"/>
        <v>0</v>
      </c>
      <c r="Z345" s="955"/>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5"/>
      <c r="X346" s="2908">
        <f t="shared" si="84"/>
        <v>0</v>
      </c>
      <c r="Y346" s="2908">
        <f t="shared" si="85"/>
        <v>0</v>
      </c>
      <c r="Z346" s="955"/>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5"/>
      <c r="X347" s="2908">
        <f t="shared" si="84"/>
        <v>0</v>
      </c>
      <c r="Y347" s="2908">
        <f t="shared" si="85"/>
        <v>0</v>
      </c>
      <c r="Z347" s="955"/>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5"/>
      <c r="X348" s="2908">
        <f t="shared" ref="X348:X411" si="99">ROUND(Z348*B348,0)</f>
        <v>0</v>
      </c>
      <c r="Y348" s="2908">
        <f t="shared" ref="Y348:Y411" si="100">ROUND(Z348*B348/10000,0)</f>
        <v>0</v>
      </c>
      <c r="Z348" s="955"/>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5"/>
      <c r="X349" s="2908">
        <f t="shared" si="99"/>
        <v>0</v>
      </c>
      <c r="Y349" s="2908">
        <f t="shared" si="100"/>
        <v>0</v>
      </c>
      <c r="Z349" s="955"/>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5"/>
      <c r="X350" s="2908">
        <f t="shared" si="99"/>
        <v>0</v>
      </c>
      <c r="Y350" s="2908">
        <f t="shared" si="100"/>
        <v>0</v>
      </c>
      <c r="Z350" s="955"/>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5"/>
      <c r="X351" s="2908">
        <f t="shared" si="99"/>
        <v>0</v>
      </c>
      <c r="Y351" s="2908">
        <f t="shared" si="100"/>
        <v>0</v>
      </c>
      <c r="Z351" s="955"/>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5"/>
      <c r="X352" s="2908">
        <f t="shared" si="99"/>
        <v>0</v>
      </c>
      <c r="Y352" s="2908">
        <f t="shared" si="100"/>
        <v>0</v>
      </c>
      <c r="Z352" s="955"/>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5"/>
      <c r="X353" s="2908">
        <f t="shared" si="99"/>
        <v>0</v>
      </c>
      <c r="Y353" s="2908">
        <f t="shared" si="100"/>
        <v>0</v>
      </c>
      <c r="Z353" s="955"/>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5"/>
      <c r="X354" s="2908">
        <f t="shared" si="99"/>
        <v>0</v>
      </c>
      <c r="Y354" s="2908">
        <f t="shared" si="100"/>
        <v>0</v>
      </c>
      <c r="Z354" s="955"/>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5"/>
      <c r="X355" s="2908">
        <f t="shared" si="99"/>
        <v>0</v>
      </c>
      <c r="Y355" s="2908">
        <f t="shared" si="100"/>
        <v>0</v>
      </c>
      <c r="Z355" s="955"/>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5"/>
      <c r="X356" s="2908">
        <f t="shared" si="99"/>
        <v>0</v>
      </c>
      <c r="Y356" s="2908">
        <f t="shared" si="100"/>
        <v>0</v>
      </c>
      <c r="Z356" s="955"/>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5"/>
      <c r="X357" s="2908">
        <f t="shared" si="99"/>
        <v>0</v>
      </c>
      <c r="Y357" s="2908">
        <f t="shared" si="100"/>
        <v>0</v>
      </c>
      <c r="Z357" s="955"/>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5"/>
      <c r="X358" s="2908">
        <f t="shared" si="99"/>
        <v>0</v>
      </c>
      <c r="Y358" s="2908">
        <f t="shared" si="100"/>
        <v>0</v>
      </c>
      <c r="Z358" s="955"/>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5"/>
      <c r="X359" s="2908">
        <f t="shared" si="99"/>
        <v>0</v>
      </c>
      <c r="Y359" s="2908">
        <f t="shared" si="100"/>
        <v>0</v>
      </c>
      <c r="Z359" s="955"/>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5"/>
      <c r="X360" s="2908">
        <f t="shared" si="99"/>
        <v>0</v>
      </c>
      <c r="Y360" s="2908">
        <f t="shared" si="100"/>
        <v>0</v>
      </c>
      <c r="Z360" s="955"/>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5"/>
      <c r="X361" s="2908">
        <f t="shared" si="99"/>
        <v>0</v>
      </c>
      <c r="Y361" s="2908">
        <f t="shared" si="100"/>
        <v>0</v>
      </c>
      <c r="Z361" s="955"/>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5"/>
      <c r="X362" s="2908">
        <f t="shared" si="99"/>
        <v>0</v>
      </c>
      <c r="Y362" s="2908">
        <f t="shared" si="100"/>
        <v>0</v>
      </c>
      <c r="Z362" s="955"/>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5"/>
      <c r="X363" s="2908">
        <f t="shared" si="99"/>
        <v>0</v>
      </c>
      <c r="Y363" s="2908">
        <f t="shared" si="100"/>
        <v>0</v>
      </c>
      <c r="Z363" s="955"/>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5"/>
      <c r="X364" s="2908">
        <f t="shared" si="99"/>
        <v>0</v>
      </c>
      <c r="Y364" s="2908">
        <f t="shared" si="100"/>
        <v>0</v>
      </c>
      <c r="Z364" s="955"/>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5"/>
      <c r="X365" s="2908">
        <f t="shared" si="99"/>
        <v>0</v>
      </c>
      <c r="Y365" s="2908">
        <f t="shared" si="100"/>
        <v>0</v>
      </c>
      <c r="Z365" s="955"/>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5"/>
      <c r="X366" s="2908">
        <f t="shared" si="99"/>
        <v>0</v>
      </c>
      <c r="Y366" s="2908">
        <f t="shared" si="100"/>
        <v>0</v>
      </c>
      <c r="Z366" s="955"/>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5"/>
      <c r="X367" s="2908">
        <f t="shared" si="99"/>
        <v>0</v>
      </c>
      <c r="Y367" s="2908">
        <f t="shared" si="100"/>
        <v>0</v>
      </c>
      <c r="Z367" s="955"/>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5"/>
      <c r="X368" s="2908">
        <f t="shared" si="99"/>
        <v>0</v>
      </c>
      <c r="Y368" s="2908">
        <f t="shared" si="100"/>
        <v>0</v>
      </c>
      <c r="Z368" s="955"/>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5"/>
      <c r="X369" s="2908">
        <f t="shared" si="99"/>
        <v>0</v>
      </c>
      <c r="Y369" s="2908">
        <f t="shared" si="100"/>
        <v>0</v>
      </c>
      <c r="Z369" s="955"/>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5"/>
      <c r="X370" s="2908">
        <f t="shared" si="99"/>
        <v>0</v>
      </c>
      <c r="Y370" s="2908">
        <f t="shared" si="100"/>
        <v>0</v>
      </c>
      <c r="Z370" s="955"/>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5"/>
      <c r="X371" s="2908">
        <f t="shared" si="99"/>
        <v>0</v>
      </c>
      <c r="Y371" s="2908">
        <f t="shared" si="100"/>
        <v>0</v>
      </c>
      <c r="Z371" s="955"/>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5"/>
      <c r="X372" s="2908">
        <f t="shared" si="99"/>
        <v>0</v>
      </c>
      <c r="Y372" s="2908">
        <f t="shared" si="100"/>
        <v>0</v>
      </c>
      <c r="Z372" s="955"/>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5"/>
      <c r="X373" s="2908">
        <f t="shared" si="99"/>
        <v>0</v>
      </c>
      <c r="Y373" s="2908">
        <f t="shared" si="100"/>
        <v>0</v>
      </c>
      <c r="Z373" s="955"/>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5"/>
      <c r="X374" s="2908">
        <f t="shared" si="99"/>
        <v>0</v>
      </c>
      <c r="Y374" s="2908">
        <f t="shared" si="100"/>
        <v>0</v>
      </c>
      <c r="Z374" s="955"/>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5"/>
      <c r="X375" s="2908">
        <f t="shared" si="99"/>
        <v>0</v>
      </c>
      <c r="Y375" s="2908">
        <f t="shared" si="100"/>
        <v>0</v>
      </c>
      <c r="Z375" s="955"/>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5"/>
      <c r="X376" s="2908">
        <f t="shared" si="99"/>
        <v>0</v>
      </c>
      <c r="Y376" s="2908">
        <f t="shared" si="100"/>
        <v>0</v>
      </c>
      <c r="Z376" s="955"/>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5"/>
      <c r="X377" s="2908">
        <f t="shared" si="99"/>
        <v>0</v>
      </c>
      <c r="Y377" s="2908">
        <f t="shared" si="100"/>
        <v>0</v>
      </c>
      <c r="Z377" s="955"/>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5"/>
      <c r="X378" s="2908">
        <f t="shared" si="99"/>
        <v>0</v>
      </c>
      <c r="Y378" s="2908">
        <f t="shared" si="100"/>
        <v>0</v>
      </c>
      <c r="Z378" s="955"/>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5"/>
      <c r="X379" s="2908">
        <f t="shared" si="99"/>
        <v>0</v>
      </c>
      <c r="Y379" s="2908">
        <f t="shared" si="100"/>
        <v>0</v>
      </c>
      <c r="Z379" s="955"/>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5"/>
      <c r="X380" s="2908">
        <f t="shared" si="99"/>
        <v>0</v>
      </c>
      <c r="Y380" s="2908">
        <f t="shared" si="100"/>
        <v>0</v>
      </c>
      <c r="Z380" s="955"/>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5"/>
      <c r="X381" s="2908">
        <f t="shared" si="99"/>
        <v>0</v>
      </c>
      <c r="Y381" s="2908">
        <f t="shared" si="100"/>
        <v>0</v>
      </c>
      <c r="Z381" s="955"/>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5"/>
      <c r="X382" s="2908">
        <f t="shared" si="99"/>
        <v>0</v>
      </c>
      <c r="Y382" s="2908">
        <f t="shared" si="100"/>
        <v>0</v>
      </c>
      <c r="Z382" s="955"/>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5"/>
      <c r="X383" s="2908">
        <f t="shared" si="99"/>
        <v>0</v>
      </c>
      <c r="Y383" s="2908">
        <f t="shared" si="100"/>
        <v>0</v>
      </c>
      <c r="Z383" s="955"/>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5"/>
      <c r="X384" s="2908">
        <f t="shared" si="99"/>
        <v>0</v>
      </c>
      <c r="Y384" s="2908">
        <f t="shared" si="100"/>
        <v>0</v>
      </c>
      <c r="Z384" s="955"/>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5"/>
      <c r="X385" s="2908">
        <f t="shared" si="99"/>
        <v>0</v>
      </c>
      <c r="Y385" s="2908">
        <f t="shared" si="100"/>
        <v>0</v>
      </c>
      <c r="Z385" s="955"/>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5"/>
      <c r="X386" s="2908">
        <f t="shared" si="99"/>
        <v>0</v>
      </c>
      <c r="Y386" s="2908">
        <f t="shared" si="100"/>
        <v>0</v>
      </c>
      <c r="Z386" s="955"/>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5"/>
      <c r="X387" s="2908">
        <f t="shared" si="99"/>
        <v>0</v>
      </c>
      <c r="Y387" s="2908">
        <f t="shared" si="100"/>
        <v>0</v>
      </c>
      <c r="Z387" s="955"/>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5"/>
      <c r="X388" s="2908">
        <f t="shared" si="99"/>
        <v>0</v>
      </c>
      <c r="Y388" s="2908">
        <f t="shared" si="100"/>
        <v>0</v>
      </c>
      <c r="Z388" s="955"/>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5"/>
      <c r="X389" s="2908">
        <f t="shared" si="99"/>
        <v>0</v>
      </c>
      <c r="Y389" s="2908">
        <f t="shared" si="100"/>
        <v>0</v>
      </c>
      <c r="Z389" s="955"/>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5"/>
      <c r="X390" s="2908">
        <f t="shared" si="99"/>
        <v>0</v>
      </c>
      <c r="Y390" s="2908">
        <f t="shared" si="100"/>
        <v>0</v>
      </c>
      <c r="Z390" s="955"/>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5"/>
      <c r="X391" s="2908">
        <f t="shared" si="99"/>
        <v>0</v>
      </c>
      <c r="Y391" s="2908">
        <f t="shared" si="100"/>
        <v>0</v>
      </c>
      <c r="Z391" s="955"/>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5"/>
      <c r="X392" s="2908">
        <f t="shared" si="99"/>
        <v>0</v>
      </c>
      <c r="Y392" s="2908">
        <f t="shared" si="100"/>
        <v>0</v>
      </c>
      <c r="Z392" s="955"/>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5"/>
      <c r="X393" s="2908">
        <f t="shared" si="99"/>
        <v>0</v>
      </c>
      <c r="Y393" s="2908">
        <f t="shared" si="100"/>
        <v>0</v>
      </c>
      <c r="Z393" s="955"/>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5"/>
      <c r="X394" s="2908">
        <f t="shared" si="99"/>
        <v>0</v>
      </c>
      <c r="Y394" s="2908">
        <f t="shared" si="100"/>
        <v>0</v>
      </c>
      <c r="Z394" s="955"/>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5"/>
      <c r="X395" s="2908">
        <f t="shared" si="99"/>
        <v>0</v>
      </c>
      <c r="Y395" s="2908">
        <f t="shared" si="100"/>
        <v>0</v>
      </c>
      <c r="Z395" s="955"/>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5"/>
      <c r="X396" s="2908">
        <f t="shared" si="99"/>
        <v>0</v>
      </c>
      <c r="Y396" s="2908">
        <f t="shared" si="100"/>
        <v>0</v>
      </c>
      <c r="Z396" s="955"/>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5"/>
      <c r="X397" s="2908">
        <f t="shared" si="99"/>
        <v>0</v>
      </c>
      <c r="Y397" s="2908">
        <f t="shared" si="100"/>
        <v>0</v>
      </c>
      <c r="Z397" s="955"/>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5"/>
      <c r="X398" s="2908">
        <f t="shared" si="99"/>
        <v>0</v>
      </c>
      <c r="Y398" s="2908">
        <f t="shared" si="100"/>
        <v>0</v>
      </c>
      <c r="Z398" s="955"/>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5"/>
      <c r="X399" s="2908">
        <f t="shared" si="99"/>
        <v>0</v>
      </c>
      <c r="Y399" s="2908">
        <f t="shared" si="100"/>
        <v>0</v>
      </c>
      <c r="Z399" s="955"/>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5"/>
      <c r="X400" s="2908">
        <f t="shared" si="99"/>
        <v>0</v>
      </c>
      <c r="Y400" s="2908">
        <f t="shared" si="100"/>
        <v>0</v>
      </c>
      <c r="Z400" s="955"/>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5"/>
      <c r="X401" s="2908">
        <f t="shared" si="99"/>
        <v>0</v>
      </c>
      <c r="Y401" s="2908">
        <f t="shared" si="100"/>
        <v>0</v>
      </c>
      <c r="Z401" s="955"/>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5"/>
      <c r="X402" s="2908">
        <f t="shared" si="99"/>
        <v>0</v>
      </c>
      <c r="Y402" s="2908">
        <f t="shared" si="100"/>
        <v>0</v>
      </c>
      <c r="Z402" s="955"/>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5"/>
      <c r="X403" s="2908">
        <f t="shared" si="99"/>
        <v>0</v>
      </c>
      <c r="Y403" s="2908">
        <f t="shared" si="100"/>
        <v>0</v>
      </c>
      <c r="Z403" s="955"/>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5"/>
      <c r="X404" s="2908">
        <f t="shared" si="99"/>
        <v>0</v>
      </c>
      <c r="Y404" s="2908">
        <f t="shared" si="100"/>
        <v>0</v>
      </c>
      <c r="Z404" s="955"/>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5"/>
      <c r="X405" s="2908">
        <f t="shared" si="99"/>
        <v>0</v>
      </c>
      <c r="Y405" s="2908">
        <f t="shared" si="100"/>
        <v>0</v>
      </c>
      <c r="Z405" s="955"/>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5"/>
      <c r="X406" s="2908">
        <f t="shared" si="99"/>
        <v>0</v>
      </c>
      <c r="Y406" s="2908">
        <f t="shared" si="100"/>
        <v>0</v>
      </c>
      <c r="Z406" s="955"/>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5"/>
      <c r="X407" s="2908">
        <f t="shared" si="99"/>
        <v>0</v>
      </c>
      <c r="Y407" s="2908">
        <f t="shared" si="100"/>
        <v>0</v>
      </c>
      <c r="Z407" s="955"/>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5"/>
      <c r="X408" s="2908">
        <f t="shared" si="99"/>
        <v>0</v>
      </c>
      <c r="Y408" s="2908">
        <f t="shared" si="100"/>
        <v>0</v>
      </c>
      <c r="Z408" s="955"/>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5"/>
      <c r="X409" s="2908">
        <f t="shared" si="99"/>
        <v>0</v>
      </c>
      <c r="Y409" s="2908">
        <f t="shared" si="100"/>
        <v>0</v>
      </c>
      <c r="Z409" s="955"/>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5"/>
      <c r="X410" s="2908">
        <f t="shared" si="99"/>
        <v>0</v>
      </c>
      <c r="Y410" s="2908">
        <f t="shared" si="100"/>
        <v>0</v>
      </c>
      <c r="Z410" s="955"/>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5"/>
      <c r="X411" s="2908">
        <f t="shared" si="99"/>
        <v>0</v>
      </c>
      <c r="Y411" s="2908">
        <f t="shared" si="100"/>
        <v>0</v>
      </c>
      <c r="Z411" s="955"/>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5"/>
      <c r="X412" s="2908">
        <f t="shared" ref="X412:X475" si="114">ROUND(Z412*B412,0)</f>
        <v>0</v>
      </c>
      <c r="Y412" s="2908">
        <f t="shared" ref="Y412:Y475" si="115">ROUND(Z412*B412/10000,0)</f>
        <v>0</v>
      </c>
      <c r="Z412" s="955"/>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5"/>
      <c r="X413" s="2908">
        <f t="shared" si="114"/>
        <v>0</v>
      </c>
      <c r="Y413" s="2908">
        <f t="shared" si="115"/>
        <v>0</v>
      </c>
      <c r="Z413" s="955"/>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5"/>
      <c r="X414" s="2908">
        <f t="shared" si="114"/>
        <v>0</v>
      </c>
      <c r="Y414" s="2908">
        <f t="shared" si="115"/>
        <v>0</v>
      </c>
      <c r="Z414" s="955"/>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5"/>
      <c r="X415" s="2908">
        <f t="shared" si="114"/>
        <v>0</v>
      </c>
      <c r="Y415" s="2908">
        <f t="shared" si="115"/>
        <v>0</v>
      </c>
      <c r="Z415" s="955"/>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5"/>
      <c r="X416" s="2908">
        <f t="shared" si="114"/>
        <v>0</v>
      </c>
      <c r="Y416" s="2908">
        <f t="shared" si="115"/>
        <v>0</v>
      </c>
      <c r="Z416" s="955"/>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5"/>
      <c r="X417" s="2908">
        <f t="shared" si="114"/>
        <v>0</v>
      </c>
      <c r="Y417" s="2908">
        <f t="shared" si="115"/>
        <v>0</v>
      </c>
      <c r="Z417" s="955"/>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5"/>
      <c r="X418" s="2908">
        <f t="shared" si="114"/>
        <v>0</v>
      </c>
      <c r="Y418" s="2908">
        <f t="shared" si="115"/>
        <v>0</v>
      </c>
      <c r="Z418" s="955"/>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5"/>
      <c r="X419" s="2908">
        <f t="shared" si="114"/>
        <v>0</v>
      </c>
      <c r="Y419" s="2908">
        <f t="shared" si="115"/>
        <v>0</v>
      </c>
      <c r="Z419" s="955"/>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5"/>
      <c r="X420" s="2908">
        <f t="shared" si="114"/>
        <v>0</v>
      </c>
      <c r="Y420" s="2908">
        <f t="shared" si="115"/>
        <v>0</v>
      </c>
      <c r="Z420" s="955"/>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5"/>
      <c r="X421" s="2908">
        <f t="shared" si="114"/>
        <v>0</v>
      </c>
      <c r="Y421" s="2908">
        <f t="shared" si="115"/>
        <v>0</v>
      </c>
      <c r="Z421" s="955"/>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5"/>
      <c r="X422" s="2908">
        <f t="shared" si="114"/>
        <v>0</v>
      </c>
      <c r="Y422" s="2908">
        <f t="shared" si="115"/>
        <v>0</v>
      </c>
      <c r="Z422" s="955"/>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5"/>
      <c r="X423" s="2908">
        <f t="shared" si="114"/>
        <v>0</v>
      </c>
      <c r="Y423" s="2908">
        <f t="shared" si="115"/>
        <v>0</v>
      </c>
      <c r="Z423" s="955"/>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5"/>
      <c r="X424" s="2908">
        <f t="shared" si="114"/>
        <v>0</v>
      </c>
      <c r="Y424" s="2908">
        <f t="shared" si="115"/>
        <v>0</v>
      </c>
      <c r="Z424" s="955"/>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5"/>
      <c r="X425" s="2908">
        <f t="shared" si="114"/>
        <v>0</v>
      </c>
      <c r="Y425" s="2908">
        <f t="shared" si="115"/>
        <v>0</v>
      </c>
      <c r="Z425" s="955"/>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5"/>
      <c r="X426" s="2908">
        <f t="shared" si="114"/>
        <v>0</v>
      </c>
      <c r="Y426" s="2908">
        <f t="shared" si="115"/>
        <v>0</v>
      </c>
      <c r="Z426" s="955"/>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5"/>
      <c r="X427" s="2908">
        <f t="shared" si="114"/>
        <v>0</v>
      </c>
      <c r="Y427" s="2908">
        <f t="shared" si="115"/>
        <v>0</v>
      </c>
      <c r="Z427" s="955"/>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5"/>
      <c r="X428" s="2908">
        <f t="shared" si="114"/>
        <v>0</v>
      </c>
      <c r="Y428" s="2908">
        <f t="shared" si="115"/>
        <v>0</v>
      </c>
      <c r="Z428" s="955"/>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5"/>
      <c r="X429" s="2908">
        <f t="shared" si="114"/>
        <v>0</v>
      </c>
      <c r="Y429" s="2908">
        <f t="shared" si="115"/>
        <v>0</v>
      </c>
      <c r="Z429" s="955"/>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5"/>
      <c r="X430" s="2908">
        <f t="shared" si="114"/>
        <v>0</v>
      </c>
      <c r="Y430" s="2908">
        <f t="shared" si="115"/>
        <v>0</v>
      </c>
      <c r="Z430" s="955"/>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5"/>
      <c r="X431" s="2908">
        <f t="shared" si="114"/>
        <v>0</v>
      </c>
      <c r="Y431" s="2908">
        <f t="shared" si="115"/>
        <v>0</v>
      </c>
      <c r="Z431" s="955"/>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5"/>
      <c r="X432" s="2908">
        <f t="shared" si="114"/>
        <v>0</v>
      </c>
      <c r="Y432" s="2908">
        <f t="shared" si="115"/>
        <v>0</v>
      </c>
      <c r="Z432" s="955"/>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5"/>
      <c r="X433" s="2908">
        <f t="shared" si="114"/>
        <v>0</v>
      </c>
      <c r="Y433" s="2908">
        <f t="shared" si="115"/>
        <v>0</v>
      </c>
      <c r="Z433" s="955"/>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5"/>
      <c r="X434" s="2908">
        <f t="shared" si="114"/>
        <v>0</v>
      </c>
      <c r="Y434" s="2908">
        <f t="shared" si="115"/>
        <v>0</v>
      </c>
      <c r="Z434" s="955"/>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5"/>
      <c r="X435" s="2908">
        <f t="shared" si="114"/>
        <v>0</v>
      </c>
      <c r="Y435" s="2908">
        <f t="shared" si="115"/>
        <v>0</v>
      </c>
      <c r="Z435" s="955"/>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5"/>
      <c r="X436" s="2908">
        <f t="shared" si="114"/>
        <v>0</v>
      </c>
      <c r="Y436" s="2908">
        <f t="shared" si="115"/>
        <v>0</v>
      </c>
      <c r="Z436" s="955"/>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5"/>
      <c r="X437" s="2908">
        <f t="shared" si="114"/>
        <v>0</v>
      </c>
      <c r="Y437" s="2908">
        <f t="shared" si="115"/>
        <v>0</v>
      </c>
      <c r="Z437" s="955"/>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5"/>
      <c r="X438" s="2908">
        <f t="shared" si="114"/>
        <v>0</v>
      </c>
      <c r="Y438" s="2908">
        <f t="shared" si="115"/>
        <v>0</v>
      </c>
      <c r="Z438" s="955"/>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5"/>
      <c r="X439" s="2908">
        <f t="shared" si="114"/>
        <v>0</v>
      </c>
      <c r="Y439" s="2908">
        <f t="shared" si="115"/>
        <v>0</v>
      </c>
      <c r="Z439" s="955"/>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5"/>
      <c r="X440" s="2908">
        <f t="shared" si="114"/>
        <v>0</v>
      </c>
      <c r="Y440" s="2908">
        <f t="shared" si="115"/>
        <v>0</v>
      </c>
      <c r="Z440" s="955"/>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5"/>
      <c r="X441" s="2908">
        <f t="shared" si="114"/>
        <v>0</v>
      </c>
      <c r="Y441" s="2908">
        <f t="shared" si="115"/>
        <v>0</v>
      </c>
      <c r="Z441" s="955"/>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5"/>
      <c r="X442" s="2908">
        <f t="shared" si="114"/>
        <v>0</v>
      </c>
      <c r="Y442" s="2908">
        <f t="shared" si="115"/>
        <v>0</v>
      </c>
      <c r="Z442" s="955"/>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5"/>
      <c r="X443" s="2908">
        <f t="shared" si="114"/>
        <v>0</v>
      </c>
      <c r="Y443" s="2908">
        <f t="shared" si="115"/>
        <v>0</v>
      </c>
      <c r="Z443" s="955"/>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5"/>
      <c r="X444" s="2908">
        <f t="shared" si="114"/>
        <v>0</v>
      </c>
      <c r="Y444" s="2908">
        <f t="shared" si="115"/>
        <v>0</v>
      </c>
      <c r="Z444" s="955"/>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5"/>
      <c r="X445" s="2908">
        <f t="shared" si="114"/>
        <v>0</v>
      </c>
      <c r="Y445" s="2908">
        <f t="shared" si="115"/>
        <v>0</v>
      </c>
      <c r="Z445" s="955"/>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5"/>
      <c r="X446" s="2908">
        <f t="shared" si="114"/>
        <v>0</v>
      </c>
      <c r="Y446" s="2908">
        <f t="shared" si="115"/>
        <v>0</v>
      </c>
      <c r="Z446" s="955"/>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5"/>
      <c r="X447" s="2908">
        <f t="shared" si="114"/>
        <v>0</v>
      </c>
      <c r="Y447" s="2908">
        <f t="shared" si="115"/>
        <v>0</v>
      </c>
      <c r="Z447" s="955"/>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5"/>
      <c r="X448" s="2908">
        <f t="shared" si="114"/>
        <v>0</v>
      </c>
      <c r="Y448" s="2908">
        <f t="shared" si="115"/>
        <v>0</v>
      </c>
      <c r="Z448" s="955"/>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5"/>
      <c r="X449" s="2908">
        <f t="shared" si="114"/>
        <v>0</v>
      </c>
      <c r="Y449" s="2908">
        <f t="shared" si="115"/>
        <v>0</v>
      </c>
      <c r="Z449" s="955"/>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5"/>
      <c r="X450" s="2908">
        <f t="shared" si="114"/>
        <v>0</v>
      </c>
      <c r="Y450" s="2908">
        <f t="shared" si="115"/>
        <v>0</v>
      </c>
      <c r="Z450" s="955"/>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5"/>
      <c r="X451" s="2908">
        <f t="shared" si="114"/>
        <v>0</v>
      </c>
      <c r="Y451" s="2908">
        <f t="shared" si="115"/>
        <v>0</v>
      </c>
      <c r="Z451" s="955"/>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5"/>
      <c r="X452" s="2908">
        <f t="shared" si="114"/>
        <v>0</v>
      </c>
      <c r="Y452" s="2908">
        <f t="shared" si="115"/>
        <v>0</v>
      </c>
      <c r="Z452" s="955"/>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5"/>
      <c r="X453" s="2908">
        <f t="shared" si="114"/>
        <v>0</v>
      </c>
      <c r="Y453" s="2908">
        <f t="shared" si="115"/>
        <v>0</v>
      </c>
      <c r="Z453" s="955"/>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5"/>
      <c r="X454" s="2908">
        <f t="shared" si="114"/>
        <v>0</v>
      </c>
      <c r="Y454" s="2908">
        <f t="shared" si="115"/>
        <v>0</v>
      </c>
      <c r="Z454" s="955"/>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5"/>
      <c r="X455" s="2908">
        <f t="shared" si="114"/>
        <v>0</v>
      </c>
      <c r="Y455" s="2908">
        <f t="shared" si="115"/>
        <v>0</v>
      </c>
      <c r="Z455" s="955"/>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5"/>
      <c r="X456" s="2908">
        <f t="shared" si="114"/>
        <v>0</v>
      </c>
      <c r="Y456" s="2908">
        <f t="shared" si="115"/>
        <v>0</v>
      </c>
      <c r="Z456" s="955"/>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5"/>
      <c r="X457" s="2908">
        <f t="shared" si="114"/>
        <v>0</v>
      </c>
      <c r="Y457" s="2908">
        <f t="shared" si="115"/>
        <v>0</v>
      </c>
      <c r="Z457" s="955"/>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5"/>
      <c r="X458" s="2908">
        <f t="shared" si="114"/>
        <v>0</v>
      </c>
      <c r="Y458" s="2908">
        <f t="shared" si="115"/>
        <v>0</v>
      </c>
      <c r="Z458" s="955"/>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5"/>
      <c r="X459" s="2908">
        <f t="shared" si="114"/>
        <v>0</v>
      </c>
      <c r="Y459" s="2908">
        <f t="shared" si="115"/>
        <v>0</v>
      </c>
      <c r="Z459" s="955"/>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5"/>
      <c r="X460" s="2908">
        <f t="shared" si="114"/>
        <v>0</v>
      </c>
      <c r="Y460" s="2908">
        <f t="shared" si="115"/>
        <v>0</v>
      </c>
      <c r="Z460" s="955"/>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5"/>
      <c r="X461" s="2908">
        <f t="shared" si="114"/>
        <v>0</v>
      </c>
      <c r="Y461" s="2908">
        <f t="shared" si="115"/>
        <v>0</v>
      </c>
      <c r="Z461" s="955"/>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5"/>
      <c r="X462" s="2908">
        <f t="shared" si="114"/>
        <v>0</v>
      </c>
      <c r="Y462" s="2908">
        <f t="shared" si="115"/>
        <v>0</v>
      </c>
      <c r="Z462" s="955"/>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5"/>
      <c r="X463" s="2908">
        <f t="shared" si="114"/>
        <v>0</v>
      </c>
      <c r="Y463" s="2908">
        <f t="shared" si="115"/>
        <v>0</v>
      </c>
      <c r="Z463" s="955"/>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5"/>
      <c r="X464" s="2908">
        <f t="shared" si="114"/>
        <v>0</v>
      </c>
      <c r="Y464" s="2908">
        <f t="shared" si="115"/>
        <v>0</v>
      </c>
      <c r="Z464" s="955"/>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5"/>
      <c r="X465" s="2908">
        <f t="shared" si="114"/>
        <v>0</v>
      </c>
      <c r="Y465" s="2908">
        <f t="shared" si="115"/>
        <v>0</v>
      </c>
      <c r="Z465" s="955"/>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5"/>
      <c r="X466" s="2908">
        <f t="shared" si="114"/>
        <v>0</v>
      </c>
      <c r="Y466" s="2908">
        <f t="shared" si="115"/>
        <v>0</v>
      </c>
      <c r="Z466" s="955"/>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5"/>
      <c r="X467" s="2908">
        <f t="shared" si="114"/>
        <v>0</v>
      </c>
      <c r="Y467" s="2908">
        <f t="shared" si="115"/>
        <v>0</v>
      </c>
      <c r="Z467" s="955"/>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5"/>
      <c r="X468" s="2908">
        <f t="shared" si="114"/>
        <v>0</v>
      </c>
      <c r="Y468" s="2908">
        <f t="shared" si="115"/>
        <v>0</v>
      </c>
      <c r="Z468" s="955"/>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5"/>
      <c r="X469" s="2908">
        <f t="shared" si="114"/>
        <v>0</v>
      </c>
      <c r="Y469" s="2908">
        <f t="shared" si="115"/>
        <v>0</v>
      </c>
      <c r="Z469" s="955"/>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5"/>
      <c r="X470" s="2908">
        <f t="shared" si="114"/>
        <v>0</v>
      </c>
      <c r="Y470" s="2908">
        <f t="shared" si="115"/>
        <v>0</v>
      </c>
      <c r="Z470" s="955"/>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5"/>
      <c r="X471" s="2908">
        <f t="shared" si="114"/>
        <v>0</v>
      </c>
      <c r="Y471" s="2908">
        <f t="shared" si="115"/>
        <v>0</v>
      </c>
      <c r="Z471" s="955"/>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5"/>
      <c r="X472" s="2908">
        <f t="shared" si="114"/>
        <v>0</v>
      </c>
      <c r="Y472" s="2908">
        <f t="shared" si="115"/>
        <v>0</v>
      </c>
      <c r="Z472" s="955"/>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5"/>
      <c r="X473" s="2908">
        <f t="shared" si="114"/>
        <v>0</v>
      </c>
      <c r="Y473" s="2908">
        <f t="shared" si="115"/>
        <v>0</v>
      </c>
      <c r="Z473" s="955"/>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5"/>
      <c r="X474" s="2908">
        <f t="shared" si="114"/>
        <v>0</v>
      </c>
      <c r="Y474" s="2908">
        <f t="shared" si="115"/>
        <v>0</v>
      </c>
      <c r="Z474" s="955"/>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5"/>
      <c r="X475" s="2908">
        <f t="shared" si="114"/>
        <v>0</v>
      </c>
      <c r="Y475" s="2908">
        <f t="shared" si="115"/>
        <v>0</v>
      </c>
      <c r="Z475" s="955"/>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5"/>
      <c r="X476" s="2908">
        <f t="shared" ref="X476:X527" si="129">ROUND(Z476*B476,0)</f>
        <v>0</v>
      </c>
      <c r="Y476" s="2908">
        <f t="shared" ref="Y476:Y527" si="130">ROUND(Z476*B476/10000,0)</f>
        <v>0</v>
      </c>
      <c r="Z476" s="955"/>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5"/>
      <c r="X477" s="2908">
        <f t="shared" si="129"/>
        <v>0</v>
      </c>
      <c r="Y477" s="2908">
        <f t="shared" si="130"/>
        <v>0</v>
      </c>
      <c r="Z477" s="955"/>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5"/>
      <c r="X478" s="2908">
        <f t="shared" si="129"/>
        <v>0</v>
      </c>
      <c r="Y478" s="2908">
        <f t="shared" si="130"/>
        <v>0</v>
      </c>
      <c r="Z478" s="955"/>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5"/>
      <c r="X479" s="2908">
        <f t="shared" si="129"/>
        <v>0</v>
      </c>
      <c r="Y479" s="2908">
        <f t="shared" si="130"/>
        <v>0</v>
      </c>
      <c r="Z479" s="955"/>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5"/>
      <c r="X480" s="2908">
        <f t="shared" si="129"/>
        <v>0</v>
      </c>
      <c r="Y480" s="2908">
        <f t="shared" si="130"/>
        <v>0</v>
      </c>
      <c r="Z480" s="955"/>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5"/>
      <c r="X481" s="2908">
        <f t="shared" si="129"/>
        <v>0</v>
      </c>
      <c r="Y481" s="2908">
        <f t="shared" si="130"/>
        <v>0</v>
      </c>
      <c r="Z481" s="955"/>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5"/>
      <c r="X482" s="2908">
        <f t="shared" si="129"/>
        <v>0</v>
      </c>
      <c r="Y482" s="2908">
        <f t="shared" si="130"/>
        <v>0</v>
      </c>
      <c r="Z482" s="955"/>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5"/>
      <c r="X483" s="2908">
        <f t="shared" si="129"/>
        <v>0</v>
      </c>
      <c r="Y483" s="2908">
        <f t="shared" si="130"/>
        <v>0</v>
      </c>
      <c r="Z483" s="955"/>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5"/>
      <c r="X484" s="2908">
        <f t="shared" si="129"/>
        <v>0</v>
      </c>
      <c r="Y484" s="2908">
        <f t="shared" si="130"/>
        <v>0</v>
      </c>
      <c r="Z484" s="955"/>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5"/>
      <c r="X485" s="2908">
        <f t="shared" si="129"/>
        <v>0</v>
      </c>
      <c r="Y485" s="2908">
        <f t="shared" si="130"/>
        <v>0</v>
      </c>
      <c r="Z485" s="955"/>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5"/>
      <c r="X486" s="2908">
        <f t="shared" si="129"/>
        <v>0</v>
      </c>
      <c r="Y486" s="2908">
        <f t="shared" si="130"/>
        <v>0</v>
      </c>
      <c r="Z486" s="955"/>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5"/>
      <c r="X487" s="2908">
        <f t="shared" si="129"/>
        <v>0</v>
      </c>
      <c r="Y487" s="2908">
        <f t="shared" si="130"/>
        <v>0</v>
      </c>
      <c r="Z487" s="955"/>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5"/>
      <c r="X488" s="2908">
        <f t="shared" si="129"/>
        <v>0</v>
      </c>
      <c r="Y488" s="2908">
        <f t="shared" si="130"/>
        <v>0</v>
      </c>
      <c r="Z488" s="955"/>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5"/>
      <c r="X489" s="2908">
        <f t="shared" si="129"/>
        <v>0</v>
      </c>
      <c r="Y489" s="2908">
        <f t="shared" si="130"/>
        <v>0</v>
      </c>
      <c r="Z489" s="955"/>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5"/>
      <c r="X490" s="2908">
        <f t="shared" si="129"/>
        <v>0</v>
      </c>
      <c r="Y490" s="2908">
        <f t="shared" si="130"/>
        <v>0</v>
      </c>
      <c r="Z490" s="955"/>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5"/>
      <c r="X491" s="2908">
        <f t="shared" si="129"/>
        <v>0</v>
      </c>
      <c r="Y491" s="2908">
        <f t="shared" si="130"/>
        <v>0</v>
      </c>
      <c r="Z491" s="955"/>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5"/>
      <c r="X492" s="2908">
        <f t="shared" si="129"/>
        <v>0</v>
      </c>
      <c r="Y492" s="2908">
        <f t="shared" si="130"/>
        <v>0</v>
      </c>
      <c r="Z492" s="955"/>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5"/>
      <c r="X493" s="2908">
        <f t="shared" si="129"/>
        <v>0</v>
      </c>
      <c r="Y493" s="2908">
        <f t="shared" si="130"/>
        <v>0</v>
      </c>
      <c r="Z493" s="955"/>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5"/>
      <c r="X494" s="2908">
        <f t="shared" si="129"/>
        <v>0</v>
      </c>
      <c r="Y494" s="2908">
        <f t="shared" si="130"/>
        <v>0</v>
      </c>
      <c r="Z494" s="955"/>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5"/>
      <c r="X495" s="2908">
        <f t="shared" si="129"/>
        <v>0</v>
      </c>
      <c r="Y495" s="2908">
        <f t="shared" si="130"/>
        <v>0</v>
      </c>
      <c r="Z495" s="955"/>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5"/>
      <c r="X496" s="2908">
        <f t="shared" si="129"/>
        <v>0</v>
      </c>
      <c r="Y496" s="2908">
        <f t="shared" si="130"/>
        <v>0</v>
      </c>
      <c r="Z496" s="955"/>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5"/>
      <c r="X497" s="2908">
        <f t="shared" si="129"/>
        <v>0</v>
      </c>
      <c r="Y497" s="2908">
        <f t="shared" si="130"/>
        <v>0</v>
      </c>
      <c r="Z497" s="955"/>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5"/>
      <c r="X498" s="2908">
        <f t="shared" si="129"/>
        <v>0</v>
      </c>
      <c r="Y498" s="2908">
        <f t="shared" si="130"/>
        <v>0</v>
      </c>
      <c r="Z498" s="955"/>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5"/>
      <c r="X499" s="2908">
        <f t="shared" si="129"/>
        <v>0</v>
      </c>
      <c r="Y499" s="2908">
        <f t="shared" si="130"/>
        <v>0</v>
      </c>
      <c r="Z499" s="955"/>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5"/>
      <c r="X500" s="2908">
        <f t="shared" si="129"/>
        <v>0</v>
      </c>
      <c r="Y500" s="2908">
        <f t="shared" si="130"/>
        <v>0</v>
      </c>
      <c r="Z500" s="955"/>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5"/>
      <c r="X501" s="2908">
        <f t="shared" si="129"/>
        <v>0</v>
      </c>
      <c r="Y501" s="2908">
        <f t="shared" si="130"/>
        <v>0</v>
      </c>
      <c r="Z501" s="955"/>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5"/>
      <c r="X502" s="2908">
        <f t="shared" si="129"/>
        <v>0</v>
      </c>
      <c r="Y502" s="2908">
        <f t="shared" si="130"/>
        <v>0</v>
      </c>
      <c r="Z502" s="955"/>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5"/>
      <c r="X503" s="2908">
        <f t="shared" si="129"/>
        <v>0</v>
      </c>
      <c r="Y503" s="2908">
        <f t="shared" si="130"/>
        <v>0</v>
      </c>
      <c r="Z503" s="955"/>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5"/>
      <c r="X504" s="2908">
        <f t="shared" si="129"/>
        <v>0</v>
      </c>
      <c r="Y504" s="2908">
        <f t="shared" si="130"/>
        <v>0</v>
      </c>
      <c r="Z504" s="955"/>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5"/>
      <c r="X505" s="2908">
        <f t="shared" si="129"/>
        <v>0</v>
      </c>
      <c r="Y505" s="2908">
        <f t="shared" si="130"/>
        <v>0</v>
      </c>
      <c r="Z505" s="955"/>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5"/>
      <c r="X506" s="2908">
        <f t="shared" si="129"/>
        <v>0</v>
      </c>
      <c r="Y506" s="2908">
        <f t="shared" si="130"/>
        <v>0</v>
      </c>
      <c r="Z506" s="955"/>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5"/>
      <c r="X507" s="2908">
        <f t="shared" si="129"/>
        <v>0</v>
      </c>
      <c r="Y507" s="2908">
        <f t="shared" si="130"/>
        <v>0</v>
      </c>
      <c r="Z507" s="955"/>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5"/>
      <c r="X508" s="2908">
        <f t="shared" si="129"/>
        <v>0</v>
      </c>
      <c r="Y508" s="2908">
        <f t="shared" si="130"/>
        <v>0</v>
      </c>
      <c r="Z508" s="955"/>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5"/>
      <c r="X509" s="2908">
        <f t="shared" si="129"/>
        <v>0</v>
      </c>
      <c r="Y509" s="2908">
        <f t="shared" si="130"/>
        <v>0</v>
      </c>
      <c r="Z509" s="955"/>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5"/>
      <c r="X510" s="2908">
        <f t="shared" si="129"/>
        <v>0</v>
      </c>
      <c r="Y510" s="2908">
        <f t="shared" si="130"/>
        <v>0</v>
      </c>
      <c r="Z510" s="955"/>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5"/>
      <c r="X511" s="2908">
        <f t="shared" si="129"/>
        <v>0</v>
      </c>
      <c r="Y511" s="2908">
        <f t="shared" si="130"/>
        <v>0</v>
      </c>
      <c r="Z511" s="955"/>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5"/>
      <c r="X512" s="2908">
        <f t="shared" si="129"/>
        <v>0</v>
      </c>
      <c r="Y512" s="2908">
        <f t="shared" si="130"/>
        <v>0</v>
      </c>
      <c r="Z512" s="955"/>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5"/>
      <c r="X513" s="2908">
        <f t="shared" si="129"/>
        <v>0</v>
      </c>
      <c r="Y513" s="2908">
        <f t="shared" si="130"/>
        <v>0</v>
      </c>
      <c r="Z513" s="955"/>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5"/>
      <c r="X514" s="2908">
        <f t="shared" si="129"/>
        <v>0</v>
      </c>
      <c r="Y514" s="2908">
        <f t="shared" si="130"/>
        <v>0</v>
      </c>
      <c r="Z514" s="955"/>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5"/>
      <c r="X515" s="2908">
        <f t="shared" si="129"/>
        <v>0</v>
      </c>
      <c r="Y515" s="2908">
        <f t="shared" si="130"/>
        <v>0</v>
      </c>
      <c r="Z515" s="955"/>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5"/>
      <c r="X516" s="2908">
        <f t="shared" si="129"/>
        <v>0</v>
      </c>
      <c r="Y516" s="2908">
        <f t="shared" si="130"/>
        <v>0</v>
      </c>
      <c r="Z516" s="955"/>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5"/>
      <c r="X517" s="2908">
        <f t="shared" si="129"/>
        <v>0</v>
      </c>
      <c r="Y517" s="2908">
        <f t="shared" si="130"/>
        <v>0</v>
      </c>
      <c r="Z517" s="955"/>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5"/>
      <c r="X518" s="2908">
        <f t="shared" si="129"/>
        <v>0</v>
      </c>
      <c r="Y518" s="2908">
        <f t="shared" si="130"/>
        <v>0</v>
      </c>
      <c r="Z518" s="955"/>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5"/>
      <c r="X519" s="2908">
        <f t="shared" si="129"/>
        <v>0</v>
      </c>
      <c r="Y519" s="2908">
        <f t="shared" si="130"/>
        <v>0</v>
      </c>
      <c r="Z519" s="955"/>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5"/>
      <c r="X520" s="2908">
        <f t="shared" si="129"/>
        <v>0</v>
      </c>
      <c r="Y520" s="2908">
        <f t="shared" si="130"/>
        <v>0</v>
      </c>
      <c r="Z520" s="955"/>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5"/>
      <c r="X521" s="2908">
        <f t="shared" si="129"/>
        <v>0</v>
      </c>
      <c r="Y521" s="2908">
        <f t="shared" si="130"/>
        <v>0</v>
      </c>
      <c r="Z521" s="955"/>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5"/>
      <c r="X522" s="2908">
        <f t="shared" si="129"/>
        <v>0</v>
      </c>
      <c r="Y522" s="2908">
        <f t="shared" si="130"/>
        <v>0</v>
      </c>
      <c r="Z522" s="955"/>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5"/>
      <c r="X523" s="2908">
        <f t="shared" si="129"/>
        <v>0</v>
      </c>
      <c r="Y523" s="2908">
        <f t="shared" si="130"/>
        <v>0</v>
      </c>
      <c r="Z523" s="955"/>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5"/>
      <c r="X524" s="2908">
        <f t="shared" si="129"/>
        <v>0</v>
      </c>
      <c r="Y524" s="2908">
        <f t="shared" si="130"/>
        <v>0</v>
      </c>
      <c r="Z524" s="955"/>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5"/>
      <c r="X525" s="2908">
        <f t="shared" si="129"/>
        <v>0</v>
      </c>
      <c r="Y525" s="2908">
        <f t="shared" si="130"/>
        <v>0</v>
      </c>
      <c r="Z525" s="955"/>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5"/>
      <c r="X526" s="2908">
        <f t="shared" si="129"/>
        <v>0</v>
      </c>
      <c r="Y526" s="2908">
        <f t="shared" si="130"/>
        <v>0</v>
      </c>
      <c r="Z526" s="955"/>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5"/>
      <c r="X527" s="2908">
        <f t="shared" si="129"/>
        <v>0</v>
      </c>
      <c r="Y527" s="2908">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497.23</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88" t="s">
        <v>2005</v>
      </c>
      <c r="D4" s="3589"/>
      <c r="E4" s="3590" t="s">
        <v>2006</v>
      </c>
      <c r="F4" s="3591"/>
      <c r="G4" s="3588" t="s">
        <v>2007</v>
      </c>
      <c r="H4" s="3589"/>
      <c r="I4" s="3588" t="s">
        <v>2008</v>
      </c>
      <c r="J4" s="3589"/>
      <c r="K4" s="1592" t="s">
        <v>2009</v>
      </c>
      <c r="L4" s="2914"/>
      <c r="M4" s="2915"/>
      <c r="N4" s="2915"/>
      <c r="O4" s="2915"/>
      <c r="P4" s="3592" t="s">
        <v>2010</v>
      </c>
      <c r="Q4" s="3593"/>
      <c r="R4" s="3598" t="s">
        <v>2006</v>
      </c>
      <c r="S4" s="3599"/>
      <c r="T4" s="3598" t="s">
        <v>2007</v>
      </c>
      <c r="U4" s="3599"/>
      <c r="V4" s="3604" t="s">
        <v>2008</v>
      </c>
      <c r="W4" s="3604"/>
      <c r="X4" s="1593"/>
      <c r="Y4" s="3598" t="s">
        <v>2010</v>
      </c>
      <c r="Z4" s="3599"/>
      <c r="AA4" s="3585" t="s">
        <v>2006</v>
      </c>
      <c r="AB4" s="3585" t="s">
        <v>2007</v>
      </c>
      <c r="AC4" s="3585" t="s">
        <v>2008</v>
      </c>
    </row>
    <row r="5" spans="1:29" ht="15">
      <c r="A5" s="1595"/>
      <c r="B5" s="1596"/>
      <c r="C5" s="3607" t="s">
        <v>2011</v>
      </c>
      <c r="D5" s="3608"/>
      <c r="E5" s="3605" t="s">
        <v>2012</v>
      </c>
      <c r="F5" s="3606"/>
      <c r="G5" s="3607" t="s">
        <v>2013</v>
      </c>
      <c r="H5" s="3608"/>
      <c r="I5" s="3607" t="s">
        <v>2014</v>
      </c>
      <c r="J5" s="3608"/>
      <c r="K5" s="1597"/>
      <c r="L5" s="2914"/>
      <c r="M5" s="2915"/>
      <c r="N5" s="2915"/>
      <c r="O5" s="2915"/>
      <c r="P5" s="3594"/>
      <c r="Q5" s="3595"/>
      <c r="R5" s="3600"/>
      <c r="S5" s="3601"/>
      <c r="T5" s="3600"/>
      <c r="U5" s="3601"/>
      <c r="V5" s="3604"/>
      <c r="W5" s="3604"/>
      <c r="X5" s="1593"/>
      <c r="Y5" s="3600"/>
      <c r="Z5" s="3601"/>
      <c r="AA5" s="3586"/>
      <c r="AB5" s="3586"/>
      <c r="AC5" s="3586"/>
    </row>
    <row r="6" spans="1:29" ht="15.75" thickBot="1">
      <c r="A6" s="1598"/>
      <c r="B6" s="1599"/>
      <c r="C6" s="3609" t="s">
        <v>2015</v>
      </c>
      <c r="D6" s="3610"/>
      <c r="E6" s="3611" t="s">
        <v>2015</v>
      </c>
      <c r="F6" s="3612"/>
      <c r="G6" s="3609" t="s">
        <v>2015</v>
      </c>
      <c r="H6" s="3610"/>
      <c r="I6" s="3609" t="s">
        <v>2015</v>
      </c>
      <c r="J6" s="3610"/>
      <c r="K6" s="1597" t="s">
        <v>2016</v>
      </c>
      <c r="L6" s="2914"/>
      <c r="M6" s="2915"/>
      <c r="N6" s="2915"/>
      <c r="O6" s="2915"/>
      <c r="P6" s="3596"/>
      <c r="Q6" s="3597"/>
      <c r="R6" s="3600"/>
      <c r="S6" s="3601"/>
      <c r="T6" s="3602"/>
      <c r="U6" s="3603"/>
      <c r="V6" s="3604"/>
      <c r="W6" s="3604"/>
      <c r="X6" s="1593"/>
      <c r="Y6" s="3602"/>
      <c r="Z6" s="3603"/>
      <c r="AA6" s="3587"/>
      <c r="AB6" s="3587"/>
      <c r="AC6" s="3587"/>
    </row>
    <row r="7" spans="1:29" s="1612" customFormat="1" ht="15.75" thickBot="1">
      <c r="A7" s="1600" t="s">
        <v>2017</v>
      </c>
      <c r="B7" s="1601"/>
      <c r="C7" s="1602">
        <f>'数据-取费表'!B2</f>
        <v>44676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0" t="s">
        <v>2018</v>
      </c>
      <c r="Q7" s="3622"/>
      <c r="R7" s="1608" t="s">
        <v>34</v>
      </c>
      <c r="S7" s="1609">
        <f t="shared" ref="S7:S15" si="0">F7</f>
        <v>0</v>
      </c>
      <c r="T7" s="1608" t="s">
        <v>34</v>
      </c>
      <c r="U7" s="1609">
        <f t="shared" ref="U7:U15" si="1">H7</f>
        <v>0</v>
      </c>
      <c r="V7" s="1608" t="s">
        <v>34</v>
      </c>
      <c r="W7" s="1609">
        <f t="shared" ref="W7:W15" si="2">J7</f>
        <v>0</v>
      </c>
      <c r="X7" s="1610"/>
      <c r="Y7" s="3620" t="s">
        <v>2018</v>
      </c>
      <c r="Z7" s="3621"/>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0" t="s">
        <v>2021</v>
      </c>
      <c r="Q8" s="3621"/>
      <c r="R8" s="1608" t="s">
        <v>34</v>
      </c>
      <c r="S8" s="1609">
        <f t="shared" si="0"/>
        <v>0</v>
      </c>
      <c r="T8" s="1608" t="s">
        <v>34</v>
      </c>
      <c r="U8" s="1609">
        <f t="shared" si="1"/>
        <v>0</v>
      </c>
      <c r="V8" s="1608" t="s">
        <v>34</v>
      </c>
      <c r="W8" s="1609">
        <f t="shared" si="2"/>
        <v>0</v>
      </c>
      <c r="X8" s="1610"/>
      <c r="Y8" s="3620" t="s">
        <v>2021</v>
      </c>
      <c r="Z8" s="3621"/>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3" t="s">
        <v>2024</v>
      </c>
      <c r="Q9" s="1562" t="str">
        <f t="shared" ref="Q9:Q15" si="6">B9</f>
        <v>用途</v>
      </c>
      <c r="R9" s="1608" t="s">
        <v>25</v>
      </c>
      <c r="S9" s="1609">
        <f t="shared" si="0"/>
        <v>100</v>
      </c>
      <c r="T9" s="1608" t="s">
        <v>25</v>
      </c>
      <c r="U9" s="1609">
        <f t="shared" si="1"/>
        <v>100</v>
      </c>
      <c r="V9" s="1608" t="s">
        <v>25</v>
      </c>
      <c r="W9" s="1609">
        <f t="shared" si="2"/>
        <v>100</v>
      </c>
      <c r="X9" s="1610"/>
      <c r="Y9" s="3488"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3"/>
      <c r="Q10" s="1562"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3"/>
      <c r="Q11" s="1562" t="str">
        <f t="shared" si="6"/>
        <v>容积率</v>
      </c>
      <c r="R11" s="1608" t="s">
        <v>28</v>
      </c>
      <c r="S11" s="1609" t="e">
        <f t="shared" si="0"/>
        <v>#N/A</v>
      </c>
      <c r="T11" s="1608" t="s">
        <v>28</v>
      </c>
      <c r="U11" s="1609" t="e">
        <f t="shared" si="1"/>
        <v>#N/A</v>
      </c>
      <c r="V11" s="1608" t="s">
        <v>28</v>
      </c>
      <c r="W11" s="1609" t="e">
        <f t="shared" si="2"/>
        <v>#N/A</v>
      </c>
      <c r="X11" s="1610"/>
      <c r="Y11" s="348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3"/>
      <c r="Q12" s="1562">
        <f t="shared" si="6"/>
        <v>111</v>
      </c>
      <c r="R12" s="1608" t="s">
        <v>28</v>
      </c>
      <c r="S12" s="1609">
        <f t="shared" si="0"/>
        <v>100</v>
      </c>
      <c r="T12" s="1608" t="s">
        <v>28</v>
      </c>
      <c r="U12" s="1609">
        <f t="shared" si="1"/>
        <v>100</v>
      </c>
      <c r="V12" s="1608" t="s">
        <v>28</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3"/>
      <c r="Q13" s="1562">
        <f t="shared" si="6"/>
        <v>111</v>
      </c>
      <c r="R13" s="1608" t="s">
        <v>28</v>
      </c>
      <c r="S13" s="1609">
        <f t="shared" si="0"/>
        <v>100</v>
      </c>
      <c r="T13" s="1608" t="s">
        <v>28</v>
      </c>
      <c r="U13" s="1609">
        <f t="shared" si="1"/>
        <v>100</v>
      </c>
      <c r="V13" s="1608" t="s">
        <v>28</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3"/>
      <c r="Q14" s="1562">
        <f t="shared" si="6"/>
        <v>111</v>
      </c>
      <c r="R14" s="1608" t="s">
        <v>28</v>
      </c>
      <c r="S14" s="1609">
        <f t="shared" si="0"/>
        <v>100</v>
      </c>
      <c r="T14" s="1608" t="s">
        <v>28</v>
      </c>
      <c r="U14" s="1609">
        <f t="shared" si="1"/>
        <v>100</v>
      </c>
      <c r="V14" s="1608" t="s">
        <v>28</v>
      </c>
      <c r="W14" s="1609">
        <f t="shared" si="2"/>
        <v>100</v>
      </c>
      <c r="X14" s="1610"/>
      <c r="Y14" s="3488"/>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6" t="s">
        <v>2029</v>
      </c>
      <c r="Q15" s="1543" t="str">
        <f t="shared" si="6"/>
        <v>居住社区成熟度</v>
      </c>
      <c r="R15" s="1653" t="s">
        <v>28</v>
      </c>
      <c r="S15" s="1654">
        <f t="shared" si="0"/>
        <v>100</v>
      </c>
      <c r="T15" s="1653" t="s">
        <v>28</v>
      </c>
      <c r="U15" s="1654">
        <f t="shared" si="1"/>
        <v>100</v>
      </c>
      <c r="V15" s="1653" t="s">
        <v>28</v>
      </c>
      <c r="W15" s="1654">
        <f t="shared" si="2"/>
        <v>100</v>
      </c>
      <c r="X15" s="1593"/>
      <c r="Y15" s="3613"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7"/>
      <c r="Q16" s="1543"/>
      <c r="R16" s="1653"/>
      <c r="S16" s="1654"/>
      <c r="T16" s="1653"/>
      <c r="U16" s="1654"/>
      <c r="V16" s="1653"/>
      <c r="W16" s="1654"/>
      <c r="X16" s="1593"/>
      <c r="Y16" s="3614"/>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7"/>
      <c r="Q17" s="1543" t="str">
        <f>B17</f>
        <v>交通便捷度</v>
      </c>
      <c r="R17" s="1653" t="s">
        <v>28</v>
      </c>
      <c r="S17" s="1654">
        <f>F17</f>
        <v>100</v>
      </c>
      <c r="T17" s="1653" t="s">
        <v>28</v>
      </c>
      <c r="U17" s="1654">
        <f>H17</f>
        <v>100</v>
      </c>
      <c r="V17" s="1653" t="s">
        <v>28</v>
      </c>
      <c r="W17" s="1654">
        <f>J17</f>
        <v>100</v>
      </c>
      <c r="X17" s="1593"/>
      <c r="Y17" s="3614"/>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7"/>
      <c r="Q18" s="1543"/>
      <c r="R18" s="1653"/>
      <c r="S18" s="1654"/>
      <c r="T18" s="1653"/>
      <c r="U18" s="1654"/>
      <c r="V18" s="1653"/>
      <c r="W18" s="1654"/>
      <c r="X18" s="1593"/>
      <c r="Y18" s="361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7"/>
      <c r="Q19" s="1543" t="str">
        <f>B19</f>
        <v>公共配套设施</v>
      </c>
      <c r="R19" s="1653" t="s">
        <v>28</v>
      </c>
      <c r="S19" s="1654">
        <f>F19</f>
        <v>100</v>
      </c>
      <c r="T19" s="1653" t="s">
        <v>28</v>
      </c>
      <c r="U19" s="1654">
        <f>H19</f>
        <v>100</v>
      </c>
      <c r="V19" s="1653" t="s">
        <v>28</v>
      </c>
      <c r="W19" s="1654">
        <f>J19</f>
        <v>100</v>
      </c>
      <c r="X19" s="1593"/>
      <c r="Y19" s="3614"/>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7"/>
      <c r="Q20" s="1543"/>
      <c r="R20" s="1653"/>
      <c r="S20" s="1654"/>
      <c r="T20" s="1653"/>
      <c r="U20" s="1654"/>
      <c r="V20" s="1653"/>
      <c r="W20" s="1654"/>
      <c r="X20" s="1593"/>
      <c r="Y20" s="361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7"/>
      <c r="Q21" s="1543" t="str">
        <f>B21</f>
        <v>基础设施水平</v>
      </c>
      <c r="R21" s="1653" t="s">
        <v>28</v>
      </c>
      <c r="S21" s="1654">
        <f>F21</f>
        <v>100</v>
      </c>
      <c r="T21" s="1653" t="s">
        <v>28</v>
      </c>
      <c r="U21" s="1654">
        <f>H21</f>
        <v>100</v>
      </c>
      <c r="V21" s="1653" t="s">
        <v>28</v>
      </c>
      <c r="W21" s="1654">
        <f>J21</f>
        <v>100</v>
      </c>
      <c r="X21" s="1593"/>
      <c r="Y21" s="3614"/>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7"/>
      <c r="Q22" s="1543"/>
      <c r="R22" s="1653"/>
      <c r="S22" s="1654"/>
      <c r="T22" s="1653"/>
      <c r="U22" s="1654"/>
      <c r="V22" s="1653"/>
      <c r="W22" s="1654"/>
      <c r="X22" s="1593"/>
      <c r="Y22" s="361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7"/>
      <c r="Q23" s="1543" t="str">
        <f>B23</f>
        <v>自然及人文环境</v>
      </c>
      <c r="R23" s="1653" t="s">
        <v>28</v>
      </c>
      <c r="S23" s="1654">
        <f>F23</f>
        <v>100</v>
      </c>
      <c r="T23" s="1653" t="s">
        <v>28</v>
      </c>
      <c r="U23" s="1654">
        <f>H23</f>
        <v>100</v>
      </c>
      <c r="V23" s="1653" t="s">
        <v>28</v>
      </c>
      <c r="W23" s="1654">
        <f>J23</f>
        <v>100</v>
      </c>
      <c r="X23" s="1593"/>
      <c r="Y23" s="3614"/>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7"/>
      <c r="Q24" s="1543"/>
      <c r="R24" s="1653"/>
      <c r="S24" s="1654"/>
      <c r="T24" s="1653"/>
      <c r="U24" s="1654"/>
      <c r="V24" s="1653"/>
      <c r="W24" s="1654"/>
      <c r="X24" s="1593"/>
      <c r="Y24" s="3614"/>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7"/>
      <c r="Q25" s="1543" t="str">
        <f t="shared" ref="Q25:Q46" si="11">B25</f>
        <v>楼层-1</v>
      </c>
      <c r="R25" s="1653" t="s">
        <v>28</v>
      </c>
      <c r="S25" s="1654">
        <f>F25</f>
        <v>100</v>
      </c>
      <c r="T25" s="1653" t="s">
        <v>28</v>
      </c>
      <c r="U25" s="1654">
        <f>H25</f>
        <v>100</v>
      </c>
      <c r="V25" s="1653" t="s">
        <v>28</v>
      </c>
      <c r="W25" s="1654">
        <f>J25</f>
        <v>100</v>
      </c>
      <c r="X25" s="1593"/>
      <c r="Y25" s="3614"/>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7"/>
      <c r="Q26" s="1543" t="str">
        <f t="shared" si="11"/>
        <v>朝向</v>
      </c>
      <c r="R26" s="1653" t="s">
        <v>28</v>
      </c>
      <c r="S26" s="1654">
        <f>F26</f>
        <v>100</v>
      </c>
      <c r="T26" s="1653" t="s">
        <v>28</v>
      </c>
      <c r="U26" s="1654">
        <f>H26</f>
        <v>100</v>
      </c>
      <c r="V26" s="1653" t="s">
        <v>28</v>
      </c>
      <c r="W26" s="1654">
        <f>J26</f>
        <v>100</v>
      </c>
      <c r="X26" s="1593"/>
      <c r="Y26" s="3614"/>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7"/>
      <c r="Q27" s="1562" t="str">
        <f t="shared" si="11"/>
        <v>道路级别</v>
      </c>
      <c r="R27" s="1608" t="s">
        <v>28</v>
      </c>
      <c r="S27" s="1609">
        <f>F27</f>
        <v>100</v>
      </c>
      <c r="T27" s="1608" t="s">
        <v>28</v>
      </c>
      <c r="U27" s="1609">
        <f>H27</f>
        <v>100</v>
      </c>
      <c r="V27" s="1608" t="s">
        <v>28</v>
      </c>
      <c r="W27" s="1609">
        <f>J27</f>
        <v>100</v>
      </c>
      <c r="X27" s="1610"/>
      <c r="Y27" s="3614"/>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7"/>
      <c r="Q28" s="1543">
        <f t="shared" si="11"/>
        <v>111</v>
      </c>
      <c r="R28" s="1653" t="s">
        <v>28</v>
      </c>
      <c r="S28" s="1654">
        <f t="shared" ref="S28:S46" si="12">F28</f>
        <v>100</v>
      </c>
      <c r="T28" s="1653" t="s">
        <v>28</v>
      </c>
      <c r="U28" s="1654">
        <f t="shared" ref="U28:U46" si="13">H28</f>
        <v>100</v>
      </c>
      <c r="V28" s="1653" t="s">
        <v>28</v>
      </c>
      <c r="W28" s="1654">
        <f t="shared" ref="W28:W46" si="14">J28</f>
        <v>100</v>
      </c>
      <c r="X28" s="1593"/>
      <c r="Y28" s="3614"/>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7"/>
      <c r="Q29" s="1543">
        <f t="shared" si="11"/>
        <v>111</v>
      </c>
      <c r="R29" s="1653" t="s">
        <v>28</v>
      </c>
      <c r="S29" s="1654">
        <f t="shared" si="12"/>
        <v>100</v>
      </c>
      <c r="T29" s="1653" t="s">
        <v>28</v>
      </c>
      <c r="U29" s="1654">
        <f t="shared" si="13"/>
        <v>100</v>
      </c>
      <c r="V29" s="1653" t="s">
        <v>28</v>
      </c>
      <c r="W29" s="1654">
        <f t="shared" si="14"/>
        <v>100</v>
      </c>
      <c r="X29" s="1593"/>
      <c r="Y29" s="3614"/>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7"/>
      <c r="Q30" s="1543">
        <f t="shared" si="11"/>
        <v>111</v>
      </c>
      <c r="R30" s="1653" t="s">
        <v>28</v>
      </c>
      <c r="S30" s="1654">
        <f t="shared" si="12"/>
        <v>100</v>
      </c>
      <c r="T30" s="1653" t="s">
        <v>28</v>
      </c>
      <c r="U30" s="1654">
        <f t="shared" si="13"/>
        <v>100</v>
      </c>
      <c r="V30" s="1653" t="s">
        <v>28</v>
      </c>
      <c r="W30" s="1654">
        <f t="shared" si="14"/>
        <v>100</v>
      </c>
      <c r="X30" s="1593"/>
      <c r="Y30" s="3614"/>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7"/>
      <c r="Q31" s="1543">
        <f t="shared" si="11"/>
        <v>111</v>
      </c>
      <c r="R31" s="1653" t="s">
        <v>28</v>
      </c>
      <c r="S31" s="1654">
        <f t="shared" si="12"/>
        <v>100</v>
      </c>
      <c r="T31" s="1653" t="s">
        <v>28</v>
      </c>
      <c r="U31" s="1654">
        <f t="shared" si="13"/>
        <v>100</v>
      </c>
      <c r="V31" s="1653" t="s">
        <v>28</v>
      </c>
      <c r="W31" s="1654">
        <f t="shared" si="14"/>
        <v>100</v>
      </c>
      <c r="X31" s="1593"/>
      <c r="Y31" s="3614"/>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5" t="s">
        <v>2035</v>
      </c>
      <c r="Q32" s="1543" t="str">
        <f t="shared" si="11"/>
        <v>建筑类型</v>
      </c>
      <c r="R32" s="1653" t="s">
        <v>28</v>
      </c>
      <c r="S32" s="1654">
        <f t="shared" si="12"/>
        <v>100</v>
      </c>
      <c r="T32" s="1653" t="s">
        <v>28</v>
      </c>
      <c r="U32" s="1654">
        <f t="shared" si="13"/>
        <v>100</v>
      </c>
      <c r="V32" s="1653" t="s">
        <v>28</v>
      </c>
      <c r="W32" s="1654">
        <f t="shared" si="14"/>
        <v>100</v>
      </c>
      <c r="X32" s="1593"/>
      <c r="Y32" s="3618"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16"/>
      <c r="Q33" s="1694" t="str">
        <f t="shared" si="11"/>
        <v>项目建筑规模</v>
      </c>
      <c r="R33" s="1695" t="s">
        <v>28</v>
      </c>
      <c r="S33" s="1696" t="e">
        <f t="shared" si="12"/>
        <v>#N/A</v>
      </c>
      <c r="T33" s="1695" t="s">
        <v>28</v>
      </c>
      <c r="U33" s="1696" t="e">
        <f t="shared" si="13"/>
        <v>#N/A</v>
      </c>
      <c r="V33" s="1695" t="s">
        <v>28</v>
      </c>
      <c r="W33" s="1696" t="e">
        <f t="shared" si="14"/>
        <v>#N/A</v>
      </c>
      <c r="X33" s="1697"/>
      <c r="Y33" s="3618"/>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6"/>
      <c r="Q34" s="1543" t="str">
        <f t="shared" si="11"/>
        <v>建筑结构</v>
      </c>
      <c r="R34" s="1653" t="s">
        <v>28</v>
      </c>
      <c r="S34" s="1654">
        <f t="shared" si="12"/>
        <v>100</v>
      </c>
      <c r="T34" s="1653" t="s">
        <v>28</v>
      </c>
      <c r="U34" s="1654">
        <f t="shared" si="13"/>
        <v>100</v>
      </c>
      <c r="V34" s="1653" t="s">
        <v>28</v>
      </c>
      <c r="W34" s="1654">
        <f t="shared" si="14"/>
        <v>100</v>
      </c>
      <c r="X34" s="1593"/>
      <c r="Y34" s="3618"/>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6"/>
      <c r="Q35" s="1543" t="str">
        <f t="shared" si="11"/>
        <v>建筑品质</v>
      </c>
      <c r="R35" s="1653" t="s">
        <v>28</v>
      </c>
      <c r="S35" s="1654">
        <f t="shared" si="12"/>
        <v>100</v>
      </c>
      <c r="T35" s="1653" t="s">
        <v>28</v>
      </c>
      <c r="U35" s="1654">
        <f t="shared" si="13"/>
        <v>100</v>
      </c>
      <c r="V35" s="1653" t="s">
        <v>28</v>
      </c>
      <c r="W35" s="1654">
        <f t="shared" si="14"/>
        <v>100</v>
      </c>
      <c r="X35" s="1593"/>
      <c r="Y35" s="3618"/>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6"/>
      <c r="Q36" s="1543" t="str">
        <f t="shared" si="11"/>
        <v>公共部分装修</v>
      </c>
      <c r="R36" s="1653" t="s">
        <v>28</v>
      </c>
      <c r="S36" s="1654">
        <f t="shared" si="12"/>
        <v>100</v>
      </c>
      <c r="T36" s="1653" t="s">
        <v>28</v>
      </c>
      <c r="U36" s="1654">
        <f t="shared" si="13"/>
        <v>100</v>
      </c>
      <c r="V36" s="1653" t="s">
        <v>28</v>
      </c>
      <c r="W36" s="1654">
        <f t="shared" si="14"/>
        <v>100</v>
      </c>
      <c r="X36" s="1593"/>
      <c r="Y36" s="3618"/>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16"/>
      <c r="Q37" s="1562" t="str">
        <f t="shared" si="11"/>
        <v>成新度</v>
      </c>
      <c r="R37" s="1608" t="s">
        <v>28</v>
      </c>
      <c r="S37" s="1609" t="e">
        <f t="shared" si="12"/>
        <v>#N/A</v>
      </c>
      <c r="T37" s="1608" t="s">
        <v>28</v>
      </c>
      <c r="U37" s="1609" t="e">
        <f t="shared" si="13"/>
        <v>#N/A</v>
      </c>
      <c r="V37" s="1608" t="s">
        <v>28</v>
      </c>
      <c r="W37" s="1609" t="e">
        <f t="shared" si="14"/>
        <v>#N/A</v>
      </c>
      <c r="X37" s="1610"/>
      <c r="Y37" s="3618"/>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6" t="s">
        <v>2035</v>
      </c>
      <c r="Q38" s="1543" t="str">
        <f t="shared" si="11"/>
        <v>物业管理</v>
      </c>
      <c r="R38" s="1653" t="s">
        <v>28</v>
      </c>
      <c r="S38" s="1654">
        <f t="shared" si="12"/>
        <v>100</v>
      </c>
      <c r="T38" s="1653" t="s">
        <v>28</v>
      </c>
      <c r="U38" s="1654">
        <f t="shared" si="13"/>
        <v>100</v>
      </c>
      <c r="V38" s="1653" t="s">
        <v>28</v>
      </c>
      <c r="W38" s="1654">
        <f t="shared" si="14"/>
        <v>100</v>
      </c>
      <c r="X38" s="1593"/>
      <c r="Y38" s="3618"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6"/>
      <c r="Q39" s="1543" t="str">
        <f t="shared" si="11"/>
        <v>市政基础设施</v>
      </c>
      <c r="R39" s="1653" t="s">
        <v>28</v>
      </c>
      <c r="S39" s="1654">
        <f t="shared" si="12"/>
        <v>100</v>
      </c>
      <c r="T39" s="1653" t="s">
        <v>28</v>
      </c>
      <c r="U39" s="1654">
        <f t="shared" si="13"/>
        <v>100</v>
      </c>
      <c r="V39" s="1653" t="s">
        <v>28</v>
      </c>
      <c r="W39" s="1654">
        <f t="shared" si="14"/>
        <v>100</v>
      </c>
      <c r="X39" s="1593"/>
      <c r="Y39" s="3618"/>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6"/>
      <c r="Q40" s="1543" t="str">
        <f t="shared" si="11"/>
        <v>房型</v>
      </c>
      <c r="R40" s="1653" t="s">
        <v>28</v>
      </c>
      <c r="S40" s="1654">
        <f t="shared" si="12"/>
        <v>100</v>
      </c>
      <c r="T40" s="1653" t="s">
        <v>28</v>
      </c>
      <c r="U40" s="1654">
        <f t="shared" si="13"/>
        <v>100</v>
      </c>
      <c r="V40" s="1653" t="s">
        <v>28</v>
      </c>
      <c r="W40" s="1654">
        <f t="shared" si="14"/>
        <v>100</v>
      </c>
      <c r="X40" s="1593"/>
      <c r="Y40" s="3618"/>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6"/>
      <c r="Q41" s="1694" t="str">
        <f t="shared" si="11"/>
        <v>单套/主力户型建筑面积</v>
      </c>
      <c r="R41" s="1695" t="s">
        <v>28</v>
      </c>
      <c r="S41" s="1696">
        <f t="shared" si="12"/>
        <v>100</v>
      </c>
      <c r="T41" s="1695" t="s">
        <v>28</v>
      </c>
      <c r="U41" s="1696">
        <f t="shared" si="13"/>
        <v>100</v>
      </c>
      <c r="V41" s="1695" t="s">
        <v>28</v>
      </c>
      <c r="W41" s="1696">
        <f t="shared" si="14"/>
        <v>100</v>
      </c>
      <c r="X41" s="1697"/>
      <c r="Y41" s="3618"/>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6"/>
      <c r="Q42" s="1543" t="str">
        <f t="shared" si="11"/>
        <v>内部装修</v>
      </c>
      <c r="R42" s="1653" t="s">
        <v>28</v>
      </c>
      <c r="S42" s="1654">
        <f t="shared" si="12"/>
        <v>100</v>
      </c>
      <c r="T42" s="1653" t="s">
        <v>28</v>
      </c>
      <c r="U42" s="1654">
        <f t="shared" si="13"/>
        <v>100</v>
      </c>
      <c r="V42" s="1653" t="s">
        <v>28</v>
      </c>
      <c r="W42" s="1654">
        <f t="shared" si="14"/>
        <v>100</v>
      </c>
      <c r="X42" s="1593"/>
      <c r="Y42" s="3618"/>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6"/>
      <c r="Q43" s="1543" t="str">
        <f t="shared" si="11"/>
        <v>内部装修维护情况</v>
      </c>
      <c r="R43" s="1653" t="s">
        <v>28</v>
      </c>
      <c r="S43" s="1654">
        <f t="shared" si="12"/>
        <v>100</v>
      </c>
      <c r="T43" s="1653" t="s">
        <v>28</v>
      </c>
      <c r="U43" s="1654">
        <f t="shared" si="13"/>
        <v>100</v>
      </c>
      <c r="V43" s="1653" t="s">
        <v>28</v>
      </c>
      <c r="W43" s="1654">
        <f t="shared" si="14"/>
        <v>100</v>
      </c>
      <c r="X43" s="1593"/>
      <c r="Y43" s="3618"/>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6"/>
      <c r="Q44" s="1562">
        <f t="shared" si="11"/>
        <v>111</v>
      </c>
      <c r="R44" s="1608" t="s">
        <v>28</v>
      </c>
      <c r="S44" s="1609">
        <f t="shared" si="12"/>
        <v>100</v>
      </c>
      <c r="T44" s="1608" t="s">
        <v>28</v>
      </c>
      <c r="U44" s="1609">
        <f t="shared" si="13"/>
        <v>100</v>
      </c>
      <c r="V44" s="1608" t="s">
        <v>28</v>
      </c>
      <c r="W44" s="1609">
        <f t="shared" si="14"/>
        <v>100</v>
      </c>
      <c r="X44" s="1610"/>
      <c r="Y44" s="361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6"/>
      <c r="Q45" s="1543">
        <f t="shared" si="11"/>
        <v>111</v>
      </c>
      <c r="R45" s="1653" t="s">
        <v>28</v>
      </c>
      <c r="S45" s="1654">
        <f t="shared" si="12"/>
        <v>100</v>
      </c>
      <c r="T45" s="1653" t="s">
        <v>28</v>
      </c>
      <c r="U45" s="1654">
        <f t="shared" si="13"/>
        <v>100</v>
      </c>
      <c r="V45" s="1653" t="s">
        <v>28</v>
      </c>
      <c r="W45" s="1654">
        <f t="shared" si="14"/>
        <v>100</v>
      </c>
      <c r="X45" s="1593"/>
      <c r="Y45" s="3618"/>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17"/>
      <c r="Q46" s="1543">
        <f t="shared" si="11"/>
        <v>111</v>
      </c>
      <c r="R46" s="1653" t="s">
        <v>27</v>
      </c>
      <c r="S46" s="1654">
        <f t="shared" si="12"/>
        <v>100</v>
      </c>
      <c r="T46" s="1653" t="s">
        <v>27</v>
      </c>
      <c r="U46" s="1654">
        <f t="shared" si="13"/>
        <v>100</v>
      </c>
      <c r="V46" s="1653" t="s">
        <v>27</v>
      </c>
      <c r="W46" s="1654">
        <f t="shared" si="14"/>
        <v>100</v>
      </c>
      <c r="X46" s="1593"/>
      <c r="Y46" s="3619"/>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24" t="str">
        <f>A47</f>
        <v>成交单价（元/平方米）</v>
      </c>
      <c r="Q47" s="3624"/>
      <c r="R47" s="3625">
        <f>E47</f>
        <v>0</v>
      </c>
      <c r="S47" s="3625"/>
      <c r="T47" s="3625">
        <f>G47</f>
        <v>0</v>
      </c>
      <c r="U47" s="3625"/>
      <c r="V47" s="3625">
        <f>I47</f>
        <v>0</v>
      </c>
      <c r="W47" s="3625"/>
      <c r="X47" s="1719"/>
      <c r="Y47" s="1720"/>
      <c r="Z47" s="1719"/>
      <c r="AA47" s="1719"/>
      <c r="AB47" s="1719"/>
      <c r="AC47" s="1719"/>
    </row>
    <row r="48" spans="1:29" ht="15.75" thickBot="1">
      <c r="A48" s="1721" t="s">
        <v>2048</v>
      </c>
      <c r="B48" s="1722"/>
      <c r="C48" s="1723" t="e">
        <f>R49</f>
        <v>#DIV/0!</v>
      </c>
      <c r="D48" s="1724" t="s">
        <v>2500</v>
      </c>
      <c r="E48" s="1725" t="e">
        <f>R48</f>
        <v>#DIV/0!</v>
      </c>
      <c r="F48" s="1726"/>
      <c r="G48" s="1723" t="e">
        <f>T48</f>
        <v>#DIV/0!</v>
      </c>
      <c r="H48" s="1726"/>
      <c r="I48" s="1725" t="e">
        <f>V48</f>
        <v>#DIV/0!</v>
      </c>
      <c r="J48" s="1726"/>
      <c r="K48" s="2429">
        <f>F48+H48+J48</f>
        <v>0</v>
      </c>
      <c r="L48" s="2920"/>
      <c r="P48" s="3624" t="str">
        <f>A48</f>
        <v>比较价值（元/平方米）</v>
      </c>
      <c r="Q48" s="3624"/>
      <c r="R48" s="3625" t="e">
        <f>IF(E1="售价",ROUND(PRODUCT(R47,AA7:AA46),0),ROUND(PRODUCT(R47,AA7:AA46),1))</f>
        <v>#DIV/0!</v>
      </c>
      <c r="S48" s="3625"/>
      <c r="T48" s="3628" t="e">
        <f>IF(E1="售价",ROUND(PRODUCT(T47,AB7:AB46),0),ROUND(PRODUCT(T47,AB7:AB46),1))</f>
        <v>#DIV/0!</v>
      </c>
      <c r="U48" s="3629"/>
      <c r="V48" s="3625" t="e">
        <f>IF(E1="售价",ROUND(PRODUCT(V47,AC7:AC46),0),ROUND(PRODUCT(V47,AC7:AC46),1))</f>
        <v>#DIV/0!</v>
      </c>
      <c r="W48" s="3625"/>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2022-4</v>
      </c>
      <c r="D58" s="1753">
        <f>EDATE(C58,-1)</f>
        <v>44621</v>
      </c>
      <c r="E58" s="1753">
        <f t="shared" ref="E58:O58" si="16">EDATE(D58,-1)</f>
        <v>44593</v>
      </c>
      <c r="F58" s="1753">
        <f t="shared" si="16"/>
        <v>44562</v>
      </c>
      <c r="G58" s="1753">
        <f t="shared" si="16"/>
        <v>44531</v>
      </c>
      <c r="H58" s="1753">
        <f t="shared" si="16"/>
        <v>44501</v>
      </c>
      <c r="I58" s="1753">
        <f t="shared" si="16"/>
        <v>44470</v>
      </c>
      <c r="J58" s="1753">
        <f t="shared" si="16"/>
        <v>44440</v>
      </c>
      <c r="K58" s="1753">
        <f t="shared" si="16"/>
        <v>44409</v>
      </c>
      <c r="L58" s="1753">
        <f t="shared" si="16"/>
        <v>44378</v>
      </c>
      <c r="M58" s="1753">
        <f t="shared" si="16"/>
        <v>44348</v>
      </c>
      <c r="N58" s="1753">
        <f t="shared" si="16"/>
        <v>44317</v>
      </c>
      <c r="O58" s="1753">
        <f t="shared" si="16"/>
        <v>44287</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497.23</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88" t="s">
        <v>2005</v>
      </c>
      <c r="D4" s="3589"/>
      <c r="E4" s="3590" t="s">
        <v>2006</v>
      </c>
      <c r="F4" s="3591"/>
      <c r="G4" s="3588" t="s">
        <v>2007</v>
      </c>
      <c r="H4" s="3589"/>
      <c r="I4" s="3588" t="s">
        <v>2008</v>
      </c>
      <c r="J4" s="3589"/>
      <c r="K4" s="1893" t="s">
        <v>2009</v>
      </c>
      <c r="L4" s="2914"/>
      <c r="M4" s="2915"/>
      <c r="N4" s="2915"/>
      <c r="O4" s="2915"/>
      <c r="P4" s="3592" t="s">
        <v>2010</v>
      </c>
      <c r="Q4" s="3593"/>
      <c r="R4" s="3598" t="s">
        <v>2006</v>
      </c>
      <c r="S4" s="3599"/>
      <c r="T4" s="3598" t="s">
        <v>2007</v>
      </c>
      <c r="U4" s="3599"/>
      <c r="V4" s="3604" t="s">
        <v>2008</v>
      </c>
      <c r="W4" s="3604"/>
      <c r="X4" s="2002"/>
      <c r="Y4" s="3598" t="s">
        <v>2010</v>
      </c>
      <c r="Z4" s="3599"/>
      <c r="AA4" s="3585" t="s">
        <v>2006</v>
      </c>
      <c r="AB4" s="3604" t="s">
        <v>2007</v>
      </c>
      <c r="AC4" s="3585" t="s">
        <v>2008</v>
      </c>
    </row>
    <row r="5" spans="1:29" ht="15">
      <c r="A5" s="1595"/>
      <c r="B5" s="1596"/>
      <c r="C5" s="3607" t="s">
        <v>2011</v>
      </c>
      <c r="D5" s="3608"/>
      <c r="E5" s="3605" t="s">
        <v>2012</v>
      </c>
      <c r="F5" s="3606"/>
      <c r="G5" s="3607" t="s">
        <v>2013</v>
      </c>
      <c r="H5" s="3608"/>
      <c r="I5" s="3607" t="s">
        <v>2014</v>
      </c>
      <c r="J5" s="3608"/>
      <c r="K5" s="1893"/>
      <c r="L5" s="2914"/>
      <c r="M5" s="2915"/>
      <c r="N5" s="2915"/>
      <c r="O5" s="2915"/>
      <c r="P5" s="3594"/>
      <c r="Q5" s="3595"/>
      <c r="R5" s="3600"/>
      <c r="S5" s="3601"/>
      <c r="T5" s="3600"/>
      <c r="U5" s="3601"/>
      <c r="V5" s="3604"/>
      <c r="W5" s="3604"/>
      <c r="X5" s="2002"/>
      <c r="Y5" s="3600"/>
      <c r="Z5" s="3601"/>
      <c r="AA5" s="3586"/>
      <c r="AB5" s="3604"/>
      <c r="AC5" s="3586"/>
    </row>
    <row r="6" spans="1:29" ht="15.75" thickBot="1">
      <c r="A6" s="1598"/>
      <c r="B6" s="1599"/>
      <c r="C6" s="3609" t="s">
        <v>2015</v>
      </c>
      <c r="D6" s="3610"/>
      <c r="E6" s="3611" t="s">
        <v>2015</v>
      </c>
      <c r="F6" s="3612"/>
      <c r="G6" s="3609" t="s">
        <v>2015</v>
      </c>
      <c r="H6" s="3610"/>
      <c r="I6" s="3609" t="s">
        <v>2015</v>
      </c>
      <c r="J6" s="3610"/>
      <c r="K6" s="1893" t="s">
        <v>2016</v>
      </c>
      <c r="L6" s="2914"/>
      <c r="M6" s="2915"/>
      <c r="N6" s="2915"/>
      <c r="O6" s="2915"/>
      <c r="P6" s="3596"/>
      <c r="Q6" s="3597"/>
      <c r="R6" s="3600"/>
      <c r="S6" s="3601"/>
      <c r="T6" s="3602"/>
      <c r="U6" s="3603"/>
      <c r="V6" s="3604"/>
      <c r="W6" s="3604"/>
      <c r="X6" s="2002"/>
      <c r="Y6" s="3602"/>
      <c r="Z6" s="3603"/>
      <c r="AA6" s="3587"/>
      <c r="AB6" s="3604"/>
      <c r="AC6" s="3587"/>
    </row>
    <row r="7" spans="1:29" s="1612" customFormat="1" ht="15.75" thickBot="1">
      <c r="A7" s="1600" t="s">
        <v>2017</v>
      </c>
      <c r="B7" s="1601"/>
      <c r="C7" s="1602">
        <f>'数据-取费表'!B2</f>
        <v>44676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0" t="s">
        <v>2018</v>
      </c>
      <c r="Q7" s="3622"/>
      <c r="R7" s="1608" t="s">
        <v>25</v>
      </c>
      <c r="S7" s="1609">
        <f t="shared" ref="S7:S15" si="0">F7</f>
        <v>0</v>
      </c>
      <c r="T7" s="1608" t="s">
        <v>25</v>
      </c>
      <c r="U7" s="1609">
        <f t="shared" ref="U7:U15" si="1">H7</f>
        <v>0</v>
      </c>
      <c r="V7" s="1608" t="s">
        <v>25</v>
      </c>
      <c r="W7" s="1609">
        <f t="shared" ref="W7:W15" si="2">J7</f>
        <v>0</v>
      </c>
      <c r="X7" s="1610"/>
      <c r="Y7" s="3620" t="s">
        <v>2018</v>
      </c>
      <c r="Z7" s="3621"/>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0" t="s">
        <v>2021</v>
      </c>
      <c r="Q8" s="3621"/>
      <c r="R8" s="1608" t="s">
        <v>25</v>
      </c>
      <c r="S8" s="1609">
        <f t="shared" si="0"/>
        <v>0</v>
      </c>
      <c r="T8" s="1608" t="s">
        <v>25</v>
      </c>
      <c r="U8" s="1609">
        <f t="shared" si="1"/>
        <v>0</v>
      </c>
      <c r="V8" s="1608" t="s">
        <v>25</v>
      </c>
      <c r="W8" s="1609">
        <f t="shared" si="2"/>
        <v>0</v>
      </c>
      <c r="X8" s="1610"/>
      <c r="Y8" s="3620" t="s">
        <v>2021</v>
      </c>
      <c r="Z8" s="3621"/>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3" t="s">
        <v>2024</v>
      </c>
      <c r="Q9" s="1993" t="str">
        <f t="shared" ref="Q9:Q15" si="6">B9</f>
        <v>用途</v>
      </c>
      <c r="R9" s="1608" t="s">
        <v>25</v>
      </c>
      <c r="S9" s="1609">
        <f t="shared" si="0"/>
        <v>100</v>
      </c>
      <c r="T9" s="1608" t="s">
        <v>25</v>
      </c>
      <c r="U9" s="1609">
        <f t="shared" si="1"/>
        <v>100</v>
      </c>
      <c r="V9" s="1608" t="s">
        <v>25</v>
      </c>
      <c r="W9" s="1609">
        <f t="shared" si="2"/>
        <v>100</v>
      </c>
      <c r="X9" s="1610"/>
      <c r="Y9" s="3488"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3"/>
      <c r="Q10" s="1993"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3"/>
      <c r="Q11" s="1993" t="str">
        <f t="shared" si="6"/>
        <v>容积率</v>
      </c>
      <c r="R11" s="1608" t="s">
        <v>25</v>
      </c>
      <c r="S11" s="1609" t="e">
        <f t="shared" si="0"/>
        <v>#N/A</v>
      </c>
      <c r="T11" s="1608" t="s">
        <v>25</v>
      </c>
      <c r="U11" s="1609" t="e">
        <f t="shared" si="1"/>
        <v>#N/A</v>
      </c>
      <c r="V11" s="1608" t="s">
        <v>25</v>
      </c>
      <c r="W11" s="1609" t="e">
        <f t="shared" si="2"/>
        <v>#N/A</v>
      </c>
      <c r="X11" s="1610"/>
      <c r="Y11" s="348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3"/>
      <c r="Q12" s="1993">
        <f t="shared" si="6"/>
        <v>111</v>
      </c>
      <c r="R12" s="1608" t="s">
        <v>25</v>
      </c>
      <c r="S12" s="1609">
        <f t="shared" si="0"/>
        <v>100</v>
      </c>
      <c r="T12" s="1608" t="s">
        <v>25</v>
      </c>
      <c r="U12" s="1609">
        <f t="shared" si="1"/>
        <v>100</v>
      </c>
      <c r="V12" s="1608" t="s">
        <v>25</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3"/>
      <c r="Q13" s="1993">
        <f t="shared" si="6"/>
        <v>111</v>
      </c>
      <c r="R13" s="1608" t="s">
        <v>25</v>
      </c>
      <c r="S13" s="1609">
        <f t="shared" si="0"/>
        <v>100</v>
      </c>
      <c r="T13" s="1608" t="s">
        <v>25</v>
      </c>
      <c r="U13" s="1609">
        <f t="shared" si="1"/>
        <v>100</v>
      </c>
      <c r="V13" s="1608" t="s">
        <v>25</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3"/>
      <c r="Q14" s="1993">
        <f t="shared" si="6"/>
        <v>111</v>
      </c>
      <c r="R14" s="1608" t="s">
        <v>25</v>
      </c>
      <c r="S14" s="1609">
        <f t="shared" si="0"/>
        <v>100</v>
      </c>
      <c r="T14" s="1608" t="s">
        <v>25</v>
      </c>
      <c r="U14" s="1609">
        <f t="shared" si="1"/>
        <v>100</v>
      </c>
      <c r="V14" s="1608" t="s">
        <v>25</v>
      </c>
      <c r="W14" s="1609">
        <f t="shared" si="2"/>
        <v>100</v>
      </c>
      <c r="X14" s="1610"/>
      <c r="Y14" s="3488"/>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6" t="s">
        <v>2029</v>
      </c>
      <c r="Q15" s="1999" t="str">
        <f t="shared" si="6"/>
        <v>商业繁华度</v>
      </c>
      <c r="R15" s="1653" t="s">
        <v>25</v>
      </c>
      <c r="S15" s="1654">
        <f t="shared" si="0"/>
        <v>100</v>
      </c>
      <c r="T15" s="1653" t="s">
        <v>25</v>
      </c>
      <c r="U15" s="1654">
        <f t="shared" si="1"/>
        <v>100</v>
      </c>
      <c r="V15" s="1653" t="s">
        <v>25</v>
      </c>
      <c r="W15" s="1654">
        <f t="shared" si="2"/>
        <v>100</v>
      </c>
      <c r="X15" s="2002"/>
      <c r="Y15" s="3613"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7"/>
      <c r="Q16" s="1999"/>
      <c r="R16" s="1653"/>
      <c r="S16" s="1654"/>
      <c r="T16" s="1653"/>
      <c r="U16" s="1654"/>
      <c r="V16" s="1653"/>
      <c r="W16" s="1654"/>
      <c r="X16" s="2002"/>
      <c r="Y16" s="3614"/>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7"/>
      <c r="Q17" s="1999" t="str">
        <f>B17</f>
        <v>交通便捷度</v>
      </c>
      <c r="R17" s="1653" t="s">
        <v>25</v>
      </c>
      <c r="S17" s="1654">
        <f>F17</f>
        <v>100</v>
      </c>
      <c r="T17" s="1653" t="s">
        <v>25</v>
      </c>
      <c r="U17" s="1654">
        <f>H17</f>
        <v>100</v>
      </c>
      <c r="V17" s="1653" t="s">
        <v>25</v>
      </c>
      <c r="W17" s="1654">
        <f>J17</f>
        <v>100</v>
      </c>
      <c r="X17" s="2002"/>
      <c r="Y17" s="3614"/>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7"/>
      <c r="Q18" s="1999"/>
      <c r="R18" s="1653"/>
      <c r="S18" s="1654"/>
      <c r="T18" s="1653"/>
      <c r="U18" s="1654"/>
      <c r="V18" s="1653"/>
      <c r="W18" s="1654"/>
      <c r="X18" s="2002"/>
      <c r="Y18" s="3614"/>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7"/>
      <c r="Q19" s="1999" t="str">
        <f>B19</f>
        <v>公共配套设施</v>
      </c>
      <c r="R19" s="1653" t="s">
        <v>25</v>
      </c>
      <c r="S19" s="1654">
        <f>F19</f>
        <v>100</v>
      </c>
      <c r="T19" s="1653" t="s">
        <v>25</v>
      </c>
      <c r="U19" s="1654">
        <f>H19</f>
        <v>100</v>
      </c>
      <c r="V19" s="1653" t="s">
        <v>25</v>
      </c>
      <c r="W19" s="1654">
        <f>J19</f>
        <v>100</v>
      </c>
      <c r="X19" s="2002"/>
      <c r="Y19" s="3614"/>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7"/>
      <c r="Q20" s="1999"/>
      <c r="R20" s="1653"/>
      <c r="S20" s="1654"/>
      <c r="T20" s="1653"/>
      <c r="U20" s="1654"/>
      <c r="V20" s="1653"/>
      <c r="W20" s="1654"/>
      <c r="X20" s="2002"/>
      <c r="Y20" s="3614"/>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7"/>
      <c r="Q21" s="1999" t="str">
        <f>B21</f>
        <v>基础设施水平</v>
      </c>
      <c r="R21" s="1653" t="s">
        <v>25</v>
      </c>
      <c r="S21" s="1654">
        <f>F21</f>
        <v>100</v>
      </c>
      <c r="T21" s="1653" t="s">
        <v>25</v>
      </c>
      <c r="U21" s="1654">
        <f>H21</f>
        <v>100</v>
      </c>
      <c r="V21" s="1653" t="s">
        <v>25</v>
      </c>
      <c r="W21" s="1654">
        <f>J21</f>
        <v>100</v>
      </c>
      <c r="X21" s="2002"/>
      <c r="Y21" s="3614"/>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7"/>
      <c r="Q22" s="1999"/>
      <c r="R22" s="1653"/>
      <c r="S22" s="1654"/>
      <c r="T22" s="1653"/>
      <c r="U22" s="1654"/>
      <c r="V22" s="1653"/>
      <c r="W22" s="1654"/>
      <c r="X22" s="2002"/>
      <c r="Y22" s="3614"/>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7"/>
      <c r="Q23" s="1999" t="str">
        <f>B23</f>
        <v>自然及人文环境</v>
      </c>
      <c r="R23" s="1653" t="s">
        <v>25</v>
      </c>
      <c r="S23" s="1654">
        <f>F23</f>
        <v>100</v>
      </c>
      <c r="T23" s="1653" t="s">
        <v>25</v>
      </c>
      <c r="U23" s="1654">
        <f>H23</f>
        <v>100</v>
      </c>
      <c r="V23" s="1653" t="s">
        <v>25</v>
      </c>
      <c r="W23" s="1654">
        <f>J23</f>
        <v>100</v>
      </c>
      <c r="X23" s="2002"/>
      <c r="Y23" s="3614"/>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7"/>
      <c r="Q24" s="1999"/>
      <c r="R24" s="1653"/>
      <c r="S24" s="1654"/>
      <c r="T24" s="1653"/>
      <c r="U24" s="1654"/>
      <c r="V24" s="1653"/>
      <c r="W24" s="1654"/>
      <c r="X24" s="2002"/>
      <c r="Y24" s="3614"/>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7"/>
      <c r="Q25" s="1999" t="str">
        <f t="shared" ref="Q25:Q46" si="11">B25</f>
        <v>临街状况</v>
      </c>
      <c r="R25" s="1653" t="s">
        <v>25</v>
      </c>
      <c r="S25" s="1654">
        <f>F25</f>
        <v>100</v>
      </c>
      <c r="T25" s="1653" t="s">
        <v>25</v>
      </c>
      <c r="U25" s="1654">
        <f>H25</f>
        <v>100</v>
      </c>
      <c r="V25" s="1653" t="s">
        <v>25</v>
      </c>
      <c r="W25" s="1654">
        <f>J25</f>
        <v>100</v>
      </c>
      <c r="X25" s="2002"/>
      <c r="Y25" s="3614"/>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7"/>
      <c r="Q26" s="1999" t="str">
        <f t="shared" si="11"/>
        <v>平面位置/可视性</v>
      </c>
      <c r="R26" s="1653" t="s">
        <v>25</v>
      </c>
      <c r="S26" s="1654">
        <f>F26</f>
        <v>100</v>
      </c>
      <c r="T26" s="1653" t="s">
        <v>25</v>
      </c>
      <c r="U26" s="1654">
        <f>H26</f>
        <v>100</v>
      </c>
      <c r="V26" s="1653" t="s">
        <v>25</v>
      </c>
      <c r="W26" s="1654">
        <f>J26</f>
        <v>100</v>
      </c>
      <c r="X26" s="2002"/>
      <c r="Y26" s="3614"/>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7"/>
      <c r="Q27" s="1993" t="str">
        <f t="shared" si="11"/>
        <v>人流量</v>
      </c>
      <c r="R27" s="1608" t="s">
        <v>25</v>
      </c>
      <c r="S27" s="1609">
        <f>F27</f>
        <v>100</v>
      </c>
      <c r="T27" s="1608" t="s">
        <v>25</v>
      </c>
      <c r="U27" s="1609">
        <f>H27</f>
        <v>100</v>
      </c>
      <c r="V27" s="1608" t="s">
        <v>25</v>
      </c>
      <c r="W27" s="1609">
        <f>J27</f>
        <v>100</v>
      </c>
      <c r="X27" s="1610"/>
      <c r="Y27" s="3614"/>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7"/>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4"/>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7"/>
      <c r="Q29" s="1999">
        <f t="shared" si="11"/>
        <v>111</v>
      </c>
      <c r="R29" s="1653" t="s">
        <v>25</v>
      </c>
      <c r="S29" s="1654">
        <f t="shared" si="12"/>
        <v>100</v>
      </c>
      <c r="T29" s="1653" t="s">
        <v>25</v>
      </c>
      <c r="U29" s="1654">
        <f t="shared" si="13"/>
        <v>100</v>
      </c>
      <c r="V29" s="1653" t="s">
        <v>25</v>
      </c>
      <c r="W29" s="1654">
        <f t="shared" si="14"/>
        <v>100</v>
      </c>
      <c r="X29" s="2002"/>
      <c r="Y29" s="3614"/>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7"/>
      <c r="Q30" s="1999">
        <f t="shared" si="11"/>
        <v>111</v>
      </c>
      <c r="R30" s="1653" t="s">
        <v>25</v>
      </c>
      <c r="S30" s="1654">
        <f t="shared" si="12"/>
        <v>100</v>
      </c>
      <c r="T30" s="1653" t="s">
        <v>25</v>
      </c>
      <c r="U30" s="1654">
        <f t="shared" si="13"/>
        <v>100</v>
      </c>
      <c r="V30" s="1653" t="s">
        <v>25</v>
      </c>
      <c r="W30" s="1654">
        <f t="shared" si="14"/>
        <v>100</v>
      </c>
      <c r="X30" s="2002"/>
      <c r="Y30" s="3614"/>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7"/>
      <c r="Q31" s="1999">
        <f t="shared" si="11"/>
        <v>111</v>
      </c>
      <c r="R31" s="1653" t="s">
        <v>25</v>
      </c>
      <c r="S31" s="1654">
        <f t="shared" si="12"/>
        <v>100</v>
      </c>
      <c r="T31" s="1653" t="s">
        <v>25</v>
      </c>
      <c r="U31" s="1654">
        <f t="shared" si="13"/>
        <v>100</v>
      </c>
      <c r="V31" s="1653" t="s">
        <v>25</v>
      </c>
      <c r="W31" s="1654">
        <f t="shared" si="14"/>
        <v>100</v>
      </c>
      <c r="X31" s="2002"/>
      <c r="Y31" s="3614"/>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5" t="s">
        <v>2035</v>
      </c>
      <c r="Q32" s="1999" t="str">
        <f t="shared" si="11"/>
        <v>商业类型</v>
      </c>
      <c r="R32" s="1653" t="s">
        <v>25</v>
      </c>
      <c r="S32" s="1654">
        <f t="shared" si="12"/>
        <v>100</v>
      </c>
      <c r="T32" s="1653" t="s">
        <v>25</v>
      </c>
      <c r="U32" s="1654">
        <f t="shared" si="13"/>
        <v>100</v>
      </c>
      <c r="V32" s="1653" t="s">
        <v>25</v>
      </c>
      <c r="W32" s="1654">
        <f t="shared" si="14"/>
        <v>100</v>
      </c>
      <c r="X32" s="2002"/>
      <c r="Y32" s="3618"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6"/>
      <c r="Q33" s="1694" t="str">
        <f t="shared" si="11"/>
        <v>项目建筑规模</v>
      </c>
      <c r="R33" s="1695" t="s">
        <v>25</v>
      </c>
      <c r="S33" s="1696" t="e">
        <f t="shared" si="12"/>
        <v>#N/A</v>
      </c>
      <c r="T33" s="1695" t="s">
        <v>25</v>
      </c>
      <c r="U33" s="1696" t="e">
        <f t="shared" si="13"/>
        <v>#N/A</v>
      </c>
      <c r="V33" s="1695" t="s">
        <v>25</v>
      </c>
      <c r="W33" s="1696" t="e">
        <f t="shared" si="14"/>
        <v>#N/A</v>
      </c>
      <c r="X33" s="1697"/>
      <c r="Y33" s="3618"/>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6"/>
      <c r="Q34" s="1999" t="str">
        <f t="shared" si="11"/>
        <v>建筑结构</v>
      </c>
      <c r="R34" s="1653" t="s">
        <v>25</v>
      </c>
      <c r="S34" s="1654">
        <f t="shared" si="12"/>
        <v>100</v>
      </c>
      <c r="T34" s="1653" t="s">
        <v>25</v>
      </c>
      <c r="U34" s="1654">
        <f t="shared" si="13"/>
        <v>100</v>
      </c>
      <c r="V34" s="1653" t="s">
        <v>25</v>
      </c>
      <c r="W34" s="1654">
        <f t="shared" si="14"/>
        <v>100</v>
      </c>
      <c r="X34" s="2002"/>
      <c r="Y34" s="3618"/>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6"/>
      <c r="Q35" s="1999" t="str">
        <f t="shared" si="11"/>
        <v>公共部分装修</v>
      </c>
      <c r="R35" s="1653" t="s">
        <v>25</v>
      </c>
      <c r="S35" s="1654">
        <f t="shared" si="12"/>
        <v>100</v>
      </c>
      <c r="T35" s="1653" t="s">
        <v>25</v>
      </c>
      <c r="U35" s="1654">
        <f t="shared" si="13"/>
        <v>100</v>
      </c>
      <c r="V35" s="1653" t="s">
        <v>25</v>
      </c>
      <c r="W35" s="1654">
        <f t="shared" si="14"/>
        <v>100</v>
      </c>
      <c r="X35" s="2002"/>
      <c r="Y35" s="3618"/>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6"/>
      <c r="Q36" s="1999" t="str">
        <f t="shared" si="11"/>
        <v>成新度</v>
      </c>
      <c r="R36" s="1653" t="s">
        <v>25</v>
      </c>
      <c r="S36" s="1654" t="e">
        <f t="shared" si="12"/>
        <v>#N/A</v>
      </c>
      <c r="T36" s="1653" t="s">
        <v>25</v>
      </c>
      <c r="U36" s="1654" t="e">
        <f t="shared" si="13"/>
        <v>#N/A</v>
      </c>
      <c r="V36" s="1653" t="s">
        <v>25</v>
      </c>
      <c r="W36" s="1654" t="e">
        <f t="shared" si="14"/>
        <v>#N/A</v>
      </c>
      <c r="X36" s="2002"/>
      <c r="Y36" s="3618"/>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6"/>
      <c r="Q37" s="1993" t="str">
        <f t="shared" si="11"/>
        <v>市政基础设施</v>
      </c>
      <c r="R37" s="1608" t="s">
        <v>25</v>
      </c>
      <c r="S37" s="1609">
        <f t="shared" si="12"/>
        <v>100</v>
      </c>
      <c r="T37" s="1608" t="s">
        <v>25</v>
      </c>
      <c r="U37" s="1609">
        <f t="shared" si="13"/>
        <v>100</v>
      </c>
      <c r="V37" s="1608" t="s">
        <v>25</v>
      </c>
      <c r="W37" s="1609">
        <f t="shared" si="14"/>
        <v>100</v>
      </c>
      <c r="X37" s="1610"/>
      <c r="Y37" s="3618"/>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6" t="s">
        <v>2035</v>
      </c>
      <c r="Q38" s="1999" t="str">
        <f t="shared" si="11"/>
        <v>业态</v>
      </c>
      <c r="R38" s="1653" t="s">
        <v>25</v>
      </c>
      <c r="S38" s="1654">
        <f t="shared" si="12"/>
        <v>100</v>
      </c>
      <c r="T38" s="1653" t="s">
        <v>25</v>
      </c>
      <c r="U38" s="1654">
        <f t="shared" si="13"/>
        <v>100</v>
      </c>
      <c r="V38" s="1653" t="s">
        <v>25</v>
      </c>
      <c r="W38" s="1654">
        <f t="shared" si="14"/>
        <v>100</v>
      </c>
      <c r="X38" s="2002"/>
      <c r="Y38" s="3618"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6"/>
      <c r="Q39" s="1999" t="str">
        <f t="shared" si="11"/>
        <v>层高</v>
      </c>
      <c r="R39" s="1653" t="s">
        <v>25</v>
      </c>
      <c r="S39" s="1654">
        <f t="shared" si="12"/>
        <v>100</v>
      </c>
      <c r="T39" s="1653" t="s">
        <v>25</v>
      </c>
      <c r="U39" s="1654">
        <f t="shared" si="13"/>
        <v>100</v>
      </c>
      <c r="V39" s="1653" t="s">
        <v>25</v>
      </c>
      <c r="W39" s="1654">
        <f t="shared" si="14"/>
        <v>100</v>
      </c>
      <c r="X39" s="2002"/>
      <c r="Y39" s="3618"/>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6"/>
      <c r="Q40" s="1999" t="str">
        <f t="shared" si="11"/>
        <v>单套建筑面积</v>
      </c>
      <c r="R40" s="1653" t="s">
        <v>25</v>
      </c>
      <c r="S40" s="1654">
        <f t="shared" si="12"/>
        <v>100</v>
      </c>
      <c r="T40" s="1653" t="s">
        <v>25</v>
      </c>
      <c r="U40" s="1654">
        <f t="shared" si="13"/>
        <v>100</v>
      </c>
      <c r="V40" s="1653" t="s">
        <v>25</v>
      </c>
      <c r="W40" s="1654">
        <f t="shared" si="14"/>
        <v>100</v>
      </c>
      <c r="X40" s="2002"/>
      <c r="Y40" s="3618"/>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6"/>
      <c r="Q41" s="1694" t="str">
        <f t="shared" si="11"/>
        <v>进深比</v>
      </c>
      <c r="R41" s="1695" t="s">
        <v>25</v>
      </c>
      <c r="S41" s="1696">
        <f t="shared" si="12"/>
        <v>100</v>
      </c>
      <c r="T41" s="1695" t="s">
        <v>25</v>
      </c>
      <c r="U41" s="1696">
        <f t="shared" si="13"/>
        <v>100</v>
      </c>
      <c r="V41" s="1695" t="s">
        <v>25</v>
      </c>
      <c r="W41" s="1696">
        <f t="shared" si="14"/>
        <v>100</v>
      </c>
      <c r="X41" s="1697"/>
      <c r="Y41" s="3618"/>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6"/>
      <c r="Q42" s="1999" t="str">
        <f t="shared" si="11"/>
        <v>内部装修</v>
      </c>
      <c r="R42" s="1653" t="s">
        <v>25</v>
      </c>
      <c r="S42" s="1654">
        <f t="shared" si="12"/>
        <v>100</v>
      </c>
      <c r="T42" s="1653" t="s">
        <v>25</v>
      </c>
      <c r="U42" s="1654">
        <f t="shared" si="13"/>
        <v>100</v>
      </c>
      <c r="V42" s="1653" t="s">
        <v>25</v>
      </c>
      <c r="W42" s="1654">
        <f t="shared" si="14"/>
        <v>100</v>
      </c>
      <c r="X42" s="2002"/>
      <c r="Y42" s="3618"/>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6"/>
      <c r="Q43" s="1999" t="str">
        <f t="shared" si="11"/>
        <v>内部装修维护情况</v>
      </c>
      <c r="R43" s="1653" t="s">
        <v>25</v>
      </c>
      <c r="S43" s="1654">
        <f t="shared" si="12"/>
        <v>100</v>
      </c>
      <c r="T43" s="1653" t="s">
        <v>25</v>
      </c>
      <c r="U43" s="1654">
        <f t="shared" si="13"/>
        <v>100</v>
      </c>
      <c r="V43" s="1653" t="s">
        <v>25</v>
      </c>
      <c r="W43" s="1654">
        <f t="shared" si="14"/>
        <v>100</v>
      </c>
      <c r="X43" s="2002"/>
      <c r="Y43" s="3618"/>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6"/>
      <c r="Q44" s="1993">
        <f t="shared" si="11"/>
        <v>111</v>
      </c>
      <c r="R44" s="1608" t="s">
        <v>25</v>
      </c>
      <c r="S44" s="1609">
        <f t="shared" si="12"/>
        <v>100</v>
      </c>
      <c r="T44" s="1608" t="s">
        <v>25</v>
      </c>
      <c r="U44" s="1609">
        <f t="shared" si="13"/>
        <v>100</v>
      </c>
      <c r="V44" s="1608" t="s">
        <v>25</v>
      </c>
      <c r="W44" s="1609">
        <f t="shared" si="14"/>
        <v>100</v>
      </c>
      <c r="X44" s="1610"/>
      <c r="Y44" s="361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6"/>
      <c r="Q45" s="1999">
        <f t="shared" si="11"/>
        <v>111</v>
      </c>
      <c r="R45" s="1653" t="s">
        <v>25</v>
      </c>
      <c r="S45" s="1654">
        <f t="shared" si="12"/>
        <v>100</v>
      </c>
      <c r="T45" s="1653" t="s">
        <v>25</v>
      </c>
      <c r="U45" s="1654">
        <f t="shared" si="13"/>
        <v>100</v>
      </c>
      <c r="V45" s="1653" t="s">
        <v>25</v>
      </c>
      <c r="W45" s="1654">
        <f t="shared" si="14"/>
        <v>100</v>
      </c>
      <c r="X45" s="2002"/>
      <c r="Y45" s="3618"/>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17"/>
      <c r="Q46" s="1999">
        <f t="shared" si="11"/>
        <v>111</v>
      </c>
      <c r="R46" s="1653" t="s">
        <v>25</v>
      </c>
      <c r="S46" s="1654">
        <f t="shared" si="12"/>
        <v>100</v>
      </c>
      <c r="T46" s="1653" t="s">
        <v>25</v>
      </c>
      <c r="U46" s="1654">
        <f t="shared" si="13"/>
        <v>100</v>
      </c>
      <c r="V46" s="1653" t="s">
        <v>25</v>
      </c>
      <c r="W46" s="1654">
        <f t="shared" si="14"/>
        <v>100</v>
      </c>
      <c r="X46" s="2002"/>
      <c r="Y46" s="3619"/>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24" t="str">
        <f>A47</f>
        <v>成交单价（元/平方米）</v>
      </c>
      <c r="Q47" s="3624"/>
      <c r="R47" s="3625">
        <f>E47</f>
        <v>0</v>
      </c>
      <c r="S47" s="3625"/>
      <c r="T47" s="3625">
        <f>G47</f>
        <v>0</v>
      </c>
      <c r="U47" s="3625"/>
      <c r="V47" s="3625">
        <f>I47</f>
        <v>0</v>
      </c>
      <c r="W47" s="3625"/>
      <c r="X47" s="1719"/>
      <c r="Y47" s="2001"/>
      <c r="Z47" s="1719"/>
      <c r="AA47" s="1719"/>
      <c r="AB47" s="1719"/>
      <c r="AC47" s="1719"/>
    </row>
    <row r="48" spans="1:29" ht="15.75" thickBot="1">
      <c r="A48" s="1721" t="s">
        <v>2130</v>
      </c>
      <c r="B48" s="1722"/>
      <c r="C48" s="1723" t="e">
        <f>R49</f>
        <v>#DIV/0!</v>
      </c>
      <c r="D48" s="1724" t="s">
        <v>2500</v>
      </c>
      <c r="E48" s="1725" t="e">
        <f>R48</f>
        <v>#DIV/0!</v>
      </c>
      <c r="F48" s="1726"/>
      <c r="G48" s="1723" t="e">
        <f>T48</f>
        <v>#DIV/0!</v>
      </c>
      <c r="H48" s="1726"/>
      <c r="I48" s="1725" t="e">
        <f>V48</f>
        <v>#DIV/0!</v>
      </c>
      <c r="J48" s="1726"/>
      <c r="K48" s="2428">
        <f>F48+H48+J48</f>
        <v>0</v>
      </c>
      <c r="L48" s="2920"/>
      <c r="N48" s="2915"/>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2022-4</v>
      </c>
      <c r="D58" s="1753">
        <f>EDATE(C58,-1)</f>
        <v>44621</v>
      </c>
      <c r="E58" s="1753">
        <f t="shared" ref="E58:O58" si="16">EDATE(D58,-1)</f>
        <v>44593</v>
      </c>
      <c r="F58" s="1753">
        <f t="shared" si="16"/>
        <v>44562</v>
      </c>
      <c r="G58" s="1753">
        <f t="shared" si="16"/>
        <v>44531</v>
      </c>
      <c r="H58" s="1753">
        <f t="shared" si="16"/>
        <v>44501</v>
      </c>
      <c r="I58" s="1753">
        <f t="shared" si="16"/>
        <v>44470</v>
      </c>
      <c r="J58" s="1753">
        <f t="shared" si="16"/>
        <v>44440</v>
      </c>
      <c r="K58" s="1753">
        <f t="shared" si="16"/>
        <v>44409</v>
      </c>
      <c r="L58" s="1753">
        <f t="shared" si="16"/>
        <v>44378</v>
      </c>
      <c r="M58" s="1753">
        <f t="shared" si="16"/>
        <v>44348</v>
      </c>
      <c r="N58" s="1753">
        <f t="shared" si="16"/>
        <v>44317</v>
      </c>
      <c r="O58" s="1753">
        <f t="shared" si="16"/>
        <v>44287</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497.23</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88" t="s">
        <v>2005</v>
      </c>
      <c r="D4" s="3589"/>
      <c r="E4" s="3590" t="s">
        <v>2006</v>
      </c>
      <c r="F4" s="3591"/>
      <c r="G4" s="3588" t="s">
        <v>2007</v>
      </c>
      <c r="H4" s="3589"/>
      <c r="I4" s="3588" t="s">
        <v>2008</v>
      </c>
      <c r="J4" s="3589"/>
      <c r="K4" s="1893" t="s">
        <v>2009</v>
      </c>
      <c r="L4" s="2914"/>
      <c r="M4" s="2915"/>
      <c r="N4" s="2915"/>
      <c r="O4" s="2915"/>
      <c r="P4" s="3592" t="s">
        <v>2010</v>
      </c>
      <c r="Q4" s="3593"/>
      <c r="R4" s="3598" t="s">
        <v>2006</v>
      </c>
      <c r="S4" s="3599"/>
      <c r="T4" s="3598" t="s">
        <v>2007</v>
      </c>
      <c r="U4" s="3599"/>
      <c r="V4" s="3604" t="s">
        <v>2008</v>
      </c>
      <c r="W4" s="3604"/>
      <c r="X4" s="2002"/>
      <c r="Y4" s="3598" t="s">
        <v>2010</v>
      </c>
      <c r="Z4" s="3599"/>
      <c r="AA4" s="3585" t="s">
        <v>2006</v>
      </c>
      <c r="AB4" s="3585" t="s">
        <v>2007</v>
      </c>
      <c r="AC4" s="3585" t="s">
        <v>2008</v>
      </c>
    </row>
    <row r="5" spans="1:29" ht="15">
      <c r="A5" s="1595"/>
      <c r="B5" s="1596"/>
      <c r="C5" s="3607" t="s">
        <v>2011</v>
      </c>
      <c r="D5" s="3608"/>
      <c r="E5" s="3605" t="s">
        <v>2012</v>
      </c>
      <c r="F5" s="3606"/>
      <c r="G5" s="3607" t="s">
        <v>2013</v>
      </c>
      <c r="H5" s="3608"/>
      <c r="I5" s="3607" t="s">
        <v>2014</v>
      </c>
      <c r="J5" s="3608"/>
      <c r="K5" s="1893"/>
      <c r="L5" s="2914"/>
      <c r="M5" s="2915"/>
      <c r="N5" s="2915"/>
      <c r="O5" s="2915"/>
      <c r="P5" s="3594"/>
      <c r="Q5" s="3595"/>
      <c r="R5" s="3600"/>
      <c r="S5" s="3601"/>
      <c r="T5" s="3600"/>
      <c r="U5" s="3601"/>
      <c r="V5" s="3604"/>
      <c r="W5" s="3604"/>
      <c r="X5" s="2002"/>
      <c r="Y5" s="3600"/>
      <c r="Z5" s="3601"/>
      <c r="AA5" s="3586"/>
      <c r="AB5" s="3586"/>
      <c r="AC5" s="3586"/>
    </row>
    <row r="6" spans="1:29" ht="15.75" thickBot="1">
      <c r="A6" s="1598"/>
      <c r="B6" s="1599"/>
      <c r="C6" s="3609" t="s">
        <v>2015</v>
      </c>
      <c r="D6" s="3610"/>
      <c r="E6" s="3611" t="s">
        <v>2015</v>
      </c>
      <c r="F6" s="3612"/>
      <c r="G6" s="3609" t="s">
        <v>2015</v>
      </c>
      <c r="H6" s="3610"/>
      <c r="I6" s="3609" t="s">
        <v>2015</v>
      </c>
      <c r="J6" s="3610"/>
      <c r="K6" s="1893" t="s">
        <v>2016</v>
      </c>
      <c r="L6" s="2914"/>
      <c r="M6" s="2915"/>
      <c r="N6" s="2915"/>
      <c r="O6" s="2915"/>
      <c r="P6" s="3596"/>
      <c r="Q6" s="3597"/>
      <c r="R6" s="3600"/>
      <c r="S6" s="3601"/>
      <c r="T6" s="3602"/>
      <c r="U6" s="3603"/>
      <c r="V6" s="3604"/>
      <c r="W6" s="3604"/>
      <c r="X6" s="2002"/>
      <c r="Y6" s="3602"/>
      <c r="Z6" s="3603"/>
      <c r="AA6" s="3587"/>
      <c r="AB6" s="3587"/>
      <c r="AC6" s="3587"/>
    </row>
    <row r="7" spans="1:29" s="1612" customFormat="1" ht="15.75" thickBot="1">
      <c r="A7" s="1600" t="s">
        <v>2017</v>
      </c>
      <c r="B7" s="1601"/>
      <c r="C7" s="1602">
        <f>'数据-取费表'!B2</f>
        <v>44676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0" t="s">
        <v>2018</v>
      </c>
      <c r="Q7" s="3622"/>
      <c r="R7" s="1608" t="s">
        <v>25</v>
      </c>
      <c r="S7" s="1609">
        <f t="shared" ref="S7:S15" si="0">F7</f>
        <v>0</v>
      </c>
      <c r="T7" s="1608" t="s">
        <v>25</v>
      </c>
      <c r="U7" s="1609">
        <f t="shared" ref="U7:U15" si="1">H7</f>
        <v>0</v>
      </c>
      <c r="V7" s="1608" t="s">
        <v>25</v>
      </c>
      <c r="W7" s="1609">
        <f t="shared" ref="W7:W15" si="2">J7</f>
        <v>0</v>
      </c>
      <c r="X7" s="1610"/>
      <c r="Y7" s="3620" t="s">
        <v>2018</v>
      </c>
      <c r="Z7" s="3621"/>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0" t="s">
        <v>2021</v>
      </c>
      <c r="Q8" s="3621"/>
      <c r="R8" s="1608" t="s">
        <v>25</v>
      </c>
      <c r="S8" s="1609">
        <f t="shared" si="0"/>
        <v>0</v>
      </c>
      <c r="T8" s="1608" t="s">
        <v>25</v>
      </c>
      <c r="U8" s="1609">
        <f t="shared" si="1"/>
        <v>0</v>
      </c>
      <c r="V8" s="1608" t="s">
        <v>25</v>
      </c>
      <c r="W8" s="1609">
        <f t="shared" si="2"/>
        <v>0</v>
      </c>
      <c r="X8" s="1610"/>
      <c r="Y8" s="3620" t="s">
        <v>2021</v>
      </c>
      <c r="Z8" s="3621"/>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4" t="s">
        <v>2024</v>
      </c>
      <c r="Q9" s="2832" t="str">
        <f t="shared" ref="Q9:Q15" si="6">B9</f>
        <v>用途</v>
      </c>
      <c r="R9" s="1608" t="s">
        <v>25</v>
      </c>
      <c r="S9" s="1609">
        <f t="shared" si="0"/>
        <v>100</v>
      </c>
      <c r="T9" s="1608" t="s">
        <v>25</v>
      </c>
      <c r="U9" s="1609">
        <f t="shared" si="1"/>
        <v>100</v>
      </c>
      <c r="V9" s="1608" t="s">
        <v>25</v>
      </c>
      <c r="W9" s="1609">
        <f t="shared" si="2"/>
        <v>100</v>
      </c>
      <c r="X9" s="1610"/>
      <c r="Y9" s="3488"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4"/>
      <c r="Q10" s="2832"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4"/>
      <c r="Q11" s="2832" t="str">
        <f t="shared" si="6"/>
        <v>容积率</v>
      </c>
      <c r="R11" s="1608" t="s">
        <v>25</v>
      </c>
      <c r="S11" s="1609" t="e">
        <f t="shared" si="0"/>
        <v>#N/A</v>
      </c>
      <c r="T11" s="1608" t="s">
        <v>25</v>
      </c>
      <c r="U11" s="1609" t="e">
        <f t="shared" si="1"/>
        <v>#N/A</v>
      </c>
      <c r="V11" s="1608" t="s">
        <v>25</v>
      </c>
      <c r="W11" s="1609" t="e">
        <f t="shared" si="2"/>
        <v>#N/A</v>
      </c>
      <c r="X11" s="1610"/>
      <c r="Y11" s="348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4"/>
      <c r="Q12" s="2832">
        <f t="shared" si="6"/>
        <v>111</v>
      </c>
      <c r="R12" s="1608" t="s">
        <v>25</v>
      </c>
      <c r="S12" s="1609">
        <f t="shared" si="0"/>
        <v>100</v>
      </c>
      <c r="T12" s="1608" t="s">
        <v>25</v>
      </c>
      <c r="U12" s="1609">
        <f t="shared" si="1"/>
        <v>100</v>
      </c>
      <c r="V12" s="1608" t="s">
        <v>25</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4"/>
      <c r="Q13" s="2832">
        <f t="shared" si="6"/>
        <v>111</v>
      </c>
      <c r="R13" s="1608" t="s">
        <v>25</v>
      </c>
      <c r="S13" s="1609">
        <f t="shared" si="0"/>
        <v>100</v>
      </c>
      <c r="T13" s="1608" t="s">
        <v>25</v>
      </c>
      <c r="U13" s="1609">
        <f t="shared" si="1"/>
        <v>100</v>
      </c>
      <c r="V13" s="1608" t="s">
        <v>25</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4"/>
      <c r="Q14" s="2832">
        <f t="shared" si="6"/>
        <v>111</v>
      </c>
      <c r="R14" s="1608" t="s">
        <v>25</v>
      </c>
      <c r="S14" s="1609">
        <f t="shared" si="0"/>
        <v>100</v>
      </c>
      <c r="T14" s="1608" t="s">
        <v>25</v>
      </c>
      <c r="U14" s="1609">
        <f t="shared" si="1"/>
        <v>100</v>
      </c>
      <c r="V14" s="1608" t="s">
        <v>25</v>
      </c>
      <c r="W14" s="1609">
        <f t="shared" si="2"/>
        <v>100</v>
      </c>
      <c r="X14" s="1610"/>
      <c r="Y14" s="3488"/>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3" t="s">
        <v>2029</v>
      </c>
      <c r="Q15" s="2833" t="str">
        <f t="shared" si="6"/>
        <v>办公集聚程度</v>
      </c>
      <c r="R15" s="1653" t="s">
        <v>25</v>
      </c>
      <c r="S15" s="1654">
        <f t="shared" si="0"/>
        <v>100</v>
      </c>
      <c r="T15" s="1653" t="s">
        <v>25</v>
      </c>
      <c r="U15" s="1654">
        <f t="shared" si="1"/>
        <v>100</v>
      </c>
      <c r="V15" s="1653" t="s">
        <v>25</v>
      </c>
      <c r="W15" s="1654">
        <f t="shared" si="2"/>
        <v>100</v>
      </c>
      <c r="X15" s="2002"/>
      <c r="Y15" s="3613"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4"/>
      <c r="Q16" s="2833"/>
      <c r="R16" s="1653"/>
      <c r="S16" s="1654"/>
      <c r="T16" s="1653"/>
      <c r="U16" s="1654"/>
      <c r="V16" s="1653"/>
      <c r="W16" s="1654"/>
      <c r="X16" s="2002"/>
      <c r="Y16" s="3614"/>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4"/>
      <c r="Q17" s="2833" t="str">
        <f>B17</f>
        <v>交通便捷度</v>
      </c>
      <c r="R17" s="1653" t="s">
        <v>25</v>
      </c>
      <c r="S17" s="1654">
        <f>F17</f>
        <v>100</v>
      </c>
      <c r="T17" s="1653" t="s">
        <v>25</v>
      </c>
      <c r="U17" s="1654">
        <f>H17</f>
        <v>100</v>
      </c>
      <c r="V17" s="1653" t="s">
        <v>25</v>
      </c>
      <c r="W17" s="1654">
        <f>J17</f>
        <v>100</v>
      </c>
      <c r="X17" s="2002"/>
      <c r="Y17" s="3614"/>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4"/>
      <c r="Q18" s="2833"/>
      <c r="R18" s="1653"/>
      <c r="S18" s="1654"/>
      <c r="T18" s="1653"/>
      <c r="U18" s="1654"/>
      <c r="V18" s="1653"/>
      <c r="W18" s="1654"/>
      <c r="X18" s="2002"/>
      <c r="Y18" s="3614"/>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4"/>
      <c r="Q19" s="2833" t="str">
        <f>B19</f>
        <v>公共配套设施</v>
      </c>
      <c r="R19" s="1653" t="s">
        <v>25</v>
      </c>
      <c r="S19" s="1654">
        <f>F19</f>
        <v>100</v>
      </c>
      <c r="T19" s="1653" t="s">
        <v>25</v>
      </c>
      <c r="U19" s="1654">
        <f>H19</f>
        <v>100</v>
      </c>
      <c r="V19" s="1653" t="s">
        <v>25</v>
      </c>
      <c r="W19" s="1654">
        <f>J19</f>
        <v>100</v>
      </c>
      <c r="X19" s="2002"/>
      <c r="Y19" s="3614"/>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4"/>
      <c r="Q20" s="2833"/>
      <c r="R20" s="1653"/>
      <c r="S20" s="1654"/>
      <c r="T20" s="1653"/>
      <c r="U20" s="1654"/>
      <c r="V20" s="1653"/>
      <c r="W20" s="1654"/>
      <c r="X20" s="2002"/>
      <c r="Y20" s="3614"/>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4"/>
      <c r="Q21" s="2833" t="str">
        <f>B21</f>
        <v>基础设施水平</v>
      </c>
      <c r="R21" s="1653" t="s">
        <v>25</v>
      </c>
      <c r="S21" s="1654">
        <f>F21</f>
        <v>100</v>
      </c>
      <c r="T21" s="1653" t="s">
        <v>25</v>
      </c>
      <c r="U21" s="1654">
        <f>H21</f>
        <v>100</v>
      </c>
      <c r="V21" s="1653" t="s">
        <v>25</v>
      </c>
      <c r="W21" s="1654">
        <f>J21</f>
        <v>100</v>
      </c>
      <c r="X21" s="2002"/>
      <c r="Y21" s="3614"/>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4"/>
      <c r="Q22" s="2833"/>
      <c r="R22" s="1653"/>
      <c r="S22" s="1654"/>
      <c r="T22" s="1653"/>
      <c r="U22" s="1654"/>
      <c r="V22" s="1653"/>
      <c r="W22" s="1654"/>
      <c r="X22" s="2002"/>
      <c r="Y22" s="3614"/>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4"/>
      <c r="Q23" s="2833" t="str">
        <f>B23</f>
        <v>环境质量</v>
      </c>
      <c r="R23" s="1653" t="s">
        <v>25</v>
      </c>
      <c r="S23" s="1654">
        <f>F23</f>
        <v>100</v>
      </c>
      <c r="T23" s="1653" t="s">
        <v>25</v>
      </c>
      <c r="U23" s="1654">
        <f>H23</f>
        <v>100</v>
      </c>
      <c r="V23" s="1653" t="s">
        <v>25</v>
      </c>
      <c r="W23" s="1654">
        <f>J23</f>
        <v>100</v>
      </c>
      <c r="X23" s="2002"/>
      <c r="Y23" s="3614"/>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4"/>
      <c r="Q24" s="2833"/>
      <c r="R24" s="1653"/>
      <c r="S24" s="1654"/>
      <c r="T24" s="1653"/>
      <c r="U24" s="1654"/>
      <c r="V24" s="1653"/>
      <c r="W24" s="1654"/>
      <c r="X24" s="2002"/>
      <c r="Y24" s="3614"/>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4"/>
      <c r="Q25" s="2833" t="str">
        <f>B25</f>
        <v>毗邻道路的类型与等级</v>
      </c>
      <c r="R25" s="1653" t="s">
        <v>25</v>
      </c>
      <c r="S25" s="1654">
        <f>F25</f>
        <v>100</v>
      </c>
      <c r="T25" s="1653" t="s">
        <v>25</v>
      </c>
      <c r="U25" s="1654">
        <f>H25</f>
        <v>100</v>
      </c>
      <c r="V25" s="1653" t="s">
        <v>25</v>
      </c>
      <c r="W25" s="1654">
        <f>J25</f>
        <v>100</v>
      </c>
      <c r="X25" s="2002"/>
      <c r="Y25" s="3614"/>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14"/>
      <c r="Q26" s="2833"/>
      <c r="R26" s="1653"/>
      <c r="S26" s="1654"/>
      <c r="T26" s="1653"/>
      <c r="U26" s="1654"/>
      <c r="V26" s="1653"/>
      <c r="W26" s="1654"/>
      <c r="X26" s="2002"/>
      <c r="Y26" s="3614"/>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4"/>
      <c r="Q27" s="2833" t="str">
        <f t="shared" ref="Q27:Q47" si="11">B27</f>
        <v>楼层</v>
      </c>
      <c r="R27" s="1653" t="s">
        <v>25</v>
      </c>
      <c r="S27" s="1654">
        <f>F27</f>
        <v>100</v>
      </c>
      <c r="T27" s="1653" t="s">
        <v>25</v>
      </c>
      <c r="U27" s="1654">
        <f>H27</f>
        <v>100</v>
      </c>
      <c r="V27" s="1653" t="s">
        <v>25</v>
      </c>
      <c r="W27" s="1654">
        <f>J27</f>
        <v>100</v>
      </c>
      <c r="X27" s="2002"/>
      <c r="Y27" s="3614"/>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4"/>
      <c r="Q28" s="2832" t="str">
        <f t="shared" si="11"/>
        <v>朝向</v>
      </c>
      <c r="R28" s="1608" t="s">
        <v>25</v>
      </c>
      <c r="S28" s="1609">
        <f>F28</f>
        <v>100</v>
      </c>
      <c r="T28" s="1608" t="s">
        <v>25</v>
      </c>
      <c r="U28" s="1609">
        <f>H28</f>
        <v>100</v>
      </c>
      <c r="V28" s="1608" t="s">
        <v>25</v>
      </c>
      <c r="W28" s="1609">
        <f>J28</f>
        <v>100</v>
      </c>
      <c r="X28" s="1610"/>
      <c r="Y28" s="3614"/>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4"/>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4"/>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4"/>
      <c r="Q30" s="2833">
        <f t="shared" si="11"/>
        <v>111</v>
      </c>
      <c r="R30" s="1653" t="s">
        <v>25</v>
      </c>
      <c r="S30" s="1654">
        <f t="shared" si="12"/>
        <v>100</v>
      </c>
      <c r="T30" s="1653" t="s">
        <v>25</v>
      </c>
      <c r="U30" s="1654">
        <f t="shared" si="13"/>
        <v>100</v>
      </c>
      <c r="V30" s="1653" t="s">
        <v>25</v>
      </c>
      <c r="W30" s="1654">
        <f t="shared" si="14"/>
        <v>100</v>
      </c>
      <c r="X30" s="2002"/>
      <c r="Y30" s="3614"/>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4"/>
      <c r="Q31" s="2833">
        <f t="shared" si="11"/>
        <v>111</v>
      </c>
      <c r="R31" s="1653" t="s">
        <v>25</v>
      </c>
      <c r="S31" s="1654">
        <f t="shared" si="12"/>
        <v>100</v>
      </c>
      <c r="T31" s="1653" t="s">
        <v>25</v>
      </c>
      <c r="U31" s="1654">
        <f t="shared" si="13"/>
        <v>100</v>
      </c>
      <c r="V31" s="1653" t="s">
        <v>25</v>
      </c>
      <c r="W31" s="1654">
        <f t="shared" si="14"/>
        <v>100</v>
      </c>
      <c r="X31" s="2002"/>
      <c r="Y31" s="3614"/>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4"/>
      <c r="Q32" s="2833">
        <f t="shared" si="11"/>
        <v>111</v>
      </c>
      <c r="R32" s="1653" t="s">
        <v>25</v>
      </c>
      <c r="S32" s="1654">
        <f t="shared" si="12"/>
        <v>100</v>
      </c>
      <c r="T32" s="1653" t="s">
        <v>25</v>
      </c>
      <c r="U32" s="1654">
        <f t="shared" si="13"/>
        <v>100</v>
      </c>
      <c r="V32" s="1653" t="s">
        <v>25</v>
      </c>
      <c r="W32" s="1654">
        <f t="shared" si="14"/>
        <v>100</v>
      </c>
      <c r="X32" s="2002"/>
      <c r="Y32" s="3614"/>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3" t="s">
        <v>2035</v>
      </c>
      <c r="Q33" s="2833" t="str">
        <f t="shared" si="11"/>
        <v>建筑类型</v>
      </c>
      <c r="R33" s="1653" t="s">
        <v>25</v>
      </c>
      <c r="S33" s="1654">
        <f t="shared" si="12"/>
        <v>100</v>
      </c>
      <c r="T33" s="1653" t="s">
        <v>25</v>
      </c>
      <c r="U33" s="1654">
        <f t="shared" si="13"/>
        <v>100</v>
      </c>
      <c r="V33" s="1653" t="s">
        <v>25</v>
      </c>
      <c r="W33" s="1654">
        <f t="shared" si="14"/>
        <v>100</v>
      </c>
      <c r="X33" s="2002"/>
      <c r="Y33" s="3618"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18"/>
      <c r="Q34" s="1694" t="str">
        <f t="shared" si="11"/>
        <v>项目建筑规模</v>
      </c>
      <c r="R34" s="1695" t="s">
        <v>25</v>
      </c>
      <c r="S34" s="1696" t="e">
        <f t="shared" si="12"/>
        <v>#N/A</v>
      </c>
      <c r="T34" s="1695" t="s">
        <v>25</v>
      </c>
      <c r="U34" s="1696" t="e">
        <f t="shared" si="13"/>
        <v>#N/A</v>
      </c>
      <c r="V34" s="1695" t="s">
        <v>25</v>
      </c>
      <c r="W34" s="1696" t="e">
        <f t="shared" si="14"/>
        <v>#N/A</v>
      </c>
      <c r="X34" s="1697"/>
      <c r="Y34" s="3618"/>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18"/>
      <c r="Q35" s="2833" t="str">
        <f t="shared" si="11"/>
        <v>建筑结构</v>
      </c>
      <c r="R35" s="1653" t="s">
        <v>25</v>
      </c>
      <c r="S35" s="1654">
        <f t="shared" si="12"/>
        <v>100</v>
      </c>
      <c r="T35" s="1653" t="s">
        <v>25</v>
      </c>
      <c r="U35" s="1654">
        <f t="shared" si="13"/>
        <v>100</v>
      </c>
      <c r="V35" s="1653" t="s">
        <v>25</v>
      </c>
      <c r="W35" s="1654">
        <f t="shared" si="14"/>
        <v>100</v>
      </c>
      <c r="X35" s="2002"/>
      <c r="Y35" s="3618"/>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18"/>
      <c r="Q36" s="2833" t="str">
        <f t="shared" si="11"/>
        <v>公共部分装修</v>
      </c>
      <c r="R36" s="1653" t="s">
        <v>25</v>
      </c>
      <c r="S36" s="1654">
        <f t="shared" si="12"/>
        <v>100</v>
      </c>
      <c r="T36" s="1653" t="s">
        <v>25</v>
      </c>
      <c r="U36" s="1654">
        <f t="shared" si="13"/>
        <v>100</v>
      </c>
      <c r="V36" s="1653" t="s">
        <v>25</v>
      </c>
      <c r="W36" s="1654">
        <f t="shared" si="14"/>
        <v>100</v>
      </c>
      <c r="X36" s="2002"/>
      <c r="Y36" s="3618"/>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18"/>
      <c r="Q37" s="2833" t="str">
        <f t="shared" si="11"/>
        <v>成新度</v>
      </c>
      <c r="R37" s="1653" t="s">
        <v>25</v>
      </c>
      <c r="S37" s="1654" t="e">
        <f t="shared" si="12"/>
        <v>#N/A</v>
      </c>
      <c r="T37" s="1653" t="s">
        <v>25</v>
      </c>
      <c r="U37" s="1654" t="e">
        <f t="shared" si="13"/>
        <v>#N/A</v>
      </c>
      <c r="V37" s="1653" t="s">
        <v>25</v>
      </c>
      <c r="W37" s="1654" t="e">
        <f t="shared" si="14"/>
        <v>#N/A</v>
      </c>
      <c r="X37" s="2002"/>
      <c r="Y37" s="3618"/>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18"/>
      <c r="Q38" s="2832" t="str">
        <f t="shared" si="11"/>
        <v>写字楼等级</v>
      </c>
      <c r="R38" s="1608" t="s">
        <v>25</v>
      </c>
      <c r="S38" s="1609">
        <f t="shared" si="12"/>
        <v>100</v>
      </c>
      <c r="T38" s="1608" t="s">
        <v>25</v>
      </c>
      <c r="U38" s="1609">
        <f t="shared" si="13"/>
        <v>100</v>
      </c>
      <c r="V38" s="1608" t="s">
        <v>25</v>
      </c>
      <c r="W38" s="1609">
        <f t="shared" si="14"/>
        <v>100</v>
      </c>
      <c r="X38" s="1610"/>
      <c r="Y38" s="3618"/>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18" t="s">
        <v>2035</v>
      </c>
      <c r="Q39" s="2833" t="str">
        <f t="shared" si="11"/>
        <v>物业管理</v>
      </c>
      <c r="R39" s="1653" t="s">
        <v>25</v>
      </c>
      <c r="S39" s="1654">
        <f t="shared" si="12"/>
        <v>100</v>
      </c>
      <c r="T39" s="1653" t="s">
        <v>25</v>
      </c>
      <c r="U39" s="1654">
        <f t="shared" si="13"/>
        <v>100</v>
      </c>
      <c r="V39" s="1653" t="s">
        <v>25</v>
      </c>
      <c r="W39" s="1654">
        <f t="shared" si="14"/>
        <v>100</v>
      </c>
      <c r="X39" s="2002"/>
      <c r="Y39" s="3618"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18"/>
      <c r="Q40" s="2833" t="str">
        <f t="shared" si="11"/>
        <v>市政基础设施</v>
      </c>
      <c r="R40" s="1653" t="s">
        <v>25</v>
      </c>
      <c r="S40" s="1654">
        <f t="shared" si="12"/>
        <v>100</v>
      </c>
      <c r="T40" s="1653" t="s">
        <v>25</v>
      </c>
      <c r="U40" s="1654">
        <f t="shared" si="13"/>
        <v>100</v>
      </c>
      <c r="V40" s="1653" t="s">
        <v>25</v>
      </c>
      <c r="W40" s="1654">
        <f t="shared" si="14"/>
        <v>100</v>
      </c>
      <c r="X40" s="2002"/>
      <c r="Y40" s="3618"/>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18"/>
      <c r="Q41" s="2833" t="str">
        <f t="shared" si="11"/>
        <v>层高</v>
      </c>
      <c r="R41" s="1653" t="s">
        <v>25</v>
      </c>
      <c r="S41" s="1654">
        <f t="shared" si="12"/>
        <v>100</v>
      </c>
      <c r="T41" s="1653" t="s">
        <v>25</v>
      </c>
      <c r="U41" s="1654">
        <f t="shared" si="13"/>
        <v>100</v>
      </c>
      <c r="V41" s="1653" t="s">
        <v>25</v>
      </c>
      <c r="W41" s="1654">
        <f t="shared" si="14"/>
        <v>100</v>
      </c>
      <c r="X41" s="2002"/>
      <c r="Y41" s="3618"/>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18"/>
      <c r="Q42" s="1694" t="str">
        <f t="shared" si="11"/>
        <v>单套建筑面积</v>
      </c>
      <c r="R42" s="1695" t="s">
        <v>25</v>
      </c>
      <c r="S42" s="1696">
        <f t="shared" si="12"/>
        <v>100</v>
      </c>
      <c r="T42" s="1695" t="s">
        <v>25</v>
      </c>
      <c r="U42" s="1696">
        <f t="shared" si="13"/>
        <v>100</v>
      </c>
      <c r="V42" s="1695" t="s">
        <v>25</v>
      </c>
      <c r="W42" s="1696">
        <f t="shared" si="14"/>
        <v>100</v>
      </c>
      <c r="X42" s="1697"/>
      <c r="Y42" s="3618"/>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18"/>
      <c r="Q43" s="2833" t="str">
        <f t="shared" si="11"/>
        <v>内部装修</v>
      </c>
      <c r="R43" s="1653" t="s">
        <v>25</v>
      </c>
      <c r="S43" s="1654">
        <f t="shared" si="12"/>
        <v>100</v>
      </c>
      <c r="T43" s="1653" t="s">
        <v>25</v>
      </c>
      <c r="U43" s="1654">
        <f t="shared" si="13"/>
        <v>100</v>
      </c>
      <c r="V43" s="1653" t="s">
        <v>25</v>
      </c>
      <c r="W43" s="1654">
        <f t="shared" si="14"/>
        <v>100</v>
      </c>
      <c r="X43" s="2002"/>
      <c r="Y43" s="3618"/>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18"/>
      <c r="Q44" s="2833" t="str">
        <f t="shared" si="11"/>
        <v>内部装修维护情况</v>
      </c>
      <c r="R44" s="1653" t="s">
        <v>25</v>
      </c>
      <c r="S44" s="1654">
        <f t="shared" si="12"/>
        <v>100</v>
      </c>
      <c r="T44" s="1653" t="s">
        <v>25</v>
      </c>
      <c r="U44" s="1654">
        <f t="shared" si="13"/>
        <v>100</v>
      </c>
      <c r="V44" s="1653" t="s">
        <v>25</v>
      </c>
      <c r="W44" s="1654">
        <f t="shared" si="14"/>
        <v>100</v>
      </c>
      <c r="X44" s="2002"/>
      <c r="Y44" s="3618"/>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18"/>
      <c r="Q45" s="2832">
        <f t="shared" si="11"/>
        <v>111</v>
      </c>
      <c r="R45" s="1608" t="s">
        <v>25</v>
      </c>
      <c r="S45" s="1609">
        <f t="shared" si="12"/>
        <v>100</v>
      </c>
      <c r="T45" s="1608" t="s">
        <v>25</v>
      </c>
      <c r="U45" s="1609">
        <f t="shared" si="13"/>
        <v>100</v>
      </c>
      <c r="V45" s="1608" t="s">
        <v>25</v>
      </c>
      <c r="W45" s="1609">
        <f t="shared" si="14"/>
        <v>100</v>
      </c>
      <c r="X45" s="1610"/>
      <c r="Y45" s="3618"/>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18"/>
      <c r="Q46" s="2833">
        <f t="shared" si="11"/>
        <v>111</v>
      </c>
      <c r="R46" s="1653" t="s">
        <v>25</v>
      </c>
      <c r="S46" s="1654">
        <f t="shared" si="12"/>
        <v>100</v>
      </c>
      <c r="T46" s="1653" t="s">
        <v>25</v>
      </c>
      <c r="U46" s="1654">
        <f t="shared" si="13"/>
        <v>100</v>
      </c>
      <c r="V46" s="1653" t="s">
        <v>25</v>
      </c>
      <c r="W46" s="1654">
        <f t="shared" si="14"/>
        <v>100</v>
      </c>
      <c r="X46" s="2002"/>
      <c r="Y46" s="3618"/>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9"/>
      <c r="Q47" s="2833">
        <f t="shared" si="11"/>
        <v>111</v>
      </c>
      <c r="R47" s="1653" t="s">
        <v>25</v>
      </c>
      <c r="S47" s="1654">
        <f t="shared" si="12"/>
        <v>100</v>
      </c>
      <c r="T47" s="1653" t="s">
        <v>25</v>
      </c>
      <c r="U47" s="1654">
        <f t="shared" si="13"/>
        <v>100</v>
      </c>
      <c r="V47" s="1653" t="s">
        <v>25</v>
      </c>
      <c r="W47" s="1654">
        <f t="shared" si="14"/>
        <v>100</v>
      </c>
      <c r="X47" s="2002"/>
      <c r="Y47" s="3619"/>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24" t="str">
        <f>A48</f>
        <v>成交单价（元/平方米）</v>
      </c>
      <c r="Q48" s="3624"/>
      <c r="R48" s="3625">
        <f>E48</f>
        <v>0</v>
      </c>
      <c r="S48" s="3625"/>
      <c r="T48" s="3625">
        <f>G48</f>
        <v>0</v>
      </c>
      <c r="U48" s="3625"/>
      <c r="V48" s="3625">
        <f>I48</f>
        <v>0</v>
      </c>
      <c r="W48" s="3625"/>
      <c r="X48" s="1719"/>
      <c r="Y48" s="2001"/>
      <c r="Z48" s="1719"/>
      <c r="AA48" s="1719"/>
      <c r="AB48" s="1719"/>
      <c r="AC48" s="1719"/>
    </row>
    <row r="49" spans="1:29" ht="15.75" thickBot="1">
      <c r="A49" s="1721" t="s">
        <v>2130</v>
      </c>
      <c r="B49" s="1722"/>
      <c r="C49" s="1723" t="e">
        <f>R50</f>
        <v>#DIV/0!</v>
      </c>
      <c r="D49" s="1724" t="s">
        <v>2500</v>
      </c>
      <c r="E49" s="1725" t="e">
        <f>R49</f>
        <v>#DIV/0!</v>
      </c>
      <c r="F49" s="1726"/>
      <c r="G49" s="1723" t="e">
        <f>T49</f>
        <v>#DIV/0!</v>
      </c>
      <c r="H49" s="1726"/>
      <c r="I49" s="1725" t="e">
        <f>V49</f>
        <v>#DIV/0!</v>
      </c>
      <c r="J49" s="1726"/>
      <c r="K49" s="2428">
        <f>F49+H49+J49</f>
        <v>0</v>
      </c>
      <c r="L49" s="2920"/>
      <c r="M49" s="2915"/>
      <c r="N49" s="2915"/>
      <c r="O49" s="2915"/>
      <c r="P49" s="3624" t="str">
        <f>A49</f>
        <v>比较价值（元/平方米）</v>
      </c>
      <c r="Q49" s="3624"/>
      <c r="R49" s="3625" t="e">
        <f>IF(E1="售价",ROUND(PRODUCT(R48,AA7:AA47),0),ROUND(PRODUCT(R48,AA7:AA47),1))</f>
        <v>#DIV/0!</v>
      </c>
      <c r="S49" s="3625"/>
      <c r="T49" s="3625" t="e">
        <f>IF(E1="售价",ROUND(PRODUCT(T48,AB7:AB47),0),ROUND(PRODUCT(T48,AB7:AB47),1))</f>
        <v>#DIV/0!</v>
      </c>
      <c r="U49" s="3625"/>
      <c r="V49" s="3625" t="e">
        <f>IF(E1="售价",ROUND(PRODUCT(V48,AC7:AC47),0),ROUND(PRODUCT(V48,AC7:AC47),1))</f>
        <v>#DIV/0!</v>
      </c>
      <c r="W49" s="3625"/>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2022-4</v>
      </c>
      <c r="D59" s="1753">
        <f>EDATE(C59,-1)</f>
        <v>44621</v>
      </c>
      <c r="E59" s="1753">
        <f t="shared" ref="E59:O59" si="16">EDATE(D59,-1)</f>
        <v>44593</v>
      </c>
      <c r="F59" s="1753">
        <f t="shared" si="16"/>
        <v>44562</v>
      </c>
      <c r="G59" s="1753">
        <f t="shared" si="16"/>
        <v>44531</v>
      </c>
      <c r="H59" s="1753">
        <f t="shared" si="16"/>
        <v>44501</v>
      </c>
      <c r="I59" s="1753">
        <f t="shared" si="16"/>
        <v>44470</v>
      </c>
      <c r="J59" s="1753">
        <f t="shared" si="16"/>
        <v>44440</v>
      </c>
      <c r="K59" s="1753">
        <f t="shared" si="16"/>
        <v>44409</v>
      </c>
      <c r="L59" s="1753">
        <f t="shared" si="16"/>
        <v>44378</v>
      </c>
      <c r="M59" s="1753">
        <f t="shared" si="16"/>
        <v>44348</v>
      </c>
      <c r="N59" s="1753">
        <f t="shared" si="16"/>
        <v>44317</v>
      </c>
      <c r="O59" s="1753">
        <f t="shared" si="16"/>
        <v>44287</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497.23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46" t="s">
        <v>2005</v>
      </c>
      <c r="D4" s="3647"/>
      <c r="E4" s="3648" t="s">
        <v>2006</v>
      </c>
      <c r="F4" s="3649"/>
      <c r="G4" s="3646" t="s">
        <v>2007</v>
      </c>
      <c r="H4" s="3647"/>
      <c r="I4" s="3646" t="s">
        <v>2008</v>
      </c>
      <c r="J4" s="3647"/>
      <c r="K4" s="496" t="s">
        <v>2009</v>
      </c>
      <c r="L4" s="2942"/>
      <c r="M4" s="2943"/>
      <c r="N4" s="2943"/>
      <c r="O4" s="2943"/>
      <c r="P4" s="3650" t="s">
        <v>2010</v>
      </c>
      <c r="Q4" s="3651"/>
      <c r="R4" s="3656" t="s">
        <v>2006</v>
      </c>
      <c r="S4" s="3657"/>
      <c r="T4" s="3656" t="s">
        <v>2007</v>
      </c>
      <c r="U4" s="3657"/>
      <c r="V4" s="3662" t="s">
        <v>2008</v>
      </c>
      <c r="W4" s="3662"/>
      <c r="X4" s="1262"/>
      <c r="Y4" s="3656" t="s">
        <v>2010</v>
      </c>
      <c r="Z4" s="3657"/>
      <c r="AA4" s="3643" t="s">
        <v>2006</v>
      </c>
      <c r="AB4" s="3644" t="s">
        <v>2007</v>
      </c>
      <c r="AC4" s="3643" t="s">
        <v>2008</v>
      </c>
    </row>
    <row r="5" spans="1:29" ht="15">
      <c r="A5" s="297"/>
      <c r="B5" s="298"/>
      <c r="C5" s="3639" t="s">
        <v>2011</v>
      </c>
      <c r="D5" s="3640"/>
      <c r="E5" s="3663" t="s">
        <v>2012</v>
      </c>
      <c r="F5" s="3664"/>
      <c r="G5" s="3639" t="s">
        <v>2013</v>
      </c>
      <c r="H5" s="3640"/>
      <c r="I5" s="3639" t="s">
        <v>2014</v>
      </c>
      <c r="J5" s="3640"/>
      <c r="K5" s="496"/>
      <c r="L5" s="2942"/>
      <c r="M5" s="2943"/>
      <c r="N5" s="2943"/>
      <c r="O5" s="2943"/>
      <c r="P5" s="3652"/>
      <c r="Q5" s="3653"/>
      <c r="R5" s="3658"/>
      <c r="S5" s="3659"/>
      <c r="T5" s="3658"/>
      <c r="U5" s="3659"/>
      <c r="V5" s="3662"/>
      <c r="W5" s="3662"/>
      <c r="X5" s="1262"/>
      <c r="Y5" s="3658"/>
      <c r="Z5" s="3659"/>
      <c r="AA5" s="3644"/>
      <c r="AB5" s="3644"/>
      <c r="AC5" s="3644"/>
    </row>
    <row r="6" spans="1:29" ht="15.75" thickBot="1">
      <c r="A6" s="299"/>
      <c r="B6" s="300"/>
      <c r="C6" s="3636" t="s">
        <v>2015</v>
      </c>
      <c r="D6" s="3637"/>
      <c r="E6" s="3634" t="s">
        <v>2015</v>
      </c>
      <c r="F6" s="3635"/>
      <c r="G6" s="3636" t="s">
        <v>2015</v>
      </c>
      <c r="H6" s="3637"/>
      <c r="I6" s="3636" t="s">
        <v>2015</v>
      </c>
      <c r="J6" s="3637"/>
      <c r="K6" s="496" t="s">
        <v>2016</v>
      </c>
      <c r="L6" s="2942"/>
      <c r="M6" s="2943"/>
      <c r="N6" s="2943"/>
      <c r="O6" s="2943"/>
      <c r="P6" s="3654"/>
      <c r="Q6" s="3655"/>
      <c r="R6" s="3658"/>
      <c r="S6" s="3659"/>
      <c r="T6" s="3660"/>
      <c r="U6" s="3661"/>
      <c r="V6" s="3662"/>
      <c r="W6" s="3662"/>
      <c r="X6" s="1262"/>
      <c r="Y6" s="3660"/>
      <c r="Z6" s="3661"/>
      <c r="AA6" s="3645"/>
      <c r="AB6" s="3645"/>
      <c r="AC6" s="3645"/>
    </row>
    <row r="7" spans="1:29" s="25" customFormat="1" ht="15.75" thickBot="1">
      <c r="A7" s="301" t="s">
        <v>2017</v>
      </c>
      <c r="B7" s="302"/>
      <c r="C7" s="303">
        <f>'数据-取费表'!B2</f>
        <v>44676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1" t="s">
        <v>2018</v>
      </c>
      <c r="Q7" s="3665"/>
      <c r="R7" s="627" t="s">
        <v>25</v>
      </c>
      <c r="S7" s="628">
        <f t="shared" ref="S7:S15" si="0">F7</f>
        <v>0</v>
      </c>
      <c r="T7" s="627" t="s">
        <v>25</v>
      </c>
      <c r="U7" s="628">
        <f t="shared" ref="U7:U15" si="1">H7</f>
        <v>0</v>
      </c>
      <c r="V7" s="627" t="s">
        <v>25</v>
      </c>
      <c r="W7" s="628">
        <f t="shared" ref="W7:W15" si="2">J7</f>
        <v>0</v>
      </c>
      <c r="X7" s="629"/>
      <c r="Y7" s="3641" t="s">
        <v>2018</v>
      </c>
      <c r="Z7" s="3642"/>
      <c r="AA7" s="630" t="e">
        <f>D7/F7</f>
        <v>#DIV/0!</v>
      </c>
      <c r="AB7" s="630" t="e">
        <f>D7/H7</f>
        <v>#DIV/0!</v>
      </c>
      <c r="AC7" s="630" t="e">
        <f>D7/J7</f>
        <v>#DIV/0!</v>
      </c>
    </row>
    <row r="8" spans="1:29" s="25" customFormat="1" ht="15.75" thickBot="1">
      <c r="A8" s="301" t="s">
        <v>2019</v>
      </c>
      <c r="B8" s="302"/>
      <c r="C8" s="307" t="s">
        <v>2636</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1" t="s">
        <v>2021</v>
      </c>
      <c r="Q8" s="3642"/>
      <c r="R8" s="627" t="s">
        <v>25</v>
      </c>
      <c r="S8" s="628">
        <f t="shared" si="0"/>
        <v>0</v>
      </c>
      <c r="T8" s="627" t="s">
        <v>25</v>
      </c>
      <c r="U8" s="628">
        <f t="shared" si="1"/>
        <v>0</v>
      </c>
      <c r="V8" s="627" t="s">
        <v>25</v>
      </c>
      <c r="W8" s="628">
        <f t="shared" si="2"/>
        <v>0</v>
      </c>
      <c r="X8" s="629"/>
      <c r="Y8" s="3641" t="s">
        <v>2021</v>
      </c>
      <c r="Z8" s="3642"/>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8" t="s">
        <v>2024</v>
      </c>
      <c r="Q9" s="1254" t="str">
        <f t="shared" ref="Q9:Q15" si="6">B9</f>
        <v>用途</v>
      </c>
      <c r="R9" s="627" t="s">
        <v>25</v>
      </c>
      <c r="S9" s="628">
        <f t="shared" si="0"/>
        <v>100</v>
      </c>
      <c r="T9" s="627" t="s">
        <v>25</v>
      </c>
      <c r="U9" s="628">
        <f t="shared" si="1"/>
        <v>100</v>
      </c>
      <c r="V9" s="627" t="s">
        <v>25</v>
      </c>
      <c r="W9" s="628">
        <f t="shared" si="2"/>
        <v>100</v>
      </c>
      <c r="X9" s="629"/>
      <c r="Y9" s="3668"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8"/>
      <c r="Q10" s="1254"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8"/>
      <c r="Q11" s="1254"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8"/>
      <c r="Q12" s="1254">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8"/>
      <c r="Q13" s="1254">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8"/>
      <c r="Q14" s="1254">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6" t="s">
        <v>2029</v>
      </c>
      <c r="Q15" s="1261" t="str">
        <f t="shared" si="6"/>
        <v>产业集聚程度</v>
      </c>
      <c r="R15" s="631" t="s">
        <v>25</v>
      </c>
      <c r="S15" s="632">
        <f t="shared" si="0"/>
        <v>100</v>
      </c>
      <c r="T15" s="631" t="s">
        <v>25</v>
      </c>
      <c r="U15" s="632">
        <f t="shared" si="1"/>
        <v>100</v>
      </c>
      <c r="V15" s="631" t="s">
        <v>25</v>
      </c>
      <c r="W15" s="632">
        <f t="shared" si="2"/>
        <v>100</v>
      </c>
      <c r="X15" s="1262"/>
      <c r="Y15" s="3666"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7"/>
      <c r="Q16" s="1261"/>
      <c r="R16" s="631"/>
      <c r="S16" s="632"/>
      <c r="T16" s="631"/>
      <c r="U16" s="632"/>
      <c r="V16" s="631"/>
      <c r="W16" s="632"/>
      <c r="X16" s="1262"/>
      <c r="Y16" s="3667"/>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7"/>
      <c r="Q17" s="1261" t="str">
        <f>B17</f>
        <v>交通便捷度</v>
      </c>
      <c r="R17" s="631" t="s">
        <v>25</v>
      </c>
      <c r="S17" s="632">
        <f>F17</f>
        <v>100</v>
      </c>
      <c r="T17" s="631" t="s">
        <v>25</v>
      </c>
      <c r="U17" s="632">
        <f>H17</f>
        <v>100</v>
      </c>
      <c r="V17" s="631" t="s">
        <v>25</v>
      </c>
      <c r="W17" s="632">
        <f>J17</f>
        <v>100</v>
      </c>
      <c r="X17" s="1262"/>
      <c r="Y17" s="3667"/>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7"/>
      <c r="Q18" s="1261"/>
      <c r="R18" s="631"/>
      <c r="S18" s="632"/>
      <c r="T18" s="631"/>
      <c r="U18" s="632"/>
      <c r="V18" s="631"/>
      <c r="W18" s="632"/>
      <c r="X18" s="1262"/>
      <c r="Y18" s="3667"/>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7"/>
      <c r="Q19" s="1261" t="str">
        <f>B19</f>
        <v>公共配套设施</v>
      </c>
      <c r="R19" s="631" t="s">
        <v>25</v>
      </c>
      <c r="S19" s="632">
        <f>F19</f>
        <v>100</v>
      </c>
      <c r="T19" s="631" t="s">
        <v>25</v>
      </c>
      <c r="U19" s="632">
        <f>H19</f>
        <v>100</v>
      </c>
      <c r="V19" s="631" t="s">
        <v>25</v>
      </c>
      <c r="W19" s="632">
        <f>J19</f>
        <v>100</v>
      </c>
      <c r="X19" s="1262"/>
      <c r="Y19" s="3667"/>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7"/>
      <c r="Q20" s="1261"/>
      <c r="R20" s="631"/>
      <c r="S20" s="632"/>
      <c r="T20" s="631"/>
      <c r="U20" s="632"/>
      <c r="V20" s="631"/>
      <c r="W20" s="632"/>
      <c r="X20" s="1262"/>
      <c r="Y20" s="3667"/>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7"/>
      <c r="Q21" s="1261" t="str">
        <f>B21</f>
        <v>基础设施水平</v>
      </c>
      <c r="R21" s="631" t="s">
        <v>25</v>
      </c>
      <c r="S21" s="632">
        <f>F21</f>
        <v>100</v>
      </c>
      <c r="T21" s="631" t="s">
        <v>25</v>
      </c>
      <c r="U21" s="632">
        <f>H21</f>
        <v>100</v>
      </c>
      <c r="V21" s="631" t="s">
        <v>25</v>
      </c>
      <c r="W21" s="632">
        <f>J21</f>
        <v>100</v>
      </c>
      <c r="X21" s="1262"/>
      <c r="Y21" s="3667"/>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7"/>
      <c r="Q22" s="1261"/>
      <c r="R22" s="631"/>
      <c r="S22" s="632"/>
      <c r="T22" s="631"/>
      <c r="U22" s="632"/>
      <c r="V22" s="631"/>
      <c r="W22" s="632"/>
      <c r="X22" s="1262"/>
      <c r="Y22" s="3667"/>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7"/>
      <c r="Q23" s="1261" t="str">
        <f>B23</f>
        <v>环境质量</v>
      </c>
      <c r="R23" s="631" t="s">
        <v>25</v>
      </c>
      <c r="S23" s="632">
        <f>F23</f>
        <v>100</v>
      </c>
      <c r="T23" s="631" t="s">
        <v>25</v>
      </c>
      <c r="U23" s="632">
        <f>H23</f>
        <v>100</v>
      </c>
      <c r="V23" s="631" t="s">
        <v>25</v>
      </c>
      <c r="W23" s="632">
        <f>J23</f>
        <v>100</v>
      </c>
      <c r="X23" s="1262"/>
      <c r="Y23" s="3667"/>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7"/>
      <c r="Q24" s="1261"/>
      <c r="R24" s="631"/>
      <c r="S24" s="632"/>
      <c r="T24" s="631"/>
      <c r="U24" s="632"/>
      <c r="V24" s="631"/>
      <c r="W24" s="632"/>
      <c r="X24" s="1262"/>
      <c r="Y24" s="3667"/>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7"/>
      <c r="Q25" s="1261">
        <f>B25</f>
        <v>111</v>
      </c>
      <c r="R25" s="631" t="s">
        <v>25</v>
      </c>
      <c r="S25" s="632">
        <f>F25</f>
        <v>100</v>
      </c>
      <c r="T25" s="631" t="s">
        <v>25</v>
      </c>
      <c r="U25" s="632">
        <f>H25</f>
        <v>100</v>
      </c>
      <c r="V25" s="631" t="s">
        <v>25</v>
      </c>
      <c r="W25" s="632">
        <f>J25</f>
        <v>100</v>
      </c>
      <c r="X25" s="1262"/>
      <c r="Y25" s="3667"/>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7"/>
      <c r="Q26" s="1261">
        <f t="shared" ref="Q26:Q40" si="11">B26</f>
        <v>111</v>
      </c>
      <c r="R26" s="631" t="s">
        <v>25</v>
      </c>
      <c r="S26" s="632">
        <f>F26</f>
        <v>100</v>
      </c>
      <c r="T26" s="631" t="s">
        <v>25</v>
      </c>
      <c r="U26" s="632">
        <f>H26</f>
        <v>100</v>
      </c>
      <c r="V26" s="631" t="s">
        <v>25</v>
      </c>
      <c r="W26" s="632">
        <f>J26</f>
        <v>100</v>
      </c>
      <c r="X26" s="1262"/>
      <c r="Y26" s="3667"/>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7"/>
      <c r="Q27" s="1254">
        <f t="shared" si="11"/>
        <v>111</v>
      </c>
      <c r="R27" s="627" t="s">
        <v>25</v>
      </c>
      <c r="S27" s="628">
        <f>F27</f>
        <v>100</v>
      </c>
      <c r="T27" s="627" t="s">
        <v>25</v>
      </c>
      <c r="U27" s="628">
        <f>H27</f>
        <v>100</v>
      </c>
      <c r="V27" s="627" t="s">
        <v>25</v>
      </c>
      <c r="W27" s="628">
        <f>J27</f>
        <v>100</v>
      </c>
      <c r="X27" s="629"/>
      <c r="Y27" s="3667"/>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7"/>
      <c r="Q28" s="1261">
        <f t="shared" si="11"/>
        <v>111</v>
      </c>
      <c r="R28" s="631" t="s">
        <v>25</v>
      </c>
      <c r="S28" s="632">
        <f t="shared" ref="S28:S40" si="12">F28</f>
        <v>100</v>
      </c>
      <c r="T28" s="631" t="s">
        <v>25</v>
      </c>
      <c r="U28" s="632">
        <f t="shared" ref="U28:U40" si="13">H28</f>
        <v>100</v>
      </c>
      <c r="V28" s="631" t="s">
        <v>25</v>
      </c>
      <c r="W28" s="632">
        <f t="shared" ref="W28:W40" si="14">J28</f>
        <v>100</v>
      </c>
      <c r="X28" s="1262"/>
      <c r="Y28" s="3667"/>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69" t="s">
        <v>2035</v>
      </c>
      <c r="Q29" s="1261" t="str">
        <f t="shared" si="11"/>
        <v>建筑类型</v>
      </c>
      <c r="R29" s="631" t="s">
        <v>25</v>
      </c>
      <c r="S29" s="632">
        <f t="shared" si="12"/>
        <v>100</v>
      </c>
      <c r="T29" s="631" t="s">
        <v>25</v>
      </c>
      <c r="U29" s="632">
        <f t="shared" si="13"/>
        <v>100</v>
      </c>
      <c r="V29" s="631" t="s">
        <v>25</v>
      </c>
      <c r="W29" s="632">
        <f t="shared" si="14"/>
        <v>100</v>
      </c>
      <c r="X29" s="1262"/>
      <c r="Y29" s="3670"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0"/>
      <c r="Q31" s="1261" t="str">
        <f t="shared" si="11"/>
        <v>建筑结构</v>
      </c>
      <c r="R31" s="631" t="s">
        <v>25</v>
      </c>
      <c r="S31" s="632">
        <f t="shared" si="12"/>
        <v>100</v>
      </c>
      <c r="T31" s="631" t="s">
        <v>25</v>
      </c>
      <c r="U31" s="632">
        <f t="shared" si="13"/>
        <v>100</v>
      </c>
      <c r="V31" s="631" t="s">
        <v>25</v>
      </c>
      <c r="W31" s="632">
        <f t="shared" si="14"/>
        <v>100</v>
      </c>
      <c r="X31" s="1262"/>
      <c r="Y31" s="3670"/>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0"/>
      <c r="Q32" s="1261" t="str">
        <f t="shared" si="11"/>
        <v>公共部分装修</v>
      </c>
      <c r="R32" s="631" t="s">
        <v>25</v>
      </c>
      <c r="S32" s="632">
        <f t="shared" si="12"/>
        <v>100</v>
      </c>
      <c r="T32" s="631" t="s">
        <v>25</v>
      </c>
      <c r="U32" s="632">
        <f t="shared" si="13"/>
        <v>100</v>
      </c>
      <c r="V32" s="631" t="s">
        <v>25</v>
      </c>
      <c r="W32" s="632">
        <f t="shared" si="14"/>
        <v>100</v>
      </c>
      <c r="X32" s="1262"/>
      <c r="Y32" s="3670"/>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0"/>
      <c r="Q33" s="1261" t="str">
        <f t="shared" si="11"/>
        <v>成新度</v>
      </c>
      <c r="R33" s="631" t="s">
        <v>25</v>
      </c>
      <c r="S33" s="632" t="e">
        <f t="shared" si="12"/>
        <v>#N/A</v>
      </c>
      <c r="T33" s="631" t="s">
        <v>25</v>
      </c>
      <c r="U33" s="632" t="e">
        <f t="shared" si="13"/>
        <v>#N/A</v>
      </c>
      <c r="V33" s="631" t="s">
        <v>25</v>
      </c>
      <c r="W33" s="632" t="e">
        <f t="shared" si="14"/>
        <v>#N/A</v>
      </c>
      <c r="X33" s="1262"/>
      <c r="Y33" s="3670"/>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0"/>
      <c r="Q34" s="1254"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0" t="s">
        <v>2035</v>
      </c>
      <c r="Q35" s="1261" t="str">
        <f t="shared" si="11"/>
        <v>市政基础设施</v>
      </c>
      <c r="R35" s="631" t="s">
        <v>25</v>
      </c>
      <c r="S35" s="632">
        <f t="shared" si="12"/>
        <v>100</v>
      </c>
      <c r="T35" s="631" t="s">
        <v>25</v>
      </c>
      <c r="U35" s="632">
        <f t="shared" si="13"/>
        <v>100</v>
      </c>
      <c r="V35" s="631" t="s">
        <v>25</v>
      </c>
      <c r="W35" s="632">
        <f t="shared" si="14"/>
        <v>100</v>
      </c>
      <c r="X35" s="1262"/>
      <c r="Y35" s="3670"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0"/>
      <c r="Q36" s="1261" t="str">
        <f t="shared" si="11"/>
        <v>内部装修</v>
      </c>
      <c r="R36" s="631" t="s">
        <v>25</v>
      </c>
      <c r="S36" s="632">
        <f t="shared" si="12"/>
        <v>100</v>
      </c>
      <c r="T36" s="631" t="s">
        <v>25</v>
      </c>
      <c r="U36" s="632">
        <f t="shared" si="13"/>
        <v>100</v>
      </c>
      <c r="V36" s="631" t="s">
        <v>25</v>
      </c>
      <c r="W36" s="632">
        <f t="shared" si="14"/>
        <v>100</v>
      </c>
      <c r="X36" s="1262"/>
      <c r="Y36" s="3670"/>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0"/>
      <c r="Q37" s="1261" t="str">
        <f t="shared" si="11"/>
        <v>内部装修状况</v>
      </c>
      <c r="R37" s="631" t="s">
        <v>25</v>
      </c>
      <c r="S37" s="632">
        <f t="shared" si="12"/>
        <v>100</v>
      </c>
      <c r="T37" s="631" t="s">
        <v>25</v>
      </c>
      <c r="U37" s="632">
        <f t="shared" si="13"/>
        <v>100</v>
      </c>
      <c r="V37" s="631" t="s">
        <v>25</v>
      </c>
      <c r="W37" s="632">
        <f t="shared" si="14"/>
        <v>100</v>
      </c>
      <c r="X37" s="1262"/>
      <c r="Y37" s="3670"/>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0"/>
      <c r="Q39" s="1261">
        <f t="shared" si="11"/>
        <v>111</v>
      </c>
      <c r="R39" s="631" t="s">
        <v>25</v>
      </c>
      <c r="S39" s="632">
        <f t="shared" si="12"/>
        <v>100</v>
      </c>
      <c r="T39" s="631" t="s">
        <v>25</v>
      </c>
      <c r="U39" s="632">
        <f t="shared" si="13"/>
        <v>100</v>
      </c>
      <c r="V39" s="631" t="s">
        <v>25</v>
      </c>
      <c r="W39" s="632">
        <f t="shared" si="14"/>
        <v>100</v>
      </c>
      <c r="X39" s="1262"/>
      <c r="Y39" s="3670"/>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1"/>
      <c r="Q40" s="1261">
        <f t="shared" si="11"/>
        <v>111</v>
      </c>
      <c r="R40" s="631" t="s">
        <v>25</v>
      </c>
      <c r="S40" s="632">
        <f t="shared" si="12"/>
        <v>100</v>
      </c>
      <c r="T40" s="631" t="s">
        <v>25</v>
      </c>
      <c r="U40" s="632">
        <f t="shared" si="13"/>
        <v>100</v>
      </c>
      <c r="V40" s="631" t="s">
        <v>25</v>
      </c>
      <c r="W40" s="632">
        <f t="shared" si="14"/>
        <v>100</v>
      </c>
      <c r="X40" s="1262"/>
      <c r="Y40" s="3671"/>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2130</v>
      </c>
      <c r="B42" s="375"/>
      <c r="C42" s="1087" t="e">
        <f>R43</f>
        <v>#DIV/0!</v>
      </c>
      <c r="D42" s="1724" t="s">
        <v>2500</v>
      </c>
      <c r="E42" s="1088" t="e">
        <f>R42</f>
        <v>#DIV/0!</v>
      </c>
      <c r="F42" s="1726"/>
      <c r="G42" s="1087" t="e">
        <f>T42</f>
        <v>#DIV/0!</v>
      </c>
      <c r="H42" s="1726"/>
      <c r="I42" s="1088" t="e">
        <f>V42</f>
        <v>#DIV/0!</v>
      </c>
      <c r="J42" s="1726"/>
      <c r="K42" s="2428">
        <f>F42+H42+J42</f>
        <v>0</v>
      </c>
      <c r="L42" s="2954"/>
      <c r="N42" s="2943"/>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2022-4</v>
      </c>
      <c r="D52" s="1116">
        <f>EDATE(C52,-1)</f>
        <v>44621</v>
      </c>
      <c r="E52" s="1117">
        <f t="shared" ref="E52:O52" si="16">EDATE(D52,-1)</f>
        <v>44593</v>
      </c>
      <c r="F52" s="1117">
        <f t="shared" si="16"/>
        <v>44562</v>
      </c>
      <c r="G52" s="1117">
        <f t="shared" si="16"/>
        <v>44531</v>
      </c>
      <c r="H52" s="1117">
        <f t="shared" si="16"/>
        <v>44501</v>
      </c>
      <c r="I52" s="1117">
        <f t="shared" si="16"/>
        <v>44470</v>
      </c>
      <c r="J52" s="1117">
        <f t="shared" si="16"/>
        <v>44440</v>
      </c>
      <c r="K52" s="1117">
        <f t="shared" si="16"/>
        <v>44409</v>
      </c>
      <c r="L52" s="1117">
        <f t="shared" si="16"/>
        <v>44378</v>
      </c>
      <c r="M52" s="1117">
        <f t="shared" si="16"/>
        <v>44348</v>
      </c>
      <c r="N52" s="1117">
        <f t="shared" si="16"/>
        <v>44317</v>
      </c>
      <c r="O52" s="1117">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497.23</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46" t="s">
        <v>2005</v>
      </c>
      <c r="D4" s="3647"/>
      <c r="E4" s="3648" t="s">
        <v>2006</v>
      </c>
      <c r="F4" s="3649"/>
      <c r="G4" s="3646" t="s">
        <v>2007</v>
      </c>
      <c r="H4" s="3647"/>
      <c r="I4" s="3646" t="s">
        <v>2008</v>
      </c>
      <c r="J4" s="3647"/>
      <c r="K4" s="496" t="s">
        <v>2009</v>
      </c>
      <c r="L4" s="2942"/>
      <c r="M4" s="2943"/>
      <c r="N4" s="2943"/>
      <c r="O4" s="2943"/>
      <c r="P4" s="3650" t="s">
        <v>2010</v>
      </c>
      <c r="Q4" s="3651"/>
      <c r="R4" s="3656" t="s">
        <v>2006</v>
      </c>
      <c r="S4" s="3657"/>
      <c r="T4" s="3656" t="s">
        <v>2007</v>
      </c>
      <c r="U4" s="3657"/>
      <c r="V4" s="3662" t="s">
        <v>2008</v>
      </c>
      <c r="W4" s="3662"/>
      <c r="X4" s="1262"/>
      <c r="Y4" s="3656" t="s">
        <v>2010</v>
      </c>
      <c r="Z4" s="3657"/>
      <c r="AA4" s="3643" t="s">
        <v>2006</v>
      </c>
      <c r="AB4" s="3644" t="s">
        <v>2007</v>
      </c>
      <c r="AC4" s="3643" t="s">
        <v>2008</v>
      </c>
    </row>
    <row r="5" spans="1:29" ht="15">
      <c r="A5" s="297"/>
      <c r="B5" s="298"/>
      <c r="C5" s="3639" t="s">
        <v>2011</v>
      </c>
      <c r="D5" s="3640"/>
      <c r="E5" s="3663" t="s">
        <v>2012</v>
      </c>
      <c r="F5" s="3664"/>
      <c r="G5" s="3639" t="s">
        <v>2013</v>
      </c>
      <c r="H5" s="3640"/>
      <c r="I5" s="3639" t="s">
        <v>2014</v>
      </c>
      <c r="J5" s="3640"/>
      <c r="K5" s="496"/>
      <c r="L5" s="2942"/>
      <c r="M5" s="2943"/>
      <c r="N5" s="2943"/>
      <c r="O5" s="2943"/>
      <c r="P5" s="3652"/>
      <c r="Q5" s="3653"/>
      <c r="R5" s="3658"/>
      <c r="S5" s="3659"/>
      <c r="T5" s="3658"/>
      <c r="U5" s="3659"/>
      <c r="V5" s="3662"/>
      <c r="W5" s="3662"/>
      <c r="X5" s="1262"/>
      <c r="Y5" s="3658"/>
      <c r="Z5" s="3659"/>
      <c r="AA5" s="3644"/>
      <c r="AB5" s="3644"/>
      <c r="AC5" s="3644"/>
    </row>
    <row r="6" spans="1:29" ht="15.75" thickBot="1">
      <c r="A6" s="299"/>
      <c r="B6" s="300"/>
      <c r="C6" s="3636" t="s">
        <v>2015</v>
      </c>
      <c r="D6" s="3637"/>
      <c r="E6" s="3634" t="s">
        <v>2015</v>
      </c>
      <c r="F6" s="3635"/>
      <c r="G6" s="3636" t="s">
        <v>2015</v>
      </c>
      <c r="H6" s="3637"/>
      <c r="I6" s="3636" t="s">
        <v>2015</v>
      </c>
      <c r="J6" s="3637"/>
      <c r="K6" s="496" t="s">
        <v>2016</v>
      </c>
      <c r="L6" s="2942"/>
      <c r="M6" s="2943"/>
      <c r="N6" s="2943"/>
      <c r="O6" s="2943"/>
      <c r="P6" s="3654"/>
      <c r="Q6" s="3655"/>
      <c r="R6" s="3658"/>
      <c r="S6" s="3659"/>
      <c r="T6" s="3660"/>
      <c r="U6" s="3661"/>
      <c r="V6" s="3662"/>
      <c r="W6" s="3662"/>
      <c r="X6" s="1262"/>
      <c r="Y6" s="3660"/>
      <c r="Z6" s="3661"/>
      <c r="AA6" s="3645"/>
      <c r="AB6" s="3645"/>
      <c r="AC6" s="3645"/>
    </row>
    <row r="7" spans="1:29" s="25" customFormat="1" ht="15.75" thickBot="1">
      <c r="A7" s="301" t="s">
        <v>2017</v>
      </c>
      <c r="B7" s="302"/>
      <c r="C7" s="303">
        <f>'数据-取费表'!B2</f>
        <v>44676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1" t="s">
        <v>2018</v>
      </c>
      <c r="Q7" s="3665"/>
      <c r="R7" s="627" t="s">
        <v>25</v>
      </c>
      <c r="S7" s="628">
        <f t="shared" ref="S7:S14" si="0">F7</f>
        <v>0</v>
      </c>
      <c r="T7" s="627" t="s">
        <v>25</v>
      </c>
      <c r="U7" s="628">
        <f t="shared" ref="U7:U14" si="1">H7</f>
        <v>0</v>
      </c>
      <c r="V7" s="627" t="s">
        <v>25</v>
      </c>
      <c r="W7" s="628">
        <f t="shared" ref="W7:W14" si="2">J7</f>
        <v>0</v>
      </c>
      <c r="X7" s="629"/>
      <c r="Y7" s="3641" t="s">
        <v>2018</v>
      </c>
      <c r="Z7" s="3642"/>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1" t="s">
        <v>2021</v>
      </c>
      <c r="Q8" s="3642"/>
      <c r="R8" s="627" t="s">
        <v>25</v>
      </c>
      <c r="S8" s="628">
        <f t="shared" si="0"/>
        <v>0</v>
      </c>
      <c r="T8" s="627" t="s">
        <v>25</v>
      </c>
      <c r="U8" s="628">
        <f t="shared" si="1"/>
        <v>0</v>
      </c>
      <c r="V8" s="627" t="s">
        <v>25</v>
      </c>
      <c r="W8" s="628">
        <f t="shared" si="2"/>
        <v>0</v>
      </c>
      <c r="X8" s="629"/>
      <c r="Y8" s="3641" t="s">
        <v>2021</v>
      </c>
      <c r="Z8" s="3642"/>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8" t="s">
        <v>2024</v>
      </c>
      <c r="Q9" s="1254" t="str">
        <f t="shared" ref="Q9:Q14" si="6">B9</f>
        <v>用途</v>
      </c>
      <c r="R9" s="627" t="s">
        <v>25</v>
      </c>
      <c r="S9" s="628">
        <f t="shared" si="0"/>
        <v>100</v>
      </c>
      <c r="T9" s="627" t="s">
        <v>25</v>
      </c>
      <c r="U9" s="628">
        <f t="shared" si="1"/>
        <v>100</v>
      </c>
      <c r="V9" s="627" t="s">
        <v>25</v>
      </c>
      <c r="W9" s="628">
        <f t="shared" si="2"/>
        <v>100</v>
      </c>
      <c r="X9" s="629"/>
      <c r="Y9" s="3668"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8"/>
      <c r="Q10" s="1254"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8"/>
      <c r="Q11" s="1254">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8"/>
      <c r="Q12" s="1254">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8"/>
      <c r="Q13" s="1254">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6" t="s">
        <v>2029</v>
      </c>
      <c r="Q14" s="1261" t="str">
        <f t="shared" si="6"/>
        <v>交通便捷度</v>
      </c>
      <c r="R14" s="631" t="s">
        <v>25</v>
      </c>
      <c r="S14" s="632">
        <f t="shared" si="0"/>
        <v>100</v>
      </c>
      <c r="T14" s="631" t="s">
        <v>25</v>
      </c>
      <c r="U14" s="632">
        <f t="shared" si="1"/>
        <v>100</v>
      </c>
      <c r="V14" s="631" t="s">
        <v>25</v>
      </c>
      <c r="W14" s="632">
        <f t="shared" si="2"/>
        <v>100</v>
      </c>
      <c r="X14" s="1262"/>
      <c r="Y14" s="3666"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7"/>
      <c r="Q15" s="1261"/>
      <c r="R15" s="631"/>
      <c r="S15" s="632"/>
      <c r="T15" s="631"/>
      <c r="U15" s="632"/>
      <c r="V15" s="631"/>
      <c r="W15" s="632"/>
      <c r="X15" s="1262"/>
      <c r="Y15" s="3667"/>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7"/>
      <c r="Q16" s="1261" t="str">
        <f>B16</f>
        <v>公共配套设施</v>
      </c>
      <c r="R16" s="631" t="s">
        <v>25</v>
      </c>
      <c r="S16" s="632">
        <f>F16</f>
        <v>100</v>
      </c>
      <c r="T16" s="631" t="s">
        <v>25</v>
      </c>
      <c r="U16" s="632">
        <f>H16</f>
        <v>100</v>
      </c>
      <c r="V16" s="631" t="s">
        <v>25</v>
      </c>
      <c r="W16" s="632">
        <f>J16</f>
        <v>100</v>
      </c>
      <c r="X16" s="1262"/>
      <c r="Y16" s="3667"/>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7"/>
      <c r="Q17" s="1261"/>
      <c r="R17" s="631"/>
      <c r="S17" s="632"/>
      <c r="T17" s="631"/>
      <c r="U17" s="632"/>
      <c r="V17" s="631"/>
      <c r="W17" s="632"/>
      <c r="X17" s="1262"/>
      <c r="Y17" s="3667"/>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7"/>
      <c r="Q18" s="1261" t="str">
        <f>B18</f>
        <v>基础设施水平</v>
      </c>
      <c r="R18" s="631" t="s">
        <v>25</v>
      </c>
      <c r="S18" s="632">
        <f>F18</f>
        <v>100</v>
      </c>
      <c r="T18" s="631" t="s">
        <v>25</v>
      </c>
      <c r="U18" s="632">
        <f>H18</f>
        <v>100</v>
      </c>
      <c r="V18" s="631" t="s">
        <v>25</v>
      </c>
      <c r="W18" s="632">
        <f>J18</f>
        <v>100</v>
      </c>
      <c r="X18" s="1262"/>
      <c r="Y18" s="3667"/>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7"/>
      <c r="Q19" s="1261"/>
      <c r="R19" s="631"/>
      <c r="S19" s="632"/>
      <c r="T19" s="631"/>
      <c r="U19" s="632"/>
      <c r="V19" s="631"/>
      <c r="W19" s="632"/>
      <c r="X19" s="1262"/>
      <c r="Y19" s="3667"/>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7"/>
      <c r="Q20" s="1261" t="str">
        <f>B20</f>
        <v>自然及人文环境</v>
      </c>
      <c r="R20" s="631" t="s">
        <v>25</v>
      </c>
      <c r="S20" s="632">
        <f>F20</f>
        <v>100</v>
      </c>
      <c r="T20" s="631" t="s">
        <v>25</v>
      </c>
      <c r="U20" s="632">
        <f>H20</f>
        <v>100</v>
      </c>
      <c r="V20" s="631" t="s">
        <v>25</v>
      </c>
      <c r="W20" s="632">
        <f>J20</f>
        <v>100</v>
      </c>
      <c r="X20" s="1262"/>
      <c r="Y20" s="3667"/>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7"/>
      <c r="Q21" s="1261"/>
      <c r="R21" s="631"/>
      <c r="S21" s="632"/>
      <c r="T21" s="631"/>
      <c r="U21" s="632"/>
      <c r="V21" s="631"/>
      <c r="W21" s="632"/>
      <c r="X21" s="1262"/>
      <c r="Y21" s="3667"/>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7"/>
      <c r="Q22" s="1261" t="str">
        <f>B22</f>
        <v>楼层</v>
      </c>
      <c r="R22" s="631" t="s">
        <v>25</v>
      </c>
      <c r="S22" s="632">
        <f>F22</f>
        <v>100</v>
      </c>
      <c r="T22" s="631" t="s">
        <v>25</v>
      </c>
      <c r="U22" s="632">
        <f>H22</f>
        <v>100</v>
      </c>
      <c r="V22" s="631" t="s">
        <v>25</v>
      </c>
      <c r="W22" s="632">
        <f>J22</f>
        <v>100</v>
      </c>
      <c r="X22" s="1262"/>
      <c r="Y22" s="3667"/>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7"/>
      <c r="Q23" s="1261">
        <f>B23</f>
        <v>111</v>
      </c>
      <c r="R23" s="631" t="s">
        <v>25</v>
      </c>
      <c r="S23" s="632">
        <f>F23</f>
        <v>100</v>
      </c>
      <c r="T23" s="631" t="s">
        <v>25</v>
      </c>
      <c r="U23" s="632">
        <f>H23</f>
        <v>100</v>
      </c>
      <c r="V23" s="631" t="s">
        <v>25</v>
      </c>
      <c r="W23" s="632">
        <f>J23</f>
        <v>100</v>
      </c>
      <c r="X23" s="1262"/>
      <c r="Y23" s="3667"/>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7"/>
      <c r="Q24" s="1261">
        <f t="shared" ref="Q24:Q36" si="11">B24</f>
        <v>111</v>
      </c>
      <c r="R24" s="631" t="s">
        <v>25</v>
      </c>
      <c r="S24" s="632">
        <f>F24</f>
        <v>100</v>
      </c>
      <c r="T24" s="631" t="s">
        <v>25</v>
      </c>
      <c r="U24" s="632">
        <f>H24</f>
        <v>100</v>
      </c>
      <c r="V24" s="631" t="s">
        <v>25</v>
      </c>
      <c r="W24" s="632">
        <f>J24</f>
        <v>100</v>
      </c>
      <c r="X24" s="1262"/>
      <c r="Y24" s="3667"/>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7"/>
      <c r="Q25" s="1254">
        <f t="shared" si="11"/>
        <v>111</v>
      </c>
      <c r="R25" s="627" t="s">
        <v>25</v>
      </c>
      <c r="S25" s="628">
        <f>F25</f>
        <v>100</v>
      </c>
      <c r="T25" s="627" t="s">
        <v>25</v>
      </c>
      <c r="U25" s="628">
        <f>H25</f>
        <v>100</v>
      </c>
      <c r="V25" s="627" t="s">
        <v>25</v>
      </c>
      <c r="W25" s="628">
        <f>J25</f>
        <v>100</v>
      </c>
      <c r="X25" s="629"/>
      <c r="Y25" s="3667"/>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9"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0"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0"/>
      <c r="Q28" s="1261" t="str">
        <f t="shared" si="11"/>
        <v>公共部分装修</v>
      </c>
      <c r="R28" s="631" t="s">
        <v>25</v>
      </c>
      <c r="S28" s="632">
        <f t="shared" si="12"/>
        <v>100</v>
      </c>
      <c r="T28" s="631" t="s">
        <v>25</v>
      </c>
      <c r="U28" s="632">
        <f t="shared" si="13"/>
        <v>100</v>
      </c>
      <c r="V28" s="631" t="s">
        <v>25</v>
      </c>
      <c r="W28" s="632">
        <f t="shared" si="14"/>
        <v>100</v>
      </c>
      <c r="X28" s="1262"/>
      <c r="Y28" s="3670"/>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0"/>
      <c r="Q29" s="1261" t="str">
        <f t="shared" si="11"/>
        <v>成新率</v>
      </c>
      <c r="R29" s="631" t="s">
        <v>25</v>
      </c>
      <c r="S29" s="632" t="e">
        <f t="shared" si="12"/>
        <v>#N/A</v>
      </c>
      <c r="T29" s="631" t="s">
        <v>25</v>
      </c>
      <c r="U29" s="632" t="e">
        <f t="shared" si="13"/>
        <v>#N/A</v>
      </c>
      <c r="V29" s="631" t="s">
        <v>25</v>
      </c>
      <c r="W29" s="632" t="e">
        <f t="shared" si="14"/>
        <v>#N/A</v>
      </c>
      <c r="X29" s="1262"/>
      <c r="Y29" s="3670"/>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0"/>
      <c r="Q30" s="1261" t="str">
        <f t="shared" si="11"/>
        <v>物业等级</v>
      </c>
      <c r="R30" s="631" t="s">
        <v>25</v>
      </c>
      <c r="S30" s="632">
        <f t="shared" si="12"/>
        <v>100</v>
      </c>
      <c r="T30" s="631" t="s">
        <v>25</v>
      </c>
      <c r="U30" s="632">
        <f t="shared" si="13"/>
        <v>100</v>
      </c>
      <c r="V30" s="631" t="s">
        <v>25</v>
      </c>
      <c r="W30" s="632">
        <f t="shared" si="14"/>
        <v>100</v>
      </c>
      <c r="X30" s="1262"/>
      <c r="Y30" s="3670"/>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0"/>
      <c r="Q31" s="1254"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0" t="s">
        <v>2035</v>
      </c>
      <c r="Q32" s="1261" t="str">
        <f t="shared" si="11"/>
        <v>车位类型</v>
      </c>
      <c r="R32" s="631" t="s">
        <v>25</v>
      </c>
      <c r="S32" s="632">
        <f t="shared" si="12"/>
        <v>100</v>
      </c>
      <c r="T32" s="631" t="s">
        <v>25</v>
      </c>
      <c r="U32" s="632">
        <f t="shared" si="13"/>
        <v>100</v>
      </c>
      <c r="V32" s="631" t="s">
        <v>25</v>
      </c>
      <c r="W32" s="632">
        <f t="shared" si="14"/>
        <v>100</v>
      </c>
      <c r="X32" s="1262"/>
      <c r="Y32" s="3670"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0"/>
      <c r="Q33" s="1261" t="str">
        <f t="shared" si="11"/>
        <v>是否直接入户</v>
      </c>
      <c r="R33" s="631" t="s">
        <v>25</v>
      </c>
      <c r="S33" s="632">
        <f t="shared" si="12"/>
        <v>100</v>
      </c>
      <c r="T33" s="631" t="s">
        <v>25</v>
      </c>
      <c r="U33" s="632">
        <f t="shared" si="13"/>
        <v>100</v>
      </c>
      <c r="V33" s="631" t="s">
        <v>25</v>
      </c>
      <c r="W33" s="632">
        <f t="shared" si="14"/>
        <v>100</v>
      </c>
      <c r="X33" s="1262"/>
      <c r="Y33" s="3670"/>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0"/>
      <c r="Q34" s="1261">
        <f t="shared" si="11"/>
        <v>111</v>
      </c>
      <c r="R34" s="631" t="s">
        <v>25</v>
      </c>
      <c r="S34" s="632">
        <f t="shared" si="12"/>
        <v>100</v>
      </c>
      <c r="T34" s="631" t="s">
        <v>25</v>
      </c>
      <c r="U34" s="632">
        <f t="shared" si="13"/>
        <v>100</v>
      </c>
      <c r="V34" s="631" t="s">
        <v>25</v>
      </c>
      <c r="W34" s="632">
        <f t="shared" si="14"/>
        <v>100</v>
      </c>
      <c r="X34" s="1262"/>
      <c r="Y34" s="3670"/>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0"/>
      <c r="Q36" s="1261">
        <f t="shared" si="11"/>
        <v>111</v>
      </c>
      <c r="R36" s="631" t="s">
        <v>25</v>
      </c>
      <c r="S36" s="632">
        <f t="shared" si="12"/>
        <v>100</v>
      </c>
      <c r="T36" s="631" t="s">
        <v>25</v>
      </c>
      <c r="U36" s="632">
        <f t="shared" si="13"/>
        <v>100</v>
      </c>
      <c r="V36" s="631" t="s">
        <v>25</v>
      </c>
      <c r="W36" s="632">
        <f t="shared" si="14"/>
        <v>100</v>
      </c>
      <c r="X36" s="1262"/>
      <c r="Y36" s="3670"/>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2179</v>
      </c>
      <c r="B38" s="375" t="str">
        <f>B37</f>
        <v>元/平方米</v>
      </c>
      <c r="C38" s="1087" t="e">
        <f>R39</f>
        <v>#DIV/0!</v>
      </c>
      <c r="D38" s="1724" t="s">
        <v>2500</v>
      </c>
      <c r="E38" s="1088" t="e">
        <f>R38</f>
        <v>#DIV/0!</v>
      </c>
      <c r="F38" s="1726"/>
      <c r="G38" s="1087" t="e">
        <f>T38</f>
        <v>#DIV/0!</v>
      </c>
      <c r="H38" s="1726"/>
      <c r="I38" s="1088" t="e">
        <f>V38</f>
        <v>#DIV/0!</v>
      </c>
      <c r="J38" s="1726"/>
      <c r="K38" s="2428">
        <f>F38+H38+J38</f>
        <v>0</v>
      </c>
      <c r="L38" s="2954"/>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2022-4</v>
      </c>
      <c r="D48" s="1116">
        <f>EDATE(C48,-1)</f>
        <v>44621</v>
      </c>
      <c r="E48" s="1116">
        <f t="shared" ref="E48:O48" si="16">EDATE(D48,-1)</f>
        <v>44593</v>
      </c>
      <c r="F48" s="1116">
        <f t="shared" si="16"/>
        <v>44562</v>
      </c>
      <c r="G48" s="1116">
        <f t="shared" si="16"/>
        <v>44531</v>
      </c>
      <c r="H48" s="1116">
        <f t="shared" si="16"/>
        <v>44501</v>
      </c>
      <c r="I48" s="1116">
        <f t="shared" si="16"/>
        <v>44470</v>
      </c>
      <c r="J48" s="1116">
        <f t="shared" si="16"/>
        <v>44440</v>
      </c>
      <c r="K48" s="1116">
        <f t="shared" si="16"/>
        <v>44409</v>
      </c>
      <c r="L48" s="1116">
        <f t="shared" si="16"/>
        <v>44378</v>
      </c>
      <c r="M48" s="1116">
        <f t="shared" si="16"/>
        <v>44348</v>
      </c>
      <c r="N48" s="1116">
        <f t="shared" si="16"/>
        <v>44317</v>
      </c>
      <c r="O48" s="1116">
        <f t="shared" si="16"/>
        <v>44287</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2501</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497.23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46" t="s">
        <v>2005</v>
      </c>
      <c r="D4" s="3647"/>
      <c r="E4" s="3648" t="s">
        <v>2006</v>
      </c>
      <c r="F4" s="3649"/>
      <c r="G4" s="3646" t="s">
        <v>2007</v>
      </c>
      <c r="H4" s="3647"/>
      <c r="I4" s="3646" t="s">
        <v>2008</v>
      </c>
      <c r="J4" s="3647"/>
      <c r="K4" s="496" t="s">
        <v>2009</v>
      </c>
      <c r="L4" s="2942"/>
      <c r="M4" s="2943"/>
      <c r="N4" s="2943"/>
      <c r="O4" s="2943"/>
      <c r="P4" s="3650" t="s">
        <v>2010</v>
      </c>
      <c r="Q4" s="3651"/>
      <c r="R4" s="3656" t="s">
        <v>2006</v>
      </c>
      <c r="S4" s="3657"/>
      <c r="T4" s="3656" t="s">
        <v>2007</v>
      </c>
      <c r="U4" s="3657"/>
      <c r="V4" s="3662" t="s">
        <v>2008</v>
      </c>
      <c r="W4" s="3662"/>
      <c r="X4" s="1262"/>
      <c r="Y4" s="3656" t="s">
        <v>2010</v>
      </c>
      <c r="Z4" s="3657"/>
      <c r="AA4" s="3643" t="s">
        <v>2006</v>
      </c>
      <c r="AB4" s="3644" t="s">
        <v>2007</v>
      </c>
      <c r="AC4" s="3643" t="s">
        <v>2008</v>
      </c>
    </row>
    <row r="5" spans="1:29" ht="15">
      <c r="A5" s="297"/>
      <c r="B5" s="298"/>
      <c r="C5" s="3639" t="s">
        <v>2011</v>
      </c>
      <c r="D5" s="3640"/>
      <c r="E5" s="3663" t="s">
        <v>2012</v>
      </c>
      <c r="F5" s="3664"/>
      <c r="G5" s="3639" t="s">
        <v>2013</v>
      </c>
      <c r="H5" s="3640"/>
      <c r="I5" s="3639" t="s">
        <v>2014</v>
      </c>
      <c r="J5" s="3640"/>
      <c r="K5" s="496"/>
      <c r="L5" s="2942"/>
      <c r="M5" s="2943"/>
      <c r="N5" s="2943"/>
      <c r="O5" s="2943"/>
      <c r="P5" s="3652"/>
      <c r="Q5" s="3653"/>
      <c r="R5" s="3658"/>
      <c r="S5" s="3659"/>
      <c r="T5" s="3658"/>
      <c r="U5" s="3659"/>
      <c r="V5" s="3662"/>
      <c r="W5" s="3662"/>
      <c r="X5" s="1262"/>
      <c r="Y5" s="3658"/>
      <c r="Z5" s="3659"/>
      <c r="AA5" s="3644"/>
      <c r="AB5" s="3644"/>
      <c r="AC5" s="3644"/>
    </row>
    <row r="6" spans="1:29" ht="15.75" thickBot="1">
      <c r="A6" s="299"/>
      <c r="B6" s="300"/>
      <c r="C6" s="3636" t="s">
        <v>2015</v>
      </c>
      <c r="D6" s="3637"/>
      <c r="E6" s="3634" t="s">
        <v>2015</v>
      </c>
      <c r="F6" s="3635"/>
      <c r="G6" s="3636" t="s">
        <v>2015</v>
      </c>
      <c r="H6" s="3637"/>
      <c r="I6" s="3636" t="s">
        <v>2015</v>
      </c>
      <c r="J6" s="3637"/>
      <c r="K6" s="496" t="s">
        <v>2016</v>
      </c>
      <c r="L6" s="2942"/>
      <c r="M6" s="2943"/>
      <c r="N6" s="2943"/>
      <c r="O6" s="2943"/>
      <c r="P6" s="3654"/>
      <c r="Q6" s="3655"/>
      <c r="R6" s="3658"/>
      <c r="S6" s="3659"/>
      <c r="T6" s="3660"/>
      <c r="U6" s="3661"/>
      <c r="V6" s="3662"/>
      <c r="W6" s="3662"/>
      <c r="X6" s="1262"/>
      <c r="Y6" s="3660"/>
      <c r="Z6" s="3661"/>
      <c r="AA6" s="3645"/>
      <c r="AB6" s="3645"/>
      <c r="AC6" s="3645"/>
    </row>
    <row r="7" spans="1:29" s="25" customFormat="1" ht="15.75" thickBot="1">
      <c r="A7" s="301" t="s">
        <v>2017</v>
      </c>
      <c r="B7" s="302"/>
      <c r="C7" s="303">
        <f>'数据-取费表'!B2</f>
        <v>44676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1" t="s">
        <v>2018</v>
      </c>
      <c r="Q7" s="3665"/>
      <c r="R7" s="627" t="s">
        <v>25</v>
      </c>
      <c r="S7" s="628">
        <f t="shared" ref="S7:S14" si="0">F7</f>
        <v>0</v>
      </c>
      <c r="T7" s="627" t="s">
        <v>25</v>
      </c>
      <c r="U7" s="628">
        <f t="shared" ref="U7:U14" si="1">H7</f>
        <v>0</v>
      </c>
      <c r="V7" s="627" t="s">
        <v>25</v>
      </c>
      <c r="W7" s="628">
        <f t="shared" ref="W7:W14" si="2">J7</f>
        <v>0</v>
      </c>
      <c r="X7" s="629"/>
      <c r="Y7" s="3641" t="s">
        <v>2018</v>
      </c>
      <c r="Z7" s="3642"/>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1" t="s">
        <v>2021</v>
      </c>
      <c r="Q8" s="3642"/>
      <c r="R8" s="627" t="s">
        <v>25</v>
      </c>
      <c r="S8" s="628">
        <f t="shared" si="0"/>
        <v>0</v>
      </c>
      <c r="T8" s="627" t="s">
        <v>25</v>
      </c>
      <c r="U8" s="628">
        <f t="shared" si="1"/>
        <v>0</v>
      </c>
      <c r="V8" s="627" t="s">
        <v>25</v>
      </c>
      <c r="W8" s="628">
        <f t="shared" si="2"/>
        <v>0</v>
      </c>
      <c r="X8" s="629"/>
      <c r="Y8" s="3641" t="s">
        <v>2021</v>
      </c>
      <c r="Z8" s="3642"/>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8" t="s">
        <v>2024</v>
      </c>
      <c r="Q9" s="1254" t="str">
        <f t="shared" ref="Q9:Q14" si="6">B9</f>
        <v>用途</v>
      </c>
      <c r="R9" s="627" t="s">
        <v>25</v>
      </c>
      <c r="S9" s="628">
        <f t="shared" si="0"/>
        <v>100</v>
      </c>
      <c r="T9" s="627" t="s">
        <v>25</v>
      </c>
      <c r="U9" s="628">
        <f t="shared" si="1"/>
        <v>100</v>
      </c>
      <c r="V9" s="627" t="s">
        <v>25</v>
      </c>
      <c r="W9" s="628">
        <f t="shared" si="2"/>
        <v>100</v>
      </c>
      <c r="X9" s="629"/>
      <c r="Y9" s="3668"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8"/>
      <c r="Q10" s="1254"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8"/>
      <c r="Q11" s="1254">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8"/>
      <c r="Q12" s="1254">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8"/>
      <c r="Q13" s="1254">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6" t="s">
        <v>2029</v>
      </c>
      <c r="Q14" s="1261" t="str">
        <f t="shared" si="6"/>
        <v>交通便捷度</v>
      </c>
      <c r="R14" s="631" t="s">
        <v>25</v>
      </c>
      <c r="S14" s="632">
        <f t="shared" si="0"/>
        <v>100</v>
      </c>
      <c r="T14" s="631" t="s">
        <v>25</v>
      </c>
      <c r="U14" s="632">
        <f t="shared" si="1"/>
        <v>100</v>
      </c>
      <c r="V14" s="631" t="s">
        <v>25</v>
      </c>
      <c r="W14" s="632">
        <f t="shared" si="2"/>
        <v>100</v>
      </c>
      <c r="X14" s="1262"/>
      <c r="Y14" s="3666"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7"/>
      <c r="Q15" s="1261"/>
      <c r="R15" s="631"/>
      <c r="S15" s="632"/>
      <c r="T15" s="631"/>
      <c r="U15" s="632"/>
      <c r="V15" s="631"/>
      <c r="W15" s="632"/>
      <c r="X15" s="1262"/>
      <c r="Y15" s="3667"/>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7"/>
      <c r="Q16" s="1261" t="str">
        <f>B16</f>
        <v>公共配套设施</v>
      </c>
      <c r="R16" s="631" t="s">
        <v>25</v>
      </c>
      <c r="S16" s="632">
        <f>F16</f>
        <v>100</v>
      </c>
      <c r="T16" s="631" t="s">
        <v>25</v>
      </c>
      <c r="U16" s="632">
        <f>H16</f>
        <v>100</v>
      </c>
      <c r="V16" s="631" t="s">
        <v>25</v>
      </c>
      <c r="W16" s="632">
        <f>J16</f>
        <v>100</v>
      </c>
      <c r="X16" s="1262"/>
      <c r="Y16" s="3667"/>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7"/>
      <c r="Q17" s="1261"/>
      <c r="R17" s="631"/>
      <c r="S17" s="632"/>
      <c r="T17" s="631"/>
      <c r="U17" s="632"/>
      <c r="V17" s="631"/>
      <c r="W17" s="632"/>
      <c r="X17" s="1262"/>
      <c r="Y17" s="3667"/>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7"/>
      <c r="Q18" s="1261" t="str">
        <f>B18</f>
        <v>基础设施水平</v>
      </c>
      <c r="R18" s="631" t="s">
        <v>25</v>
      </c>
      <c r="S18" s="632">
        <f>F18</f>
        <v>100</v>
      </c>
      <c r="T18" s="631" t="s">
        <v>25</v>
      </c>
      <c r="U18" s="632">
        <f>H18</f>
        <v>100</v>
      </c>
      <c r="V18" s="631" t="s">
        <v>25</v>
      </c>
      <c r="W18" s="632">
        <f>J18</f>
        <v>100</v>
      </c>
      <c r="X18" s="1262"/>
      <c r="Y18" s="3667"/>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7"/>
      <c r="Q19" s="1261"/>
      <c r="R19" s="631"/>
      <c r="S19" s="632"/>
      <c r="T19" s="631"/>
      <c r="U19" s="632"/>
      <c r="V19" s="631"/>
      <c r="W19" s="632"/>
      <c r="X19" s="1262"/>
      <c r="Y19" s="3667"/>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7"/>
      <c r="Q20" s="1261" t="str">
        <f>B20</f>
        <v>自然及人文环境</v>
      </c>
      <c r="R20" s="631" t="s">
        <v>25</v>
      </c>
      <c r="S20" s="632">
        <f>F20</f>
        <v>100</v>
      </c>
      <c r="T20" s="631" t="s">
        <v>25</v>
      </c>
      <c r="U20" s="632">
        <f>H20</f>
        <v>100</v>
      </c>
      <c r="V20" s="631" t="s">
        <v>25</v>
      </c>
      <c r="W20" s="632">
        <f>J20</f>
        <v>100</v>
      </c>
      <c r="X20" s="1262"/>
      <c r="Y20" s="3667"/>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7"/>
      <c r="Q21" s="1261"/>
      <c r="R21" s="631"/>
      <c r="S21" s="632"/>
      <c r="T21" s="631"/>
      <c r="U21" s="632"/>
      <c r="V21" s="631"/>
      <c r="W21" s="632"/>
      <c r="X21" s="1262"/>
      <c r="Y21" s="3667"/>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7"/>
      <c r="Q22" s="1261" t="str">
        <f>B22</f>
        <v>楼层</v>
      </c>
      <c r="R22" s="631" t="s">
        <v>25</v>
      </c>
      <c r="S22" s="632">
        <f>F22</f>
        <v>100</v>
      </c>
      <c r="T22" s="631" t="s">
        <v>25</v>
      </c>
      <c r="U22" s="632">
        <f>H22</f>
        <v>100</v>
      </c>
      <c r="V22" s="631" t="s">
        <v>25</v>
      </c>
      <c r="W22" s="632">
        <f>J22</f>
        <v>100</v>
      </c>
      <c r="X22" s="1262"/>
      <c r="Y22" s="3667"/>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7"/>
      <c r="Q23" s="1261">
        <f>B23</f>
        <v>111</v>
      </c>
      <c r="R23" s="631" t="s">
        <v>25</v>
      </c>
      <c r="S23" s="632">
        <f>F23</f>
        <v>100</v>
      </c>
      <c r="T23" s="631" t="s">
        <v>25</v>
      </c>
      <c r="U23" s="632">
        <f>H23</f>
        <v>100</v>
      </c>
      <c r="V23" s="631" t="s">
        <v>25</v>
      </c>
      <c r="W23" s="632">
        <f>J23</f>
        <v>100</v>
      </c>
      <c r="X23" s="1262"/>
      <c r="Y23" s="3667"/>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7"/>
      <c r="Q24" s="1261">
        <f t="shared" ref="Q24:Q34" si="11">B24</f>
        <v>111</v>
      </c>
      <c r="R24" s="631" t="s">
        <v>25</v>
      </c>
      <c r="S24" s="632">
        <f>F24</f>
        <v>100</v>
      </c>
      <c r="T24" s="631" t="s">
        <v>25</v>
      </c>
      <c r="U24" s="632">
        <f>H24</f>
        <v>100</v>
      </c>
      <c r="V24" s="631" t="s">
        <v>25</v>
      </c>
      <c r="W24" s="632">
        <f>J24</f>
        <v>100</v>
      </c>
      <c r="X24" s="1262"/>
      <c r="Y24" s="3667"/>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7"/>
      <c r="Q25" s="1254">
        <f t="shared" si="11"/>
        <v>111</v>
      </c>
      <c r="R25" s="627" t="s">
        <v>25</v>
      </c>
      <c r="S25" s="628">
        <f>F25</f>
        <v>100</v>
      </c>
      <c r="T25" s="627" t="s">
        <v>25</v>
      </c>
      <c r="U25" s="628">
        <f>H25</f>
        <v>100</v>
      </c>
      <c r="V25" s="627" t="s">
        <v>25</v>
      </c>
      <c r="W25" s="628">
        <f>J25</f>
        <v>100</v>
      </c>
      <c r="X25" s="629"/>
      <c r="Y25" s="3667"/>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69"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0"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0"/>
      <c r="Q28" s="1261" t="str">
        <f t="shared" si="11"/>
        <v>物业等级</v>
      </c>
      <c r="R28" s="631" t="s">
        <v>25</v>
      </c>
      <c r="S28" s="632">
        <f t="shared" si="12"/>
        <v>100</v>
      </c>
      <c r="T28" s="631" t="s">
        <v>25</v>
      </c>
      <c r="U28" s="632">
        <f t="shared" si="13"/>
        <v>100</v>
      </c>
      <c r="V28" s="631" t="s">
        <v>25</v>
      </c>
      <c r="W28" s="632">
        <f t="shared" si="14"/>
        <v>100</v>
      </c>
      <c r="X28" s="1262"/>
      <c r="Y28" s="3670"/>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0"/>
      <c r="Q29" s="1261" t="str">
        <f t="shared" si="11"/>
        <v>有无电梯</v>
      </c>
      <c r="R29" s="631" t="s">
        <v>25</v>
      </c>
      <c r="S29" s="632">
        <f t="shared" si="12"/>
        <v>100</v>
      </c>
      <c r="T29" s="631" t="s">
        <v>25</v>
      </c>
      <c r="U29" s="632">
        <f t="shared" si="13"/>
        <v>100</v>
      </c>
      <c r="V29" s="631" t="s">
        <v>25</v>
      </c>
      <c r="W29" s="632">
        <f t="shared" si="14"/>
        <v>100</v>
      </c>
      <c r="X29" s="1262"/>
      <c r="Y29" s="3670"/>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0"/>
      <c r="Q30" s="1261" t="str">
        <f t="shared" si="11"/>
        <v>建筑面积</v>
      </c>
      <c r="R30" s="631" t="s">
        <v>25</v>
      </c>
      <c r="S30" s="632" t="e">
        <f t="shared" si="12"/>
        <v>#N/A</v>
      </c>
      <c r="T30" s="631" t="s">
        <v>25</v>
      </c>
      <c r="U30" s="632" t="e">
        <f t="shared" si="13"/>
        <v>#N/A</v>
      </c>
      <c r="V30" s="631" t="s">
        <v>25</v>
      </c>
      <c r="W30" s="632" t="e">
        <f t="shared" si="14"/>
        <v>#N/A</v>
      </c>
      <c r="X30" s="1262"/>
      <c r="Y30" s="3670"/>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0"/>
      <c r="Q31" s="1254"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0" t="s">
        <v>2035</v>
      </c>
      <c r="Q32" s="1261">
        <f t="shared" si="11"/>
        <v>111</v>
      </c>
      <c r="R32" s="631" t="s">
        <v>25</v>
      </c>
      <c r="S32" s="632">
        <f t="shared" si="12"/>
        <v>100</v>
      </c>
      <c r="T32" s="631" t="s">
        <v>25</v>
      </c>
      <c r="U32" s="632">
        <f t="shared" si="13"/>
        <v>100</v>
      </c>
      <c r="V32" s="631" t="s">
        <v>25</v>
      </c>
      <c r="W32" s="632">
        <f t="shared" si="14"/>
        <v>100</v>
      </c>
      <c r="X32" s="1262"/>
      <c r="Y32" s="3670"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0"/>
      <c r="Q33" s="1261">
        <f t="shared" si="11"/>
        <v>111</v>
      </c>
      <c r="R33" s="631" t="s">
        <v>25</v>
      </c>
      <c r="S33" s="632">
        <f t="shared" si="12"/>
        <v>100</v>
      </c>
      <c r="T33" s="631" t="s">
        <v>25</v>
      </c>
      <c r="U33" s="632">
        <f t="shared" si="13"/>
        <v>100</v>
      </c>
      <c r="V33" s="631" t="s">
        <v>25</v>
      </c>
      <c r="W33" s="632">
        <f t="shared" si="14"/>
        <v>100</v>
      </c>
      <c r="X33" s="1262"/>
      <c r="Y33" s="3670"/>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0"/>
      <c r="Q34" s="1261">
        <f t="shared" si="11"/>
        <v>111</v>
      </c>
      <c r="R34" s="631" t="s">
        <v>25</v>
      </c>
      <c r="S34" s="632">
        <f t="shared" si="12"/>
        <v>100</v>
      </c>
      <c r="T34" s="631" t="s">
        <v>25</v>
      </c>
      <c r="U34" s="632">
        <f t="shared" si="13"/>
        <v>100</v>
      </c>
      <c r="V34" s="631" t="s">
        <v>25</v>
      </c>
      <c r="W34" s="632">
        <f t="shared" si="14"/>
        <v>100</v>
      </c>
      <c r="X34" s="1262"/>
      <c r="Y34" s="3670"/>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2130</v>
      </c>
      <c r="B36" s="375"/>
      <c r="C36" s="1087" t="e">
        <f>R37</f>
        <v>#DIV/0!</v>
      </c>
      <c r="D36" s="1724" t="s">
        <v>2500</v>
      </c>
      <c r="E36" s="1088" t="e">
        <f>R36</f>
        <v>#DIV/0!</v>
      </c>
      <c r="F36" s="1726"/>
      <c r="G36" s="1087" t="e">
        <f>T36</f>
        <v>#DIV/0!</v>
      </c>
      <c r="H36" s="1726"/>
      <c r="I36" s="1088" t="e">
        <f>V36</f>
        <v>#DIV/0!</v>
      </c>
      <c r="J36" s="1726"/>
      <c r="K36" s="2428">
        <f>F36+H36+J36</f>
        <v>0</v>
      </c>
      <c r="L36" s="2954"/>
      <c r="N36" s="2943"/>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2022-4</v>
      </c>
      <c r="D46" s="1116">
        <f>EDATE(C46,-1)</f>
        <v>44621</v>
      </c>
      <c r="E46" s="1116">
        <f t="shared" ref="E46:O46" si="16">EDATE(D46,-1)</f>
        <v>44593</v>
      </c>
      <c r="F46" s="1116">
        <f t="shared" si="16"/>
        <v>44562</v>
      </c>
      <c r="G46" s="1116">
        <f t="shared" si="16"/>
        <v>44531</v>
      </c>
      <c r="H46" s="1116">
        <f t="shared" si="16"/>
        <v>44501</v>
      </c>
      <c r="I46" s="1116">
        <f t="shared" si="16"/>
        <v>44470</v>
      </c>
      <c r="J46" s="1116">
        <f t="shared" si="16"/>
        <v>44440</v>
      </c>
      <c r="K46" s="1116">
        <f t="shared" si="16"/>
        <v>44409</v>
      </c>
      <c r="L46" s="1116">
        <f t="shared" si="16"/>
        <v>44378</v>
      </c>
      <c r="M46" s="1116">
        <f t="shared" si="16"/>
        <v>44348</v>
      </c>
      <c r="N46" s="1116">
        <f t="shared" si="16"/>
        <v>44317</v>
      </c>
      <c r="O46" s="1116">
        <f t="shared" si="16"/>
        <v>44287</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88" t="s">
        <v>2005</v>
      </c>
      <c r="D4" s="3589"/>
      <c r="E4" s="3590" t="s">
        <v>2006</v>
      </c>
      <c r="F4" s="3591"/>
      <c r="G4" s="3588" t="s">
        <v>2007</v>
      </c>
      <c r="H4" s="3589"/>
      <c r="I4" s="3588" t="s">
        <v>2008</v>
      </c>
      <c r="J4" s="3589"/>
      <c r="K4" s="1893" t="s">
        <v>2009</v>
      </c>
      <c r="L4" s="2914"/>
      <c r="M4" s="2915"/>
      <c r="N4" s="2915"/>
      <c r="O4" s="2915"/>
      <c r="P4" s="3592" t="s">
        <v>2010</v>
      </c>
      <c r="Q4" s="3593"/>
      <c r="R4" s="3598" t="s">
        <v>2006</v>
      </c>
      <c r="S4" s="3599"/>
      <c r="T4" s="3598" t="s">
        <v>2007</v>
      </c>
      <c r="U4" s="3599"/>
      <c r="V4" s="3604" t="s">
        <v>2008</v>
      </c>
      <c r="W4" s="3604"/>
      <c r="X4" s="1593"/>
      <c r="Y4" s="3598" t="s">
        <v>2010</v>
      </c>
      <c r="Z4" s="3599"/>
      <c r="AA4" s="3585" t="s">
        <v>2006</v>
      </c>
      <c r="AB4" s="3586" t="s">
        <v>2007</v>
      </c>
      <c r="AC4" s="3585" t="s">
        <v>2008</v>
      </c>
    </row>
    <row r="5" spans="1:30" ht="15">
      <c r="A5" s="1595"/>
      <c r="B5" s="1596"/>
      <c r="C5" s="3607" t="s">
        <v>2011</v>
      </c>
      <c r="D5" s="3608"/>
      <c r="E5" s="3605" t="s">
        <v>2012</v>
      </c>
      <c r="F5" s="3606"/>
      <c r="G5" s="3607" t="s">
        <v>2013</v>
      </c>
      <c r="H5" s="3608"/>
      <c r="I5" s="3607" t="s">
        <v>2014</v>
      </c>
      <c r="J5" s="3608"/>
      <c r="K5" s="1893"/>
      <c r="L5" s="2914"/>
      <c r="M5" s="2915"/>
      <c r="N5" s="2915"/>
      <c r="O5" s="2915"/>
      <c r="P5" s="3594"/>
      <c r="Q5" s="3595"/>
      <c r="R5" s="3600"/>
      <c r="S5" s="3601"/>
      <c r="T5" s="3600"/>
      <c r="U5" s="3601"/>
      <c r="V5" s="3604"/>
      <c r="W5" s="3604"/>
      <c r="X5" s="1593"/>
      <c r="Y5" s="3600"/>
      <c r="Z5" s="3601"/>
      <c r="AA5" s="3586"/>
      <c r="AB5" s="3586"/>
      <c r="AC5" s="3586"/>
    </row>
    <row r="6" spans="1:30" ht="15.75" thickBot="1">
      <c r="A6" s="1598"/>
      <c r="B6" s="1599"/>
      <c r="C6" s="3609" t="s">
        <v>2015</v>
      </c>
      <c r="D6" s="3610"/>
      <c r="E6" s="3611" t="s">
        <v>2015</v>
      </c>
      <c r="F6" s="3612"/>
      <c r="G6" s="3609" t="s">
        <v>2015</v>
      </c>
      <c r="H6" s="3610"/>
      <c r="I6" s="3609" t="s">
        <v>2015</v>
      </c>
      <c r="J6" s="3610"/>
      <c r="K6" s="1893" t="s">
        <v>2016</v>
      </c>
      <c r="L6" s="2914"/>
      <c r="M6" s="2915"/>
      <c r="N6" s="2915"/>
      <c r="O6" s="2915"/>
      <c r="P6" s="3596"/>
      <c r="Q6" s="3597"/>
      <c r="R6" s="3600"/>
      <c r="S6" s="3601"/>
      <c r="T6" s="3602"/>
      <c r="U6" s="3603"/>
      <c r="V6" s="3604"/>
      <c r="W6" s="3604"/>
      <c r="X6" s="1593"/>
      <c r="Y6" s="3602"/>
      <c r="Z6" s="3603"/>
      <c r="AA6" s="3587"/>
      <c r="AB6" s="3587"/>
      <c r="AC6" s="3587"/>
    </row>
    <row r="7" spans="1:30" s="1612" customFormat="1" ht="15.75" thickBot="1">
      <c r="A7" s="1600" t="s">
        <v>2017</v>
      </c>
      <c r="B7" s="1601"/>
      <c r="C7" s="1602">
        <f>'数据-取费表'!B2</f>
        <v>44676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0" t="s">
        <v>2018</v>
      </c>
      <c r="Q7" s="3622"/>
      <c r="R7" s="1608" t="s">
        <v>25</v>
      </c>
      <c r="S7" s="1609">
        <f t="shared" ref="S7:S15" si="0">F7</f>
        <v>0</v>
      </c>
      <c r="T7" s="1608" t="s">
        <v>25</v>
      </c>
      <c r="U7" s="1609">
        <f t="shared" ref="U7:U15" si="1">H7</f>
        <v>0</v>
      </c>
      <c r="V7" s="1608" t="s">
        <v>25</v>
      </c>
      <c r="W7" s="1609">
        <f t="shared" ref="W7:W15" si="2">J7</f>
        <v>0</v>
      </c>
      <c r="X7" s="1610"/>
      <c r="Y7" s="3620" t="s">
        <v>2018</v>
      </c>
      <c r="Z7" s="3621"/>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0" t="s">
        <v>2021</v>
      </c>
      <c r="Q8" s="3621"/>
      <c r="R8" s="1608" t="s">
        <v>25</v>
      </c>
      <c r="S8" s="1609">
        <f t="shared" si="0"/>
        <v>0</v>
      </c>
      <c r="T8" s="1608" t="s">
        <v>25</v>
      </c>
      <c r="U8" s="1609">
        <f t="shared" si="1"/>
        <v>0</v>
      </c>
      <c r="V8" s="1608" t="s">
        <v>25</v>
      </c>
      <c r="W8" s="1609">
        <f t="shared" si="2"/>
        <v>0</v>
      </c>
      <c r="X8" s="1610"/>
      <c r="Y8" s="3620" t="s">
        <v>2021</v>
      </c>
      <c r="Z8" s="3621"/>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4" t="s">
        <v>2024</v>
      </c>
      <c r="Q9" s="1562" t="str">
        <f t="shared" ref="Q9:Q15" si="6">B9</f>
        <v>用途</v>
      </c>
      <c r="R9" s="1608" t="s">
        <v>25</v>
      </c>
      <c r="S9" s="1609">
        <f t="shared" si="0"/>
        <v>100</v>
      </c>
      <c r="T9" s="1608" t="s">
        <v>25</v>
      </c>
      <c r="U9" s="1609">
        <f t="shared" si="1"/>
        <v>100</v>
      </c>
      <c r="V9" s="1608" t="s">
        <v>25</v>
      </c>
      <c r="W9" s="1609">
        <f t="shared" si="2"/>
        <v>100</v>
      </c>
      <c r="X9" s="1610"/>
      <c r="Y9" s="3488"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119</v>
      </c>
      <c r="G10" s="1685"/>
      <c r="H10" s="1625">
        <f>ROUND(100/'数据-取费表'!B14,0)</f>
        <v>119</v>
      </c>
      <c r="I10" s="1685"/>
      <c r="J10" s="1625">
        <f>ROUND(100/'数据-取费表'!B14,0)</f>
        <v>119</v>
      </c>
      <c r="K10" s="1897"/>
      <c r="L10" s="2916"/>
      <c r="M10" s="2917"/>
      <c r="N10" s="2917"/>
      <c r="O10" s="2962"/>
      <c r="P10" s="3624"/>
      <c r="Q10" s="1562" t="str">
        <f t="shared" si="6"/>
        <v>土地使用年限（年）</v>
      </c>
      <c r="R10" s="1608" t="s">
        <v>25</v>
      </c>
      <c r="S10" s="1609">
        <f t="shared" si="0"/>
        <v>119</v>
      </c>
      <c r="T10" s="1608" t="s">
        <v>25</v>
      </c>
      <c r="U10" s="1609">
        <f t="shared" si="1"/>
        <v>119</v>
      </c>
      <c r="V10" s="1608" t="s">
        <v>25</v>
      </c>
      <c r="W10" s="1609">
        <f t="shared" si="2"/>
        <v>119</v>
      </c>
      <c r="X10" s="1610"/>
      <c r="Y10" s="3488"/>
      <c r="Z10" s="1621" t="str">
        <f t="shared" si="7"/>
        <v>土地使用年限（年）</v>
      </c>
      <c r="AA10" s="1611">
        <f t="shared" si="3"/>
        <v>0.84033613445378152</v>
      </c>
      <c r="AB10" s="1611">
        <f t="shared" si="4"/>
        <v>0.84033613445378152</v>
      </c>
      <c r="AC10" s="1611">
        <f t="shared" si="5"/>
        <v>0.84033613445378152</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4"/>
      <c r="Q11" s="1562" t="str">
        <f t="shared" si="6"/>
        <v>容积率</v>
      </c>
      <c r="R11" s="1608" t="s">
        <v>25</v>
      </c>
      <c r="S11" s="1609" t="e">
        <f t="shared" si="0"/>
        <v>#N/A</v>
      </c>
      <c r="T11" s="1608" t="s">
        <v>25</v>
      </c>
      <c r="U11" s="1609" t="e">
        <f t="shared" si="1"/>
        <v>#N/A</v>
      </c>
      <c r="V11" s="1608" t="s">
        <v>25</v>
      </c>
      <c r="W11" s="1609" t="e">
        <f t="shared" si="2"/>
        <v>#N/A</v>
      </c>
      <c r="X11" s="1610"/>
      <c r="Y11" s="3488"/>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4"/>
      <c r="Q12" s="1562" t="str">
        <f t="shared" si="6"/>
        <v>配建</v>
      </c>
      <c r="R12" s="1608" t="s">
        <v>25</v>
      </c>
      <c r="S12" s="1609">
        <f t="shared" si="0"/>
        <v>100</v>
      </c>
      <c r="T12" s="1608" t="s">
        <v>25</v>
      </c>
      <c r="U12" s="1609">
        <f t="shared" si="1"/>
        <v>100</v>
      </c>
      <c r="V12" s="1608" t="s">
        <v>25</v>
      </c>
      <c r="W12" s="1609">
        <f t="shared" si="2"/>
        <v>100</v>
      </c>
      <c r="X12" s="1610"/>
      <c r="Y12" s="3488"/>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4"/>
      <c r="Q13" s="1562">
        <f t="shared" si="6"/>
        <v>111</v>
      </c>
      <c r="R13" s="1608" t="s">
        <v>25</v>
      </c>
      <c r="S13" s="1609">
        <f t="shared" si="0"/>
        <v>100</v>
      </c>
      <c r="T13" s="1608" t="s">
        <v>25</v>
      </c>
      <c r="U13" s="1609">
        <f t="shared" si="1"/>
        <v>100</v>
      </c>
      <c r="V13" s="1608" t="s">
        <v>25</v>
      </c>
      <c r="W13" s="1609">
        <f t="shared" si="2"/>
        <v>100</v>
      </c>
      <c r="X13" s="1610"/>
      <c r="Y13" s="3488"/>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4"/>
      <c r="Q14" s="1562">
        <f t="shared" si="6"/>
        <v>111</v>
      </c>
      <c r="R14" s="1608" t="s">
        <v>25</v>
      </c>
      <c r="S14" s="1609">
        <f t="shared" si="0"/>
        <v>100</v>
      </c>
      <c r="T14" s="1608" t="s">
        <v>25</v>
      </c>
      <c r="U14" s="1609">
        <f t="shared" si="1"/>
        <v>100</v>
      </c>
      <c r="V14" s="1608" t="s">
        <v>25</v>
      </c>
      <c r="W14" s="1609">
        <f t="shared" si="2"/>
        <v>100</v>
      </c>
      <c r="X14" s="1610"/>
      <c r="Y14" s="3488"/>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3" t="s">
        <v>2029</v>
      </c>
      <c r="Q15" s="1543" t="str">
        <f t="shared" si="6"/>
        <v>居住社区成熟度</v>
      </c>
      <c r="R15" s="1653" t="s">
        <v>25</v>
      </c>
      <c r="S15" s="1654">
        <f t="shared" si="0"/>
        <v>100</v>
      </c>
      <c r="T15" s="1653" t="s">
        <v>25</v>
      </c>
      <c r="U15" s="1654">
        <f t="shared" si="1"/>
        <v>100</v>
      </c>
      <c r="V15" s="1653" t="s">
        <v>25</v>
      </c>
      <c r="W15" s="1654">
        <f t="shared" si="2"/>
        <v>100</v>
      </c>
      <c r="X15" s="1593"/>
      <c r="Y15" s="3613"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14"/>
      <c r="Q16" s="1543"/>
      <c r="R16" s="1653"/>
      <c r="S16" s="1654"/>
      <c r="T16" s="1653"/>
      <c r="U16" s="1654"/>
      <c r="V16" s="1653"/>
      <c r="W16" s="1654"/>
      <c r="X16" s="1593"/>
      <c r="Y16" s="3614"/>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4"/>
      <c r="Q17" s="1543" t="str">
        <f>B17</f>
        <v>商业繁华度</v>
      </c>
      <c r="R17" s="1653" t="s">
        <v>25</v>
      </c>
      <c r="S17" s="1654">
        <f>F17</f>
        <v>100</v>
      </c>
      <c r="T17" s="1653" t="s">
        <v>25</v>
      </c>
      <c r="U17" s="1654">
        <f>H17</f>
        <v>100</v>
      </c>
      <c r="V17" s="1653" t="s">
        <v>25</v>
      </c>
      <c r="W17" s="1654">
        <f>J17</f>
        <v>100</v>
      </c>
      <c r="X17" s="1593"/>
      <c r="Y17" s="3614"/>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14"/>
      <c r="Q18" s="1543"/>
      <c r="R18" s="1653"/>
      <c r="S18" s="1654"/>
      <c r="T18" s="1653"/>
      <c r="U18" s="1654"/>
      <c r="V18" s="1653"/>
      <c r="W18" s="1654"/>
      <c r="X18" s="1593"/>
      <c r="Y18" s="3614"/>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4"/>
      <c r="Q19" s="1543" t="str">
        <f>B19</f>
        <v>办公集聚程度</v>
      </c>
      <c r="R19" s="1653" t="s">
        <v>25</v>
      </c>
      <c r="S19" s="1654">
        <f>F19</f>
        <v>100</v>
      </c>
      <c r="T19" s="1653" t="s">
        <v>25</v>
      </c>
      <c r="U19" s="1654">
        <f>H19</f>
        <v>100</v>
      </c>
      <c r="V19" s="1653" t="s">
        <v>25</v>
      </c>
      <c r="W19" s="1654">
        <f>J19</f>
        <v>100</v>
      </c>
      <c r="X19" s="1593"/>
      <c r="Y19" s="3614"/>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14"/>
      <c r="Q20" s="1543"/>
      <c r="R20" s="1653"/>
      <c r="S20" s="1654"/>
      <c r="T20" s="1653"/>
      <c r="U20" s="1654"/>
      <c r="V20" s="1653"/>
      <c r="W20" s="1654"/>
      <c r="X20" s="1593"/>
      <c r="Y20" s="3614"/>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4"/>
      <c r="Q21" s="1543" t="str">
        <f>B21</f>
        <v>交通便捷度</v>
      </c>
      <c r="R21" s="1653" t="s">
        <v>25</v>
      </c>
      <c r="S21" s="1654">
        <f>F21</f>
        <v>100</v>
      </c>
      <c r="T21" s="1653" t="s">
        <v>25</v>
      </c>
      <c r="U21" s="1654">
        <f>H21</f>
        <v>100</v>
      </c>
      <c r="V21" s="1653" t="s">
        <v>25</v>
      </c>
      <c r="W21" s="1654">
        <f>J21</f>
        <v>100</v>
      </c>
      <c r="X21" s="1593"/>
      <c r="Y21" s="3614"/>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14"/>
      <c r="Q22" s="1543"/>
      <c r="R22" s="1653"/>
      <c r="S22" s="1654"/>
      <c r="T22" s="1653"/>
      <c r="U22" s="1654"/>
      <c r="V22" s="1653"/>
      <c r="W22" s="1654"/>
      <c r="X22" s="1593"/>
      <c r="Y22" s="3614"/>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4"/>
      <c r="Q23" s="1543" t="str">
        <f t="shared" ref="Q23:Q37" si="8">B23</f>
        <v>区域土地利用方向</v>
      </c>
      <c r="R23" s="1653" t="s">
        <v>25</v>
      </c>
      <c r="S23" s="1654">
        <f>F23</f>
        <v>100</v>
      </c>
      <c r="T23" s="1653" t="s">
        <v>25</v>
      </c>
      <c r="U23" s="1654">
        <f>H23</f>
        <v>100</v>
      </c>
      <c r="V23" s="1653" t="s">
        <v>25</v>
      </c>
      <c r="W23" s="1654">
        <f>J23</f>
        <v>100</v>
      </c>
      <c r="X23" s="1593"/>
      <c r="Y23" s="3614"/>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14"/>
      <c r="Q24" s="1543"/>
      <c r="R24" s="1653"/>
      <c r="S24" s="1654"/>
      <c r="T24" s="1653"/>
      <c r="U24" s="1654"/>
      <c r="V24" s="1653"/>
      <c r="W24" s="1654"/>
      <c r="X24" s="1593"/>
      <c r="Y24" s="3614"/>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4"/>
      <c r="Q25" s="1543" t="str">
        <f t="shared" si="8"/>
        <v>自然及人文环境状况</v>
      </c>
      <c r="R25" s="1653" t="s">
        <v>25</v>
      </c>
      <c r="S25" s="1654">
        <f>F25</f>
        <v>100</v>
      </c>
      <c r="T25" s="1653" t="s">
        <v>25</v>
      </c>
      <c r="U25" s="1654">
        <f>H25</f>
        <v>100</v>
      </c>
      <c r="V25" s="1653" t="s">
        <v>25</v>
      </c>
      <c r="W25" s="1654">
        <f>J25</f>
        <v>100</v>
      </c>
      <c r="X25" s="1593"/>
      <c r="Y25" s="3614"/>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14"/>
      <c r="Q26" s="1543"/>
      <c r="R26" s="1653"/>
      <c r="S26" s="1654"/>
      <c r="T26" s="1653"/>
      <c r="U26" s="1654"/>
      <c r="V26" s="1653"/>
      <c r="W26" s="1654"/>
      <c r="X26" s="1593"/>
      <c r="Y26" s="3614"/>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4"/>
      <c r="Q27" s="1562" t="str">
        <f t="shared" ref="Q27" si="9">B27</f>
        <v>公共配套设施</v>
      </c>
      <c r="R27" s="1608" t="s">
        <v>25</v>
      </c>
      <c r="S27" s="1609">
        <f>F27</f>
        <v>100</v>
      </c>
      <c r="T27" s="1608" t="s">
        <v>25</v>
      </c>
      <c r="U27" s="1609">
        <f>H27</f>
        <v>100</v>
      </c>
      <c r="V27" s="1608" t="s">
        <v>25</v>
      </c>
      <c r="W27" s="1609">
        <f>J27</f>
        <v>100</v>
      </c>
      <c r="X27" s="1593"/>
      <c r="Y27" s="3614"/>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14"/>
      <c r="Q28" s="1543"/>
      <c r="R28" s="1653"/>
      <c r="S28" s="1654"/>
      <c r="T28" s="1653"/>
      <c r="U28" s="1654"/>
      <c r="V28" s="1653"/>
      <c r="W28" s="1654"/>
      <c r="X28" s="1593"/>
      <c r="Y28" s="3614"/>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4"/>
      <c r="Q29" s="1562" t="str">
        <f t="shared" si="8"/>
        <v>基础设施水平</v>
      </c>
      <c r="R29" s="1608" t="s">
        <v>25</v>
      </c>
      <c r="S29" s="1609">
        <f>F29</f>
        <v>100</v>
      </c>
      <c r="T29" s="1608" t="s">
        <v>25</v>
      </c>
      <c r="U29" s="1609">
        <f>H29</f>
        <v>100</v>
      </c>
      <c r="V29" s="1608" t="s">
        <v>25</v>
      </c>
      <c r="W29" s="1609">
        <f>J29</f>
        <v>100</v>
      </c>
      <c r="X29" s="1610"/>
      <c r="Y29" s="3614"/>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14"/>
      <c r="Q30" s="1562"/>
      <c r="R30" s="1608"/>
      <c r="S30" s="1609"/>
      <c r="T30" s="1608"/>
      <c r="U30" s="1609"/>
      <c r="V30" s="1608"/>
      <c r="W30" s="1609"/>
      <c r="X30" s="1610"/>
      <c r="Y30" s="3614"/>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4"/>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14"/>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4"/>
      <c r="Q32" s="1543" t="str">
        <f t="shared" si="8"/>
        <v>毗邻道路的类型与等级</v>
      </c>
      <c r="R32" s="1653" t="s">
        <v>25</v>
      </c>
      <c r="S32" s="1654">
        <f t="shared" si="10"/>
        <v>100</v>
      </c>
      <c r="T32" s="1653" t="s">
        <v>25</v>
      </c>
      <c r="U32" s="1654">
        <f t="shared" si="11"/>
        <v>100</v>
      </c>
      <c r="V32" s="1653" t="s">
        <v>25</v>
      </c>
      <c r="W32" s="1654">
        <f t="shared" si="12"/>
        <v>100</v>
      </c>
      <c r="X32" s="1593"/>
      <c r="Y32" s="3614"/>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14"/>
      <c r="Q33" s="1543"/>
      <c r="R33" s="1653"/>
      <c r="S33" s="1654"/>
      <c r="T33" s="1653"/>
      <c r="U33" s="1654"/>
      <c r="V33" s="1653"/>
      <c r="W33" s="1654"/>
      <c r="X33" s="1593"/>
      <c r="Y33" s="3614"/>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4"/>
      <c r="Q34" s="1543" t="str">
        <f t="shared" si="8"/>
        <v>土地级别</v>
      </c>
      <c r="R34" s="1653" t="s">
        <v>25</v>
      </c>
      <c r="S34" s="1654">
        <f t="shared" si="10"/>
        <v>100</v>
      </c>
      <c r="T34" s="1653" t="s">
        <v>25</v>
      </c>
      <c r="U34" s="1654">
        <f t="shared" si="11"/>
        <v>100</v>
      </c>
      <c r="V34" s="1653" t="s">
        <v>25</v>
      </c>
      <c r="W34" s="1654">
        <f t="shared" si="12"/>
        <v>100</v>
      </c>
      <c r="X34" s="1593"/>
      <c r="Y34" s="3614"/>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4"/>
      <c r="Q35" s="1543">
        <f t="shared" si="8"/>
        <v>111</v>
      </c>
      <c r="R35" s="1653" t="s">
        <v>25</v>
      </c>
      <c r="S35" s="1654">
        <f t="shared" si="10"/>
        <v>100</v>
      </c>
      <c r="T35" s="1653" t="s">
        <v>25</v>
      </c>
      <c r="U35" s="1654">
        <f t="shared" si="11"/>
        <v>100</v>
      </c>
      <c r="V35" s="1653" t="s">
        <v>25</v>
      </c>
      <c r="W35" s="1654">
        <f t="shared" si="12"/>
        <v>100</v>
      </c>
      <c r="X35" s="1593"/>
      <c r="Y35" s="3614"/>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3" t="s">
        <v>2035</v>
      </c>
      <c r="Q36" s="1543">
        <f t="shared" si="8"/>
        <v>111</v>
      </c>
      <c r="R36" s="1653" t="s">
        <v>25</v>
      </c>
      <c r="S36" s="1654">
        <f t="shared" si="10"/>
        <v>100</v>
      </c>
      <c r="T36" s="1653" t="s">
        <v>25</v>
      </c>
      <c r="U36" s="1654">
        <f t="shared" si="11"/>
        <v>100</v>
      </c>
      <c r="V36" s="1653" t="s">
        <v>25</v>
      </c>
      <c r="W36" s="1654">
        <f t="shared" si="12"/>
        <v>100</v>
      </c>
      <c r="X36" s="1593"/>
      <c r="Y36" s="3618"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18"/>
      <c r="Q37" s="1543">
        <f t="shared" si="8"/>
        <v>111</v>
      </c>
      <c r="R37" s="1695" t="s">
        <v>25</v>
      </c>
      <c r="S37" s="1696">
        <f t="shared" si="10"/>
        <v>100</v>
      </c>
      <c r="T37" s="1695" t="s">
        <v>25</v>
      </c>
      <c r="U37" s="1696">
        <f t="shared" si="11"/>
        <v>100</v>
      </c>
      <c r="V37" s="1695" t="s">
        <v>25</v>
      </c>
      <c r="W37" s="1696">
        <f t="shared" si="12"/>
        <v>100</v>
      </c>
      <c r="X37" s="1697"/>
      <c r="Y37" s="3618"/>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18"/>
      <c r="Q38" s="1543" t="str">
        <f>B38</f>
        <v>宗地面积</v>
      </c>
      <c r="R38" s="1653" t="s">
        <v>25</v>
      </c>
      <c r="S38" s="1654" t="e">
        <f t="shared" si="10"/>
        <v>#N/A</v>
      </c>
      <c r="T38" s="1653" t="s">
        <v>25</v>
      </c>
      <c r="U38" s="1654" t="e">
        <f t="shared" si="11"/>
        <v>#N/A</v>
      </c>
      <c r="V38" s="1653" t="s">
        <v>25</v>
      </c>
      <c r="W38" s="1654" t="e">
        <f t="shared" si="12"/>
        <v>#N/A</v>
      </c>
      <c r="X38" s="1593"/>
      <c r="Y38" s="3618"/>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18"/>
      <c r="Q39" s="1543" t="str">
        <f t="shared" ref="Q39:Q45" si="14">B39</f>
        <v>宗地形状</v>
      </c>
      <c r="R39" s="1653" t="s">
        <v>25</v>
      </c>
      <c r="S39" s="1654">
        <f t="shared" si="10"/>
        <v>100</v>
      </c>
      <c r="T39" s="1653" t="s">
        <v>25</v>
      </c>
      <c r="U39" s="1654">
        <f t="shared" si="11"/>
        <v>100</v>
      </c>
      <c r="V39" s="1653" t="s">
        <v>25</v>
      </c>
      <c r="W39" s="1654">
        <f t="shared" si="12"/>
        <v>100</v>
      </c>
      <c r="X39" s="1593"/>
      <c r="Y39" s="3618"/>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18"/>
      <c r="Q40" s="1543" t="str">
        <f t="shared" si="14"/>
        <v>临街宽度及深度</v>
      </c>
      <c r="R40" s="1653" t="s">
        <v>25</v>
      </c>
      <c r="S40" s="1654">
        <f t="shared" si="10"/>
        <v>100</v>
      </c>
      <c r="T40" s="1653" t="s">
        <v>25</v>
      </c>
      <c r="U40" s="1654">
        <f t="shared" si="11"/>
        <v>100</v>
      </c>
      <c r="V40" s="1653" t="s">
        <v>25</v>
      </c>
      <c r="W40" s="1654">
        <f t="shared" si="12"/>
        <v>100</v>
      </c>
      <c r="X40" s="1593"/>
      <c r="Y40" s="3618"/>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18"/>
      <c r="Q41" s="1543" t="str">
        <f t="shared" si="14"/>
        <v>宗地开发程度</v>
      </c>
      <c r="R41" s="1608" t="s">
        <v>25</v>
      </c>
      <c r="S41" s="1609">
        <f t="shared" si="10"/>
        <v>100</v>
      </c>
      <c r="T41" s="1608" t="s">
        <v>25</v>
      </c>
      <c r="U41" s="1609">
        <f t="shared" si="11"/>
        <v>100</v>
      </c>
      <c r="V41" s="1608" t="s">
        <v>25</v>
      </c>
      <c r="W41" s="1609">
        <f t="shared" si="12"/>
        <v>100</v>
      </c>
      <c r="X41" s="1610"/>
      <c r="Y41" s="3618"/>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18" t="s">
        <v>2035</v>
      </c>
      <c r="Q42" s="1543" t="str">
        <f t="shared" si="14"/>
        <v>工程地质条件</v>
      </c>
      <c r="R42" s="1653" t="s">
        <v>25</v>
      </c>
      <c r="S42" s="1654">
        <f t="shared" si="10"/>
        <v>100</v>
      </c>
      <c r="T42" s="1653" t="s">
        <v>25</v>
      </c>
      <c r="U42" s="1654">
        <f t="shared" si="11"/>
        <v>100</v>
      </c>
      <c r="V42" s="1653" t="s">
        <v>25</v>
      </c>
      <c r="W42" s="1654">
        <f t="shared" si="12"/>
        <v>100</v>
      </c>
      <c r="X42" s="1593"/>
      <c r="Y42" s="3618"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18"/>
      <c r="Q43" s="1543">
        <f t="shared" si="14"/>
        <v>111</v>
      </c>
      <c r="R43" s="1653" t="s">
        <v>25</v>
      </c>
      <c r="S43" s="1654">
        <f t="shared" si="10"/>
        <v>100</v>
      </c>
      <c r="T43" s="1653" t="s">
        <v>25</v>
      </c>
      <c r="U43" s="1654">
        <f t="shared" si="11"/>
        <v>100</v>
      </c>
      <c r="V43" s="1653" t="s">
        <v>25</v>
      </c>
      <c r="W43" s="1654">
        <f t="shared" si="12"/>
        <v>100</v>
      </c>
      <c r="X43" s="1593"/>
      <c r="Y43" s="3618"/>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18"/>
      <c r="Q44" s="1543">
        <f t="shared" si="14"/>
        <v>111</v>
      </c>
      <c r="R44" s="1653" t="s">
        <v>25</v>
      </c>
      <c r="S44" s="1654">
        <f t="shared" si="10"/>
        <v>100</v>
      </c>
      <c r="T44" s="1653" t="s">
        <v>25</v>
      </c>
      <c r="U44" s="1654">
        <f t="shared" si="11"/>
        <v>100</v>
      </c>
      <c r="V44" s="1653" t="s">
        <v>25</v>
      </c>
      <c r="W44" s="1654">
        <f t="shared" si="12"/>
        <v>100</v>
      </c>
      <c r="X44" s="1593"/>
      <c r="Y44" s="3618"/>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18"/>
      <c r="Q45" s="1543">
        <f t="shared" si="14"/>
        <v>111</v>
      </c>
      <c r="R45" s="1695" t="s">
        <v>25</v>
      </c>
      <c r="S45" s="1696">
        <f t="shared" si="10"/>
        <v>100</v>
      </c>
      <c r="T45" s="1695" t="s">
        <v>25</v>
      </c>
      <c r="U45" s="1696">
        <f t="shared" si="11"/>
        <v>100</v>
      </c>
      <c r="V45" s="1695" t="s">
        <v>25</v>
      </c>
      <c r="W45" s="1696">
        <f t="shared" si="12"/>
        <v>100</v>
      </c>
      <c r="X45" s="1697"/>
      <c r="Y45" s="3618"/>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24" t="str">
        <f>A46</f>
        <v>成交单价</v>
      </c>
      <c r="Q46" s="3624"/>
      <c r="R46" s="3604">
        <f>E46</f>
        <v>0</v>
      </c>
      <c r="S46" s="3604"/>
      <c r="T46" s="3604">
        <f>G46</f>
        <v>0</v>
      </c>
      <c r="U46" s="3604"/>
      <c r="V46" s="3604">
        <f>I46</f>
        <v>0</v>
      </c>
      <c r="W46" s="3604"/>
      <c r="X46" s="1719"/>
      <c r="Y46" s="1720"/>
      <c r="Z46" s="1719"/>
      <c r="AA46" s="1719"/>
      <c r="AB46" s="1719"/>
      <c r="AC46" s="1719"/>
    </row>
    <row r="47" spans="1:29" ht="15.75" thickBot="1">
      <c r="A47" s="1721" t="s">
        <v>2130</v>
      </c>
      <c r="B47" s="1942"/>
      <c r="C47" s="1943" t="e">
        <f>R48</f>
        <v>#DIV/0!</v>
      </c>
      <c r="D47" s="1724" t="s">
        <v>2500</v>
      </c>
      <c r="E47" s="1943" t="e">
        <f>R47</f>
        <v>#DIV/0!</v>
      </c>
      <c r="F47" s="1726"/>
      <c r="G47" s="1944" t="e">
        <f>T47</f>
        <v>#DIV/0!</v>
      </c>
      <c r="H47" s="1726"/>
      <c r="I47" s="1943" t="e">
        <f>V47</f>
        <v>#DIV/0!</v>
      </c>
      <c r="J47" s="1726"/>
      <c r="K47" s="2428">
        <f>F47+H47+J47</f>
        <v>0</v>
      </c>
      <c r="L47" s="2920"/>
      <c r="P47" s="3624" t="str">
        <f>A47</f>
        <v>比较价值（元/平方米）</v>
      </c>
      <c r="Q47" s="3624"/>
      <c r="R47" s="3676" t="e">
        <f>ROUND(PRODUCT(R46,AA7:AA45),0)</f>
        <v>#DIV/0!</v>
      </c>
      <c r="S47" s="3676"/>
      <c r="T47" s="3676" t="e">
        <f>ROUND(PRODUCT(T46,AB7:AB45),0)</f>
        <v>#DIV/0!</v>
      </c>
      <c r="U47" s="3676"/>
      <c r="V47" s="3676" t="e">
        <f>ROUND(PRODUCT(V46,AC7:AC45),0)</f>
        <v>#DIV/0!</v>
      </c>
      <c r="W47" s="3676"/>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0" t="str">
        <f>A48</f>
        <v>估价对象XX用房的比较价值（楼面单价，元/平方米）</v>
      </c>
      <c r="Q48" s="3631"/>
      <c r="R48" s="3677" t="e">
        <f>ROUND(IF(D47="简单平均",AVERAGE(R47:W47),R47*F47+T47*H47+V47*J47),0)</f>
        <v>#DIV/0!</v>
      </c>
      <c r="S48" s="3677"/>
      <c r="T48" s="3677"/>
      <c r="U48" s="3677"/>
      <c r="V48" s="3677"/>
      <c r="W48" s="3677"/>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f>项目基本情况!G8</f>
        <v>0</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2022-4-1</v>
      </c>
      <c r="D67" s="1968">
        <f>EDATE(C67,-3)</f>
        <v>44562</v>
      </c>
      <c r="E67" s="1968">
        <f t="shared" ref="E67:O67" si="18">EDATE(D67,-3)</f>
        <v>44470</v>
      </c>
      <c r="F67" s="1968">
        <f t="shared" si="18"/>
        <v>44378</v>
      </c>
      <c r="G67" s="1968">
        <f t="shared" si="18"/>
        <v>44287</v>
      </c>
      <c r="H67" s="1968">
        <f t="shared" si="18"/>
        <v>44197</v>
      </c>
      <c r="I67" s="1968">
        <f t="shared" si="18"/>
        <v>44105</v>
      </c>
      <c r="J67" s="1968">
        <f t="shared" si="18"/>
        <v>44013</v>
      </c>
      <c r="K67" s="1968">
        <f t="shared" si="18"/>
        <v>43922</v>
      </c>
      <c r="L67" s="1968">
        <f t="shared" si="18"/>
        <v>43831</v>
      </c>
      <c r="M67" s="1968">
        <f t="shared" si="18"/>
        <v>43739</v>
      </c>
      <c r="N67" s="1968">
        <f t="shared" si="18"/>
        <v>43647</v>
      </c>
      <c r="O67" s="1968">
        <f t="shared" si="18"/>
        <v>43556</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北京市平均增长率1.00%</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V4" sqref="V4:W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46" t="s">
        <v>2005</v>
      </c>
      <c r="D4" s="3647"/>
      <c r="E4" s="3648" t="s">
        <v>2006</v>
      </c>
      <c r="F4" s="3649"/>
      <c r="G4" s="3646" t="s">
        <v>2007</v>
      </c>
      <c r="H4" s="3647"/>
      <c r="I4" s="3646" t="s">
        <v>2008</v>
      </c>
      <c r="J4" s="3647"/>
      <c r="K4" s="496" t="s">
        <v>2009</v>
      </c>
      <c r="L4" s="2942"/>
      <c r="M4" s="2943"/>
      <c r="N4" s="2943"/>
      <c r="O4" s="2943"/>
      <c r="P4" s="3650" t="s">
        <v>2010</v>
      </c>
      <c r="Q4" s="3651"/>
      <c r="R4" s="3656" t="s">
        <v>2006</v>
      </c>
      <c r="S4" s="3657"/>
      <c r="T4" s="3656" t="s">
        <v>2007</v>
      </c>
      <c r="U4" s="3657"/>
      <c r="V4" s="3662" t="s">
        <v>2008</v>
      </c>
      <c r="W4" s="3662"/>
      <c r="X4" s="1262"/>
      <c r="Y4" s="3656" t="s">
        <v>2010</v>
      </c>
      <c r="Z4" s="3657"/>
      <c r="AA4" s="3643" t="s">
        <v>2006</v>
      </c>
      <c r="AB4" s="3644" t="s">
        <v>2007</v>
      </c>
      <c r="AC4" s="3643" t="s">
        <v>2008</v>
      </c>
    </row>
    <row r="5" spans="1:29" ht="15">
      <c r="A5" s="297"/>
      <c r="B5" s="298"/>
      <c r="C5" s="3639" t="s">
        <v>2011</v>
      </c>
      <c r="D5" s="3640"/>
      <c r="E5" s="3663" t="s">
        <v>2012</v>
      </c>
      <c r="F5" s="3664"/>
      <c r="G5" s="3639" t="s">
        <v>2013</v>
      </c>
      <c r="H5" s="3640"/>
      <c r="I5" s="3639" t="s">
        <v>2014</v>
      </c>
      <c r="J5" s="3640"/>
      <c r="K5" s="496"/>
      <c r="L5" s="2942"/>
      <c r="M5" s="2943"/>
      <c r="N5" s="2943"/>
      <c r="O5" s="2943"/>
      <c r="P5" s="3652"/>
      <c r="Q5" s="3653"/>
      <c r="R5" s="3658"/>
      <c r="S5" s="3659"/>
      <c r="T5" s="3658"/>
      <c r="U5" s="3659"/>
      <c r="V5" s="3662"/>
      <c r="W5" s="3662"/>
      <c r="X5" s="1262"/>
      <c r="Y5" s="3658"/>
      <c r="Z5" s="3659"/>
      <c r="AA5" s="3644"/>
      <c r="AB5" s="3644"/>
      <c r="AC5" s="3644"/>
    </row>
    <row r="6" spans="1:29" ht="15.75" thickBot="1">
      <c r="A6" s="299"/>
      <c r="B6" s="300"/>
      <c r="C6" s="3636" t="s">
        <v>2015</v>
      </c>
      <c r="D6" s="3637"/>
      <c r="E6" s="3634" t="s">
        <v>2015</v>
      </c>
      <c r="F6" s="3635"/>
      <c r="G6" s="3636" t="s">
        <v>2015</v>
      </c>
      <c r="H6" s="3637"/>
      <c r="I6" s="3636" t="s">
        <v>2015</v>
      </c>
      <c r="J6" s="3637"/>
      <c r="K6" s="496" t="s">
        <v>2016</v>
      </c>
      <c r="L6" s="2942"/>
      <c r="M6" s="2943"/>
      <c r="N6" s="2943"/>
      <c r="O6" s="2943"/>
      <c r="P6" s="3654"/>
      <c r="Q6" s="3655"/>
      <c r="R6" s="3658"/>
      <c r="S6" s="3659"/>
      <c r="T6" s="3660"/>
      <c r="U6" s="3661"/>
      <c r="V6" s="3662"/>
      <c r="W6" s="3662"/>
      <c r="X6" s="1262"/>
      <c r="Y6" s="3660"/>
      <c r="Z6" s="3661"/>
      <c r="AA6" s="3645"/>
      <c r="AB6" s="3645"/>
      <c r="AC6" s="3645"/>
    </row>
    <row r="7" spans="1:29" s="25" customFormat="1" ht="15.75" thickBot="1">
      <c r="A7" s="301" t="s">
        <v>2017</v>
      </c>
      <c r="B7" s="302"/>
      <c r="C7" s="303">
        <f>'数据-取费表'!B2</f>
        <v>44676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1" t="s">
        <v>2018</v>
      </c>
      <c r="Q7" s="3665"/>
      <c r="R7" s="627" t="s">
        <v>25</v>
      </c>
      <c r="S7" s="628">
        <f t="shared" ref="S7:S15" si="0">F7</f>
        <v>0</v>
      </c>
      <c r="T7" s="627" t="s">
        <v>25</v>
      </c>
      <c r="U7" s="628">
        <f t="shared" ref="U7:U15" si="1">H7</f>
        <v>0</v>
      </c>
      <c r="V7" s="627" t="s">
        <v>25</v>
      </c>
      <c r="W7" s="628">
        <f t="shared" ref="W7:W15" si="2">J7</f>
        <v>0</v>
      </c>
      <c r="X7" s="629"/>
      <c r="Y7" s="3641" t="s">
        <v>2018</v>
      </c>
      <c r="Z7" s="3642"/>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1" t="s">
        <v>2021</v>
      </c>
      <c r="Q8" s="3642"/>
      <c r="R8" s="627" t="s">
        <v>25</v>
      </c>
      <c r="S8" s="628">
        <f t="shared" si="0"/>
        <v>0</v>
      </c>
      <c r="T8" s="627" t="s">
        <v>25</v>
      </c>
      <c r="U8" s="628">
        <f t="shared" si="1"/>
        <v>0</v>
      </c>
      <c r="V8" s="627" t="s">
        <v>25</v>
      </c>
      <c r="W8" s="628">
        <f t="shared" si="2"/>
        <v>0</v>
      </c>
      <c r="X8" s="629"/>
      <c r="Y8" s="3641" t="s">
        <v>2021</v>
      </c>
      <c r="Z8" s="3642"/>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8" t="s">
        <v>2024</v>
      </c>
      <c r="Q9" s="1254" t="str">
        <f t="shared" ref="Q9:Q15" si="6">B9</f>
        <v>用途</v>
      </c>
      <c r="R9" s="627" t="s">
        <v>25</v>
      </c>
      <c r="S9" s="628">
        <f t="shared" si="0"/>
        <v>100</v>
      </c>
      <c r="T9" s="627" t="s">
        <v>25</v>
      </c>
      <c r="U9" s="628">
        <f t="shared" si="1"/>
        <v>100</v>
      </c>
      <c r="V9" s="627" t="s">
        <v>25</v>
      </c>
      <c r="W9" s="628">
        <f t="shared" si="2"/>
        <v>100</v>
      </c>
      <c r="X9" s="629"/>
      <c r="Y9" s="3668"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119</v>
      </c>
      <c r="G10" s="322"/>
      <c r="H10" s="29">
        <f>ROUND(100/'数据-取费表'!B14,0)</f>
        <v>119</v>
      </c>
      <c r="I10" s="322"/>
      <c r="J10" s="29">
        <f>ROUND(100/'数据-取费表'!B14,0)</f>
        <v>119</v>
      </c>
      <c r="K10" s="553"/>
      <c r="L10" s="2947"/>
      <c r="M10" s="2948"/>
      <c r="N10" s="2948"/>
      <c r="O10" s="2949"/>
      <c r="P10" s="3638"/>
      <c r="Q10" s="1254" t="str">
        <f t="shared" si="6"/>
        <v>土地使用年限（年）</v>
      </c>
      <c r="R10" s="627" t="s">
        <v>25</v>
      </c>
      <c r="S10" s="628">
        <f t="shared" si="0"/>
        <v>119</v>
      </c>
      <c r="T10" s="627" t="s">
        <v>25</v>
      </c>
      <c r="U10" s="628">
        <f t="shared" si="1"/>
        <v>119</v>
      </c>
      <c r="V10" s="627" t="s">
        <v>25</v>
      </c>
      <c r="W10" s="628">
        <f t="shared" si="2"/>
        <v>119</v>
      </c>
      <c r="X10" s="629"/>
      <c r="Y10" s="3668"/>
      <c r="Z10" s="19" t="str">
        <f t="shared" si="7"/>
        <v>土地使用年限（年）</v>
      </c>
      <c r="AA10" s="630">
        <f t="shared" si="3"/>
        <v>0.84033613445378152</v>
      </c>
      <c r="AB10" s="630">
        <f t="shared" si="4"/>
        <v>0.84033613445378152</v>
      </c>
      <c r="AC10" s="630">
        <f t="shared" si="5"/>
        <v>0.84033613445378152</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8"/>
      <c r="Q11" s="1254"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8"/>
      <c r="Q12" s="1254">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8"/>
      <c r="Q13" s="1254">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8"/>
      <c r="Q14" s="1254">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6" t="s">
        <v>2029</v>
      </c>
      <c r="Q15" s="1261" t="str">
        <f t="shared" si="6"/>
        <v>产业集聚程度</v>
      </c>
      <c r="R15" s="631" t="s">
        <v>25</v>
      </c>
      <c r="S15" s="632">
        <f t="shared" si="0"/>
        <v>100</v>
      </c>
      <c r="T15" s="631" t="s">
        <v>25</v>
      </c>
      <c r="U15" s="632">
        <f t="shared" si="1"/>
        <v>100</v>
      </c>
      <c r="V15" s="631" t="s">
        <v>25</v>
      </c>
      <c r="W15" s="632">
        <f t="shared" si="2"/>
        <v>100</v>
      </c>
      <c r="X15" s="1262"/>
      <c r="Y15" s="3666"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7"/>
      <c r="Q16" s="1261"/>
      <c r="R16" s="631"/>
      <c r="S16" s="632"/>
      <c r="T16" s="631"/>
      <c r="U16" s="632"/>
      <c r="V16" s="631"/>
      <c r="W16" s="632"/>
      <c r="X16" s="1262"/>
      <c r="Y16" s="3667"/>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7"/>
      <c r="Q17" s="1261" t="str">
        <f>B17</f>
        <v>交通便捷度</v>
      </c>
      <c r="R17" s="631" t="s">
        <v>25</v>
      </c>
      <c r="S17" s="632">
        <f>F17</f>
        <v>100</v>
      </c>
      <c r="T17" s="631" t="s">
        <v>25</v>
      </c>
      <c r="U17" s="632">
        <f>H17</f>
        <v>100</v>
      </c>
      <c r="V17" s="631" t="s">
        <v>25</v>
      </c>
      <c r="W17" s="632">
        <f>J17</f>
        <v>100</v>
      </c>
      <c r="X17" s="1262"/>
      <c r="Y17" s="3667"/>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7"/>
      <c r="Q18" s="1261"/>
      <c r="R18" s="631"/>
      <c r="S18" s="632"/>
      <c r="T18" s="631"/>
      <c r="U18" s="632"/>
      <c r="V18" s="631"/>
      <c r="W18" s="632"/>
      <c r="X18" s="1262"/>
      <c r="Y18" s="3667"/>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7"/>
      <c r="Q19" s="1261" t="str">
        <f t="shared" ref="Q19:Q33" si="8">B19</f>
        <v>区域土地利用方向</v>
      </c>
      <c r="R19" s="631" t="s">
        <v>25</v>
      </c>
      <c r="S19" s="632">
        <f>F19</f>
        <v>100</v>
      </c>
      <c r="T19" s="631" t="s">
        <v>25</v>
      </c>
      <c r="U19" s="632">
        <f>H19</f>
        <v>100</v>
      </c>
      <c r="V19" s="631" t="s">
        <v>25</v>
      </c>
      <c r="W19" s="632">
        <f>J19</f>
        <v>100</v>
      </c>
      <c r="X19" s="1262"/>
      <c r="Y19" s="3667"/>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7"/>
      <c r="Q20" s="1261"/>
      <c r="R20" s="631"/>
      <c r="S20" s="632"/>
      <c r="T20" s="631"/>
      <c r="U20" s="632"/>
      <c r="V20" s="631"/>
      <c r="W20" s="632"/>
      <c r="X20" s="1262"/>
      <c r="Y20" s="3667"/>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7"/>
      <c r="Q21" s="1261" t="str">
        <f t="shared" si="8"/>
        <v>环境状况</v>
      </c>
      <c r="R21" s="631" t="s">
        <v>25</v>
      </c>
      <c r="S21" s="632">
        <f>F21</f>
        <v>100</v>
      </c>
      <c r="T21" s="631" t="s">
        <v>25</v>
      </c>
      <c r="U21" s="632">
        <f>H21</f>
        <v>100</v>
      </c>
      <c r="V21" s="631" t="s">
        <v>25</v>
      </c>
      <c r="W21" s="632">
        <f>J21</f>
        <v>100</v>
      </c>
      <c r="X21" s="1262"/>
      <c r="Y21" s="3667"/>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7"/>
      <c r="Q22" s="1261"/>
      <c r="R22" s="631"/>
      <c r="S22" s="632"/>
      <c r="T22" s="631"/>
      <c r="U22" s="632"/>
      <c r="V22" s="631"/>
      <c r="W22" s="632"/>
      <c r="X22" s="1262"/>
      <c r="Y22" s="3667"/>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7"/>
      <c r="Q23" s="1254" t="str">
        <f t="shared" si="8"/>
        <v>公共配套设施</v>
      </c>
      <c r="R23" s="627" t="s">
        <v>25</v>
      </c>
      <c r="S23" s="628">
        <f>F23</f>
        <v>100</v>
      </c>
      <c r="T23" s="627" t="s">
        <v>25</v>
      </c>
      <c r="U23" s="628">
        <f>H23</f>
        <v>100</v>
      </c>
      <c r="V23" s="627" t="s">
        <v>25</v>
      </c>
      <c r="W23" s="628">
        <f>J23</f>
        <v>100</v>
      </c>
      <c r="X23" s="629"/>
      <c r="Y23" s="3667"/>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7"/>
      <c r="Q24" s="1254"/>
      <c r="R24" s="627"/>
      <c r="S24" s="628"/>
      <c r="T24" s="627"/>
      <c r="U24" s="628"/>
      <c r="V24" s="627"/>
      <c r="W24" s="628"/>
      <c r="X24" s="629"/>
      <c r="Y24" s="3667"/>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7"/>
      <c r="Q25" s="1254"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7"/>
      <c r="Q26" s="1254"/>
      <c r="R26" s="627"/>
      <c r="S26" s="628"/>
      <c r="T26" s="627"/>
      <c r="U26" s="628"/>
      <c r="V26" s="627"/>
      <c r="W26" s="628"/>
      <c r="X26" s="629"/>
      <c r="Y26" s="3667"/>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7"/>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7"/>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7"/>
      <c r="Q28" s="1261" t="str">
        <f t="shared" si="8"/>
        <v>毗邻道路的类型与等级</v>
      </c>
      <c r="R28" s="631" t="s">
        <v>25</v>
      </c>
      <c r="S28" s="632">
        <f t="shared" si="10"/>
        <v>100</v>
      </c>
      <c r="T28" s="631" t="s">
        <v>25</v>
      </c>
      <c r="U28" s="632">
        <f t="shared" si="11"/>
        <v>100</v>
      </c>
      <c r="V28" s="631" t="s">
        <v>25</v>
      </c>
      <c r="W28" s="632">
        <f t="shared" si="12"/>
        <v>100</v>
      </c>
      <c r="X28" s="1262"/>
      <c r="Y28" s="3667"/>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7"/>
      <c r="Q29" s="1261"/>
      <c r="R29" s="631"/>
      <c r="S29" s="632"/>
      <c r="T29" s="631"/>
      <c r="U29" s="632"/>
      <c r="V29" s="631"/>
      <c r="W29" s="632"/>
      <c r="X29" s="1262"/>
      <c r="Y29" s="3667"/>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7"/>
      <c r="Q30" s="1261" t="str">
        <f t="shared" si="8"/>
        <v>土地级别</v>
      </c>
      <c r="R30" s="631" t="s">
        <v>25</v>
      </c>
      <c r="S30" s="632">
        <f t="shared" si="10"/>
        <v>100</v>
      </c>
      <c r="T30" s="631" t="s">
        <v>25</v>
      </c>
      <c r="U30" s="632">
        <f t="shared" si="11"/>
        <v>100</v>
      </c>
      <c r="V30" s="631" t="s">
        <v>25</v>
      </c>
      <c r="W30" s="632">
        <f t="shared" si="12"/>
        <v>100</v>
      </c>
      <c r="X30" s="1262"/>
      <c r="Y30" s="3667"/>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7"/>
      <c r="Q31" s="1261">
        <f t="shared" si="8"/>
        <v>111</v>
      </c>
      <c r="R31" s="631" t="s">
        <v>25</v>
      </c>
      <c r="S31" s="632">
        <f t="shared" si="10"/>
        <v>100</v>
      </c>
      <c r="T31" s="631" t="s">
        <v>25</v>
      </c>
      <c r="U31" s="632">
        <f t="shared" si="11"/>
        <v>100</v>
      </c>
      <c r="V31" s="631" t="s">
        <v>25</v>
      </c>
      <c r="W31" s="632">
        <f t="shared" si="12"/>
        <v>100</v>
      </c>
      <c r="X31" s="1262"/>
      <c r="Y31" s="3667"/>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9" t="s">
        <v>2035</v>
      </c>
      <c r="Q32" s="1261">
        <f t="shared" si="8"/>
        <v>111</v>
      </c>
      <c r="R32" s="631" t="s">
        <v>25</v>
      </c>
      <c r="S32" s="632">
        <f t="shared" si="10"/>
        <v>100</v>
      </c>
      <c r="T32" s="631" t="s">
        <v>25</v>
      </c>
      <c r="U32" s="632">
        <f t="shared" si="11"/>
        <v>100</v>
      </c>
      <c r="V32" s="631" t="s">
        <v>25</v>
      </c>
      <c r="W32" s="632">
        <f t="shared" si="12"/>
        <v>100</v>
      </c>
      <c r="X32" s="1262"/>
      <c r="Y32" s="3670"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0"/>
      <c r="Q33" s="1261">
        <f t="shared" si="8"/>
        <v>111</v>
      </c>
      <c r="R33" s="634" t="s">
        <v>25</v>
      </c>
      <c r="S33" s="635">
        <f t="shared" si="10"/>
        <v>100</v>
      </c>
      <c r="T33" s="634" t="s">
        <v>25</v>
      </c>
      <c r="U33" s="635">
        <f t="shared" si="11"/>
        <v>100</v>
      </c>
      <c r="V33" s="634" t="s">
        <v>25</v>
      </c>
      <c r="W33" s="635">
        <f t="shared" si="12"/>
        <v>100</v>
      </c>
      <c r="X33" s="636"/>
      <c r="Y33" s="3670"/>
      <c r="Z33" s="637">
        <f t="shared" si="13"/>
        <v>111</v>
      </c>
      <c r="AA33" s="1264">
        <f t="shared" si="3"/>
        <v>1</v>
      </c>
      <c r="AB33" s="1264">
        <f t="shared" si="4"/>
        <v>1</v>
      </c>
      <c r="AC33" s="1264">
        <f t="shared" si="5"/>
        <v>1</v>
      </c>
    </row>
    <row r="34" spans="1:29" ht="1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0"/>
      <c r="Q34" s="1261" t="str">
        <f>B34</f>
        <v>宗地面积</v>
      </c>
      <c r="R34" s="631" t="s">
        <v>25</v>
      </c>
      <c r="S34" s="632" t="e">
        <f t="shared" si="10"/>
        <v>#N/A</v>
      </c>
      <c r="T34" s="631" t="s">
        <v>25</v>
      </c>
      <c r="U34" s="632" t="e">
        <f t="shared" si="11"/>
        <v>#N/A</v>
      </c>
      <c r="V34" s="631" t="s">
        <v>25</v>
      </c>
      <c r="W34" s="632" t="e">
        <f t="shared" si="12"/>
        <v>#N/A</v>
      </c>
      <c r="X34" s="1262"/>
      <c r="Y34" s="3670"/>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0"/>
      <c r="Q35" s="1261" t="str">
        <f t="shared" ref="Q35:Q40" si="14">B35</f>
        <v>宗地形状</v>
      </c>
      <c r="R35" s="631" t="s">
        <v>25</v>
      </c>
      <c r="S35" s="632">
        <f t="shared" si="10"/>
        <v>100</v>
      </c>
      <c r="T35" s="631" t="s">
        <v>25</v>
      </c>
      <c r="U35" s="632">
        <f t="shared" si="11"/>
        <v>100</v>
      </c>
      <c r="V35" s="631" t="s">
        <v>25</v>
      </c>
      <c r="W35" s="632">
        <f t="shared" si="12"/>
        <v>100</v>
      </c>
      <c r="X35" s="1262"/>
      <c r="Y35" s="3670"/>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0"/>
      <c r="Q36" s="1261"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0" t="s">
        <v>2035</v>
      </c>
      <c r="Q37" s="1261" t="str">
        <f t="shared" si="14"/>
        <v>工程地质条件</v>
      </c>
      <c r="R37" s="631" t="s">
        <v>25</v>
      </c>
      <c r="S37" s="632">
        <f t="shared" si="10"/>
        <v>100</v>
      </c>
      <c r="T37" s="631" t="s">
        <v>25</v>
      </c>
      <c r="U37" s="632">
        <f t="shared" si="11"/>
        <v>100</v>
      </c>
      <c r="V37" s="631" t="s">
        <v>25</v>
      </c>
      <c r="W37" s="632">
        <f t="shared" si="12"/>
        <v>100</v>
      </c>
      <c r="X37" s="1262"/>
      <c r="Y37" s="3670"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0"/>
      <c r="Q38" s="1261">
        <f t="shared" si="14"/>
        <v>111</v>
      </c>
      <c r="R38" s="631" t="s">
        <v>25</v>
      </c>
      <c r="S38" s="632">
        <f t="shared" si="10"/>
        <v>100</v>
      </c>
      <c r="T38" s="631" t="s">
        <v>25</v>
      </c>
      <c r="U38" s="632">
        <f t="shared" si="11"/>
        <v>100</v>
      </c>
      <c r="V38" s="631" t="s">
        <v>25</v>
      </c>
      <c r="W38" s="632">
        <f t="shared" si="12"/>
        <v>100</v>
      </c>
      <c r="X38" s="1262"/>
      <c r="Y38" s="3670"/>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0"/>
      <c r="Q39" s="1261">
        <f t="shared" si="14"/>
        <v>111</v>
      </c>
      <c r="R39" s="631" t="s">
        <v>25</v>
      </c>
      <c r="S39" s="632">
        <f t="shared" si="10"/>
        <v>100</v>
      </c>
      <c r="T39" s="631" t="s">
        <v>25</v>
      </c>
      <c r="U39" s="632">
        <f t="shared" si="11"/>
        <v>100</v>
      </c>
      <c r="V39" s="631" t="s">
        <v>25</v>
      </c>
      <c r="W39" s="632">
        <f t="shared" si="12"/>
        <v>100</v>
      </c>
      <c r="X39" s="1262"/>
      <c r="Y39" s="3670"/>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0"/>
      <c r="Q40" s="1261">
        <f t="shared" si="14"/>
        <v>111</v>
      </c>
      <c r="R40" s="634" t="s">
        <v>25</v>
      </c>
      <c r="S40" s="635">
        <f t="shared" si="10"/>
        <v>100</v>
      </c>
      <c r="T40" s="634" t="s">
        <v>25</v>
      </c>
      <c r="U40" s="635">
        <f t="shared" si="11"/>
        <v>100</v>
      </c>
      <c r="V40" s="634" t="s">
        <v>25</v>
      </c>
      <c r="W40" s="635">
        <f t="shared" si="12"/>
        <v>100</v>
      </c>
      <c r="X40" s="636"/>
      <c r="Y40" s="3670"/>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2130</v>
      </c>
      <c r="B42" s="563"/>
      <c r="C42" s="377" t="e">
        <f>R43</f>
        <v>#DIV/0!</v>
      </c>
      <c r="D42" s="1724" t="s">
        <v>2500</v>
      </c>
      <c r="E42" s="377" t="e">
        <f>R42</f>
        <v>#DIV/0!</v>
      </c>
      <c r="F42" s="1726"/>
      <c r="G42" s="376" t="e">
        <f>T42</f>
        <v>#DIV/0!</v>
      </c>
      <c r="H42" s="1726"/>
      <c r="I42" s="377" t="e">
        <f>V42</f>
        <v>#DIV/0!</v>
      </c>
      <c r="J42" s="1726"/>
      <c r="K42" s="2428">
        <f>F42+H42+J42</f>
        <v>0</v>
      </c>
      <c r="L42" s="2954"/>
      <c r="M42" s="2943"/>
      <c r="N42" s="2943"/>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f>项目基本情况!G8</f>
        <v>0</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2022-4-1</v>
      </c>
      <c r="D62" s="1110">
        <f>EDATE(C62,-3)</f>
        <v>44562</v>
      </c>
      <c r="E62" s="1110">
        <f t="shared" ref="E62:O62" si="18">EDATE(D62,-3)</f>
        <v>44470</v>
      </c>
      <c r="F62" s="1110">
        <f t="shared" si="18"/>
        <v>44378</v>
      </c>
      <c r="G62" s="1110">
        <f t="shared" si="18"/>
        <v>44287</v>
      </c>
      <c r="H62" s="1110">
        <f t="shared" si="18"/>
        <v>44197</v>
      </c>
      <c r="I62" s="1110">
        <f t="shared" si="18"/>
        <v>44105</v>
      </c>
      <c r="J62" s="1110">
        <f t="shared" si="18"/>
        <v>44013</v>
      </c>
      <c r="K62" s="1110">
        <f t="shared" si="18"/>
        <v>43922</v>
      </c>
      <c r="L62" s="1110">
        <f t="shared" si="18"/>
        <v>43831</v>
      </c>
      <c r="M62" s="1110">
        <f t="shared" si="18"/>
        <v>43739</v>
      </c>
      <c r="N62" s="1110">
        <f t="shared" si="18"/>
        <v>43647</v>
      </c>
      <c r="O62" s="1110">
        <f t="shared" si="18"/>
        <v>43556</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北京市平均增长率1.16%</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估价对象为北京市房地产，为所有。根据《》[]，估价对象建筑面积为497.23平方米。根据《》[]，估价对象（分摊）出让国有建设用地使用权面积为平方米。估价对象用途为。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2022年4月25日（评估专业人员实地查勘之日）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497.23</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2640</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f>ROUND(IF(G3&gt;1,IF(R2&lt;7,SUMPRODUCT((B93:B98=R2)*(C92:N92=G2)*(C93:N98)),SUMIF(C92:N92,G2,C100:N100)),IF(R2&lt;7,SUMPRODUCT((B102:B107=R2)*(C92:N92=G2)*(C102:N107)),SUMIF(C92:N92,G2,C109:N109))),4)</f>
        <v>0</v>
      </c>
      <c r="T2" s="2031">
        <f>ROUND($C$5*$C$18*$C$19*$C$20*S2*$C$24,0)</f>
        <v>0</v>
      </c>
      <c r="U2" s="2042"/>
      <c r="V2" s="2031">
        <f t="shared" ref="V2:V8" si="0">ROUND(T2*U2,0)</f>
        <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2642</v>
      </c>
      <c r="F3" s="1531" t="s">
        <v>2271</v>
      </c>
      <c r="G3" s="2043">
        <f>项目基本情况!C15</f>
        <v>1</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f>ROUND(IF(G3&gt;1,IF(R3&lt;7,SUMPRODUCT((B93:B98=R3)*(C92:N92=G2)*(C93:N98)),SUMIF(C92:N92,G2,C100:N100)),IF(R3&lt;7,SUMPRODUCT((B102:B107=R3)*(C92:N92=G2)*(C102:N107)),SUMIF(C92:N92,G2,C109:N109))),4)</f>
        <v>0</v>
      </c>
      <c r="T3" s="2031">
        <f t="shared" ref="T3:T16" si="1">ROUND($C$5*$C$18*$C$19*$C$20*S3*$C$24,0)</f>
        <v>0</v>
      </c>
      <c r="U3" s="2042"/>
      <c r="V3" s="2031">
        <f t="shared" si="0"/>
        <v>0</v>
      </c>
      <c r="W3" s="2032"/>
      <c r="X3" s="2032"/>
      <c r="Y3" s="2032"/>
      <c r="Z3" s="2032"/>
      <c r="AA3" s="2032"/>
      <c r="AB3" s="2032"/>
      <c r="AC3" s="2032"/>
      <c r="AD3" s="2033"/>
      <c r="AE3" s="2033"/>
      <c r="AF3" s="2033"/>
      <c r="AG3" s="2033"/>
      <c r="AH3" s="2033"/>
      <c r="AI3" s="2033"/>
      <c r="AJ3" s="2034"/>
    </row>
    <row r="4" spans="1:36" ht="15.75">
      <c r="A4" s="3697"/>
      <c r="B4" s="3698"/>
      <c r="C4" s="3698"/>
      <c r="D4" s="3699"/>
      <c r="E4" s="3699"/>
      <c r="F4" s="3699"/>
      <c r="G4" s="3699"/>
      <c r="H4" s="3699"/>
      <c r="I4" s="3699"/>
      <c r="J4" s="3700"/>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f>ROUND(IF(G3&gt;1,IF(R4&lt;7,SUMPRODUCT((B93:B98=R4)*(C92:N92=G2)*(C93:N98)),SUMIF(C92:N92,G2,C100:N100)),IF(R4&lt;7,SUMPRODUCT((B102:B107=R4)*(C92:N92=G2)*(C102:N107)),SUMIF(C92:N92,G2,C109:N109))),4)</f>
        <v>0</v>
      </c>
      <c r="T4" s="2031">
        <f t="shared" si="1"/>
        <v>0</v>
      </c>
      <c r="U4" s="2042"/>
      <c r="V4" s="2031">
        <f t="shared" si="0"/>
        <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f>ROUND(IF(G3&gt;1,IF(R5&lt;7,SUMPRODUCT((B93:B98=R5)*(C92:N92=G2)*(C93:N98)),SUMIF(C92:N92,G2,C100:N100)),IF(R5&lt;7,SUMPRODUCT((B102:B107=R5)*(C92:N92=G2)*(C102:N107)),SUMIF(C92:N92,G2,C109:N109))),4)</f>
        <v>0</v>
      </c>
      <c r="T5" s="2031">
        <f t="shared" si="1"/>
        <v>0</v>
      </c>
      <c r="U5" s="2042"/>
      <c r="V5" s="2031">
        <f t="shared" si="0"/>
        <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f>ROUND(IF(G3&gt;1,IF(R6&lt;7,SUMPRODUCT((B93:B98=R6)*(C92:N92=G2)*(C93:N98)),SUMIF(C92:N92,G2,C100:N100)),IF(R6&lt;7,SUMPRODUCT((B102:B107=R6)*(C92:N92=G2)*(C102:N107)),SUMIF(C92:N92,G2,C109:N109))),4)</f>
        <v>0</v>
      </c>
      <c r="T6" s="2031">
        <f t="shared" si="1"/>
        <v>0</v>
      </c>
      <c r="U6" s="2042"/>
      <c r="V6" s="2031">
        <f t="shared" si="0"/>
        <v>0</v>
      </c>
      <c r="W6" s="2032"/>
      <c r="X6" s="2032"/>
      <c r="Y6" s="2032"/>
      <c r="Z6" s="2032"/>
      <c r="AA6" s="2032"/>
      <c r="AB6" s="2032"/>
      <c r="AC6" s="2049"/>
      <c r="AD6" s="2050"/>
      <c r="AE6" s="2050"/>
      <c r="AF6" s="2050"/>
      <c r="AG6" s="2050"/>
      <c r="AH6" s="2050"/>
      <c r="AI6" s="2050"/>
      <c r="AJ6" s="2051"/>
    </row>
    <row r="7" spans="1:36" ht="24">
      <c r="A7" s="3701"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f>ROUND(IF(G3&gt;1,IF(R7&lt;7,SUMPRODUCT((B93:B98=R7)*(C92:N92=G2)*(C93:N98)),SUMIF(C92:N92,G2,C100:N100)),IF(R7&lt;7,SUMPRODUCT((B102:B107=R7)*(C92:N92=G2)*(C102:N107)),SUMIF(C92:N92,G2,C109:N109))),4)</f>
        <v>0</v>
      </c>
      <c r="T7" s="2031">
        <f t="shared" si="1"/>
        <v>0</v>
      </c>
      <c r="U7" s="2042"/>
      <c r="V7" s="2031">
        <f t="shared" si="0"/>
        <v>0</v>
      </c>
      <c r="W7" s="2063" t="s">
        <v>2285</v>
      </c>
      <c r="X7" s="2064">
        <f>G2</f>
        <v>0</v>
      </c>
      <c r="Y7" s="2064" t="s">
        <v>2286</v>
      </c>
      <c r="Z7" s="2065">
        <f>G3</f>
        <v>1</v>
      </c>
      <c r="AA7" s="2032"/>
      <c r="AB7" s="2032"/>
      <c r="AC7" s="2032"/>
      <c r="AD7" s="2033"/>
      <c r="AE7" s="2033"/>
      <c r="AF7" s="2033"/>
      <c r="AG7" s="2033"/>
      <c r="AH7" s="2033"/>
      <c r="AI7" s="2033"/>
      <c r="AJ7" s="2034"/>
    </row>
    <row r="8" spans="1:36" ht="15">
      <c r="A8" s="3702"/>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5" t="s">
        <v>2290</v>
      </c>
      <c r="X8" s="3696"/>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2"/>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6"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2"/>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6"/>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2"/>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6" t="s">
        <v>2314</v>
      </c>
      <c r="X11" s="2080" t="s">
        <v>2315</v>
      </c>
      <c r="Y11" s="2081">
        <f>$G$3</f>
        <v>1</v>
      </c>
      <c r="Z11" s="2081">
        <f t="shared" ref="Z11:AJ11" si="4">$G$3</f>
        <v>1</v>
      </c>
      <c r="AA11" s="2081">
        <f t="shared" si="4"/>
        <v>1</v>
      </c>
      <c r="AB11" s="2081">
        <f t="shared" si="4"/>
        <v>1</v>
      </c>
      <c r="AC11" s="2081">
        <f t="shared" si="4"/>
        <v>1</v>
      </c>
      <c r="AD11" s="2081">
        <f t="shared" si="4"/>
        <v>1</v>
      </c>
      <c r="AE11" s="2081">
        <f t="shared" si="4"/>
        <v>1</v>
      </c>
      <c r="AF11" s="2081">
        <f t="shared" si="4"/>
        <v>1</v>
      </c>
      <c r="AG11" s="2081">
        <f t="shared" si="4"/>
        <v>1</v>
      </c>
      <c r="AH11" s="2081">
        <f t="shared" si="4"/>
        <v>1</v>
      </c>
      <c r="AI11" s="2081">
        <f t="shared" si="4"/>
        <v>1</v>
      </c>
      <c r="AJ11" s="2081">
        <f t="shared" si="4"/>
        <v>1</v>
      </c>
    </row>
    <row r="12" spans="1:36" ht="25.5" thickBot="1">
      <c r="A12" s="3701">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6"/>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3"/>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96"/>
      <c r="X13" s="2088"/>
      <c r="Y13" s="2076">
        <f>(-0.163*(Y12^2)-0.59*Y12+7617)*(10^(-4))/Y11</f>
        <v>0.76170000000000004</v>
      </c>
      <c r="Z13" s="2076">
        <f t="shared" ref="Z13:AJ13" si="6">(-0.163*(Z12^2)-0.59*Z12+7617)*(10^(-4))/Z11</f>
        <v>0.76170000000000004</v>
      </c>
      <c r="AA13" s="2076">
        <f t="shared" si="6"/>
        <v>0.76170000000000004</v>
      </c>
      <c r="AB13" s="2076">
        <f t="shared" si="6"/>
        <v>0.76170000000000004</v>
      </c>
      <c r="AC13" s="2076">
        <f t="shared" si="6"/>
        <v>0.76170000000000004</v>
      </c>
      <c r="AD13" s="2076">
        <f t="shared" si="6"/>
        <v>0.76170000000000004</v>
      </c>
      <c r="AE13" s="2076">
        <f t="shared" si="6"/>
        <v>0.76170000000000004</v>
      </c>
      <c r="AF13" s="2076">
        <f t="shared" si="6"/>
        <v>0.76170000000000004</v>
      </c>
      <c r="AG13" s="2076">
        <f t="shared" si="6"/>
        <v>0.76170000000000004</v>
      </c>
      <c r="AH13" s="2076">
        <f t="shared" si="6"/>
        <v>0.76170000000000004</v>
      </c>
      <c r="AI13" s="2076">
        <f t="shared" si="6"/>
        <v>0.76170000000000004</v>
      </c>
      <c r="AJ13" s="2076">
        <f t="shared" si="6"/>
        <v>0.76170000000000004</v>
      </c>
    </row>
    <row r="14" spans="1:36" ht="15">
      <c r="A14" s="3703"/>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4"/>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0">
        <f>IF(E2="办公",2,IF(E2="工业",2,IF(E2="住宅",3,IF(E2="商业",IF(C8="不临58条商业街",2,3)))))</f>
        <v>3</v>
      </c>
      <c r="B16" s="1558" t="s">
        <v>2336</v>
      </c>
      <c r="C16" s="1534">
        <f>ROUND(IF(F17="与级别开发程度一致",0,(G17-E17)/C17),0)</f>
        <v>0</v>
      </c>
      <c r="D16" s="3693" t="s">
        <v>2340</v>
      </c>
      <c r="E16" s="3694"/>
      <c r="F16" s="3693" t="s">
        <v>2337</v>
      </c>
      <c r="G16" s="3694"/>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1"/>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2643</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1.7434000000000001</v>
      </c>
      <c r="D19" s="2117" t="s">
        <v>2346</v>
      </c>
      <c r="E19" s="2118">
        <v>41640</v>
      </c>
      <c r="F19" s="2117" t="s">
        <v>2347</v>
      </c>
      <c r="G19" s="2119">
        <f>'数据-取费表'!B2</f>
        <v>44676</v>
      </c>
      <c r="H19" s="2120" t="s">
        <v>2481</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0.74319999999999997</v>
      </c>
      <c r="D20" s="2129" t="s">
        <v>2352</v>
      </c>
      <c r="E20" s="3071">
        <f>存贷款利率!E20/100</f>
        <v>4.3499999999999997E-2</v>
      </c>
      <c r="F20" s="2129" t="s">
        <v>2341</v>
      </c>
      <c r="G20" s="3072">
        <f>SUMIF(M26:P26,E2,M28:P28)</f>
        <v>0.05</v>
      </c>
      <c r="H20" s="2129" t="s">
        <v>2353</v>
      </c>
      <c r="I20" s="2130">
        <f>'数据-取费表'!B13</f>
        <v>26</v>
      </c>
      <c r="J20" s="2131">
        <f>IF(E2="住宅",70,IF(E2="商业",40,50))</f>
        <v>70</v>
      </c>
      <c r="K20" s="2969"/>
      <c r="L20" s="2132" t="s">
        <v>2354</v>
      </c>
      <c r="M20" s="2133">
        <f>ROUND(SUMPRODUCT((地价!A4:A41=YEAR(G19)&amp;"-"&amp;ROUNDUP(MONTH(G19)/3,0))*(地价!B2:F2=E2)*(地价!B4:F41)),0)</f>
        <v>737</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0.01</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1</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1</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0.01</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f>ROUND(IF(G3&gt;1,IF(I3&lt;7,SUMPRODUCT((B93:B98=I3)*(C92:N92=G2)*(C93:N98)),SUMIF(C92:N92,G2,C100:N100)),IF(I3&lt;7,SUMPRODUCT((B102:B107=I3)*(C92:N92=G2)*(C102:N107)),SUMIF(C92:N92,G2,C109:N109))),4)</f>
        <v>0</v>
      </c>
      <c r="D23" s="2096"/>
      <c r="E23" s="2096"/>
      <c r="F23" s="2145"/>
      <c r="G23" s="2146"/>
      <c r="H23" s="1547"/>
      <c r="I23" s="1999"/>
      <c r="J23" s="2143"/>
      <c r="K23" s="2967"/>
      <c r="L23" s="2967"/>
      <c r="M23" s="2967"/>
      <c r="N23" s="2140" t="s">
        <v>2365</v>
      </c>
      <c r="O23" s="2141"/>
      <c r="P23" s="2142">
        <f>SUMPRODUCT((地价!A3:A41=YEAR(G19)&amp;"-"&amp;ROUNDUP(MONTH(G19)/3,0))*(地价!AD2:AH2=N23)*(地价!AD3:AH41))</f>
        <v>1.7600000000000001E-2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1.1599999999999999E-2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497.23</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0"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1"/>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1"/>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2"/>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2" t="s">
        <v>2435</v>
      </c>
      <c r="B90" s="3682"/>
      <c r="C90" s="3682"/>
      <c r="D90" s="3682"/>
      <c r="E90" s="3682"/>
      <c r="F90" s="3682"/>
      <c r="G90" s="3682"/>
      <c r="H90" s="3682"/>
      <c r="I90" s="3682"/>
      <c r="J90" s="3682"/>
      <c r="K90" s="2233"/>
      <c r="L90" s="2233"/>
      <c r="M90" s="2233"/>
      <c r="N90" s="2233"/>
      <c r="Q90" s="2975"/>
      <c r="R90" s="2975"/>
      <c r="S90" s="2975"/>
      <c r="T90" s="2975"/>
      <c r="U90" s="2975"/>
      <c r="V90" s="2975"/>
      <c r="W90" s="2975"/>
    </row>
    <row r="91" spans="1:33">
      <c r="A91" s="3684" t="s">
        <v>2436</v>
      </c>
      <c r="B91" s="3684"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84"/>
      <c r="B92" s="3684"/>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85"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6"/>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6"/>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6"/>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6"/>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6"/>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6"/>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7"/>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5" t="s">
        <v>2440</v>
      </c>
      <c r="B101" s="2240" t="s">
        <v>2441</v>
      </c>
      <c r="C101" s="2241">
        <f>$G$3</f>
        <v>1</v>
      </c>
      <c r="D101" s="2241">
        <f t="shared" ref="D101:N101" si="32">$G$3</f>
        <v>1</v>
      </c>
      <c r="E101" s="2241">
        <f t="shared" si="32"/>
        <v>1</v>
      </c>
      <c r="F101" s="2241">
        <f t="shared" si="32"/>
        <v>1</v>
      </c>
      <c r="G101" s="2241">
        <f t="shared" si="32"/>
        <v>1</v>
      </c>
      <c r="H101" s="2241">
        <f t="shared" si="32"/>
        <v>1</v>
      </c>
      <c r="I101" s="2241">
        <f t="shared" si="32"/>
        <v>1</v>
      </c>
      <c r="J101" s="2241">
        <f t="shared" si="32"/>
        <v>1</v>
      </c>
      <c r="K101" s="2241">
        <f t="shared" si="32"/>
        <v>1</v>
      </c>
      <c r="L101" s="2241">
        <f t="shared" si="32"/>
        <v>1</v>
      </c>
      <c r="M101" s="2241">
        <f t="shared" si="32"/>
        <v>1</v>
      </c>
      <c r="N101" s="2241">
        <f t="shared" si="32"/>
        <v>1</v>
      </c>
      <c r="Q101" s="2975"/>
      <c r="R101" s="2975"/>
      <c r="S101" s="2975"/>
      <c r="T101" s="2975"/>
      <c r="U101" s="2975"/>
      <c r="V101" s="2975"/>
      <c r="W101" s="2975"/>
    </row>
    <row r="102" spans="1:23">
      <c r="A102" s="3686"/>
      <c r="B102" s="2236">
        <v>1</v>
      </c>
      <c r="C102" s="2237">
        <f>1.9362/C101</f>
        <v>1.9361999999999999</v>
      </c>
      <c r="D102" s="2237">
        <f>1.9362/D101</f>
        <v>1.9361999999999999</v>
      </c>
      <c r="E102" s="2237">
        <f>1.8629/E101</f>
        <v>1.8629</v>
      </c>
      <c r="F102" s="2237">
        <f>1.8629/F101</f>
        <v>1.8629</v>
      </c>
      <c r="G102" s="2237">
        <f>1.8629/G101</f>
        <v>1.8629</v>
      </c>
      <c r="H102" s="2237">
        <f>1.8629/H101</f>
        <v>1.8629</v>
      </c>
      <c r="I102" s="2237">
        <f>1.8629/I101</f>
        <v>1.8629</v>
      </c>
      <c r="J102" s="2237">
        <f>1.942/J101</f>
        <v>1.9419999999999999</v>
      </c>
      <c r="K102" s="2237">
        <f>1.942/K101</f>
        <v>1.9419999999999999</v>
      </c>
      <c r="L102" s="2237">
        <f>1.942/L101</f>
        <v>1.9419999999999999</v>
      </c>
      <c r="M102" s="2237">
        <f>1.942/M101</f>
        <v>1.9419999999999999</v>
      </c>
      <c r="N102" s="2237">
        <f>1.942/N101</f>
        <v>1.9419999999999999</v>
      </c>
      <c r="Q102" s="2975"/>
      <c r="R102" s="2975"/>
      <c r="S102" s="2975"/>
      <c r="T102" s="2975"/>
      <c r="U102" s="2975"/>
      <c r="V102" s="2975"/>
      <c r="W102" s="2975"/>
    </row>
    <row r="103" spans="1:23">
      <c r="A103" s="3686"/>
      <c r="B103" s="2236">
        <v>2</v>
      </c>
      <c r="C103" s="2237">
        <f>1.4198/C101</f>
        <v>1.4198</v>
      </c>
      <c r="D103" s="2237">
        <f>1.4198/D101</f>
        <v>1.4198</v>
      </c>
      <c r="E103" s="2237">
        <f>1.3372/E101</f>
        <v>1.3371999999999999</v>
      </c>
      <c r="F103" s="2237">
        <f>1.3372/F101</f>
        <v>1.3371999999999999</v>
      </c>
      <c r="G103" s="2237">
        <f>1.3372/G101</f>
        <v>1.3371999999999999</v>
      </c>
      <c r="H103" s="2237">
        <f>1.3372/H101</f>
        <v>1.3371999999999999</v>
      </c>
      <c r="I103" s="2237">
        <f>1.3372/I101</f>
        <v>1.3371999999999999</v>
      </c>
      <c r="J103" s="2237">
        <f>1.2799/J101</f>
        <v>1.2799</v>
      </c>
      <c r="K103" s="2237">
        <f>1.2799/K101</f>
        <v>1.2799</v>
      </c>
      <c r="L103" s="2237">
        <f>1.2799/L101</f>
        <v>1.2799</v>
      </c>
      <c r="M103" s="2237">
        <f>1.2799/M101</f>
        <v>1.2799</v>
      </c>
      <c r="N103" s="2237">
        <f>1.2799/N101</f>
        <v>1.2799</v>
      </c>
      <c r="Q103" s="2975"/>
      <c r="R103" s="2975"/>
      <c r="S103" s="2975"/>
      <c r="T103" s="2975"/>
      <c r="U103" s="2975"/>
      <c r="V103" s="2975"/>
      <c r="W103" s="2975"/>
    </row>
    <row r="104" spans="1:23">
      <c r="A104" s="3686"/>
      <c r="B104" s="2236">
        <v>3</v>
      </c>
      <c r="C104" s="2237">
        <f>1.1594/C101</f>
        <v>1.1594</v>
      </c>
      <c r="D104" s="2237">
        <f>1.1594/D101</f>
        <v>1.1594</v>
      </c>
      <c r="E104" s="2237">
        <f>1.0788/E101</f>
        <v>1.0788</v>
      </c>
      <c r="F104" s="2237">
        <f>1.0788/F101</f>
        <v>1.0788</v>
      </c>
      <c r="G104" s="2237">
        <f>1.0788/G101</f>
        <v>1.0788</v>
      </c>
      <c r="H104" s="2237">
        <f>1.0788/H101</f>
        <v>1.0788</v>
      </c>
      <c r="I104" s="2237">
        <f>1.0788/I101</f>
        <v>1.0788</v>
      </c>
      <c r="J104" s="2237">
        <f>1.0072/J101</f>
        <v>1.0072000000000001</v>
      </c>
      <c r="K104" s="2237">
        <f>1.0072/K101</f>
        <v>1.0072000000000001</v>
      </c>
      <c r="L104" s="2237">
        <f>1.0072/L101</f>
        <v>1.0072000000000001</v>
      </c>
      <c r="M104" s="2237">
        <f>1.0072/M101</f>
        <v>1.0072000000000001</v>
      </c>
      <c r="N104" s="2237">
        <f>1.0072/N101</f>
        <v>1.0072000000000001</v>
      </c>
      <c r="Q104" s="2975"/>
      <c r="R104" s="2975"/>
      <c r="S104" s="2975"/>
      <c r="T104" s="2975"/>
      <c r="U104" s="2975"/>
      <c r="V104" s="2975"/>
      <c r="W104" s="2975"/>
    </row>
    <row r="105" spans="1:23">
      <c r="A105" s="3686"/>
      <c r="B105" s="2236">
        <v>4</v>
      </c>
      <c r="C105" s="2237">
        <f>0.9622/C101</f>
        <v>0.96220000000000006</v>
      </c>
      <c r="D105" s="2237">
        <f>0.9622/D101</f>
        <v>0.96220000000000006</v>
      </c>
      <c r="E105" s="2237">
        <f>0.8656/E101</f>
        <v>0.86560000000000004</v>
      </c>
      <c r="F105" s="2237">
        <f>0.8656/F101</f>
        <v>0.86560000000000004</v>
      </c>
      <c r="G105" s="2237">
        <f>0.8656/G101</f>
        <v>0.86560000000000004</v>
      </c>
      <c r="H105" s="2237">
        <f>0.8656/H101</f>
        <v>0.86560000000000004</v>
      </c>
      <c r="I105" s="2237">
        <f>0.8656/I101</f>
        <v>0.86560000000000004</v>
      </c>
      <c r="J105" s="2237">
        <f>0.7525/J101</f>
        <v>0.75249999999999995</v>
      </c>
      <c r="K105" s="2237">
        <f>0.7525/K101</f>
        <v>0.75249999999999995</v>
      </c>
      <c r="L105" s="2237">
        <f>0.7525/L101</f>
        <v>0.75249999999999995</v>
      </c>
      <c r="M105" s="2237">
        <f>0.7525/M101</f>
        <v>0.75249999999999995</v>
      </c>
      <c r="N105" s="2237">
        <f>0.7525/N101</f>
        <v>0.75249999999999995</v>
      </c>
      <c r="Q105" s="2975"/>
      <c r="R105" s="2975"/>
      <c r="S105" s="2975"/>
      <c r="T105" s="2975"/>
      <c r="U105" s="2975"/>
      <c r="V105" s="2975"/>
      <c r="W105" s="2975"/>
    </row>
    <row r="106" spans="1:23">
      <c r="A106" s="3686"/>
      <c r="B106" s="2236">
        <v>5</v>
      </c>
      <c r="C106" s="2237">
        <f>0.8417/C101</f>
        <v>0.8417</v>
      </c>
      <c r="D106" s="2237">
        <f>0.8417/D101</f>
        <v>0.8417</v>
      </c>
      <c r="E106" s="2237">
        <f>0.7371/E101</f>
        <v>0.73709999999999998</v>
      </c>
      <c r="F106" s="2237">
        <f>0.7371/F101</f>
        <v>0.73709999999999998</v>
      </c>
      <c r="G106" s="2237">
        <f>0.7371/G101</f>
        <v>0.73709999999999998</v>
      </c>
      <c r="H106" s="2237">
        <f>0.7371/H101</f>
        <v>0.73709999999999998</v>
      </c>
      <c r="I106" s="2237">
        <f>0.7371/I101</f>
        <v>0.73709999999999998</v>
      </c>
      <c r="J106" s="2237">
        <f>0.5659/J101</f>
        <v>0.56589999999999996</v>
      </c>
      <c r="K106" s="2237">
        <f>0.5659/K101</f>
        <v>0.56589999999999996</v>
      </c>
      <c r="L106" s="2237">
        <f>0.5659/L101</f>
        <v>0.56589999999999996</v>
      </c>
      <c r="M106" s="2237">
        <f>0.5659/M101</f>
        <v>0.56589999999999996</v>
      </c>
      <c r="N106" s="2237">
        <f>0.5659/N101</f>
        <v>0.56589999999999996</v>
      </c>
      <c r="Q106" s="2975"/>
      <c r="R106" s="2975"/>
      <c r="S106" s="2975"/>
      <c r="T106" s="2975"/>
      <c r="U106" s="2975"/>
      <c r="V106" s="2975"/>
      <c r="W106" s="2975"/>
    </row>
    <row r="107" spans="1:23">
      <c r="A107" s="3686"/>
      <c r="B107" s="2236">
        <v>6</v>
      </c>
      <c r="C107" s="2237">
        <f>0.7608/C101</f>
        <v>0.76080000000000003</v>
      </c>
      <c r="D107" s="2237">
        <f>0.7608/D101</f>
        <v>0.76080000000000003</v>
      </c>
      <c r="E107" s="2237">
        <f>0.6482/E101</f>
        <v>0.6482</v>
      </c>
      <c r="F107" s="2237">
        <f>0.6482/F101</f>
        <v>0.6482</v>
      </c>
      <c r="G107" s="2237">
        <f>0.6482/G101</f>
        <v>0.6482</v>
      </c>
      <c r="H107" s="2237">
        <f>0.6482/H101</f>
        <v>0.6482</v>
      </c>
      <c r="I107" s="2237">
        <f>0.6482/I101</f>
        <v>0.6482</v>
      </c>
      <c r="J107" s="2237">
        <f>0.4525/J101</f>
        <v>0.45250000000000001</v>
      </c>
      <c r="K107" s="2237">
        <f>0.4525/K101</f>
        <v>0.45250000000000001</v>
      </c>
      <c r="L107" s="2237">
        <f>0.4525/L101</f>
        <v>0.45250000000000001</v>
      </c>
      <c r="M107" s="2237">
        <f>0.4525/M101</f>
        <v>0.45250000000000001</v>
      </c>
      <c r="N107" s="2237">
        <f>0.4525/N101</f>
        <v>0.45250000000000001</v>
      </c>
      <c r="Q107" s="2975"/>
      <c r="R107" s="2975"/>
      <c r="S107" s="2975"/>
      <c r="T107" s="2975"/>
      <c r="U107" s="2975"/>
      <c r="V107" s="2975"/>
      <c r="W107" s="2975"/>
    </row>
    <row r="108" spans="1:23">
      <c r="A108" s="3686"/>
      <c r="B108" s="3688"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7"/>
      <c r="B109" s="3689"/>
      <c r="C109" s="2239">
        <f>(-0.163*(C108^2)-0.59*C108+7617)*(10^(-4))/C101</f>
        <v>0.76170000000000004</v>
      </c>
      <c r="D109" s="2239">
        <f>(-0.163*(D108^2)-0.59*D108+7617)*(10^(-4))/D101</f>
        <v>0.76170000000000004</v>
      </c>
      <c r="E109" s="2239">
        <f>(-0.161*(E108^2)-7.509*E108+6533)*(10^(-4))/E101</f>
        <v>0.65329999999999999</v>
      </c>
      <c r="F109" s="2239">
        <f>(-0.161*(F108^2)-7.509*F108+6533)*(10^(-4))/F101</f>
        <v>0.65329999999999999</v>
      </c>
      <c r="G109" s="2239">
        <f>(-0.161*(G108^2)-7.509*G108+6533)*(10^(-4))/G101</f>
        <v>0.65329999999999999</v>
      </c>
      <c r="H109" s="2239">
        <f>(-0.161*(H108^2)-7.509*H108+6533)*(10^(-4))/H101</f>
        <v>0.65329999999999999</v>
      </c>
      <c r="I109" s="2239">
        <f>(-0.161*(I108^2)-7.509*I108+6533)*(10^(-4))/I101</f>
        <v>0.65329999999999999</v>
      </c>
      <c r="J109" s="2239">
        <f>(-0.214*(J108^2)-21.991*J108+4665)*(10^(-4))/J101</f>
        <v>0.46650000000000003</v>
      </c>
      <c r="K109" s="2239">
        <f>(-0.214*(K108^2)-21.991*K108+4665)*(10^(-4))/K101</f>
        <v>0.46650000000000003</v>
      </c>
      <c r="L109" s="2239">
        <f>(-0.214*(L108^2)-21.991*L108+4665)*(10^(-4))/L101</f>
        <v>0.46650000000000003</v>
      </c>
      <c r="M109" s="2239">
        <f>(-0.214*(M108^2)-21.991*M108+4665)*(10^(-4))/M101</f>
        <v>0.46650000000000003</v>
      </c>
      <c r="N109" s="2239">
        <f>(-0.214*(N108^2)-21.991*N108+4665)*(10^(-4))/N101</f>
        <v>0.46650000000000003</v>
      </c>
      <c r="Q109" s="2975"/>
      <c r="R109" s="2975"/>
      <c r="S109" s="2975"/>
      <c r="T109" s="2975"/>
      <c r="U109" s="2975"/>
      <c r="V109" s="2975"/>
      <c r="W109" s="2975"/>
    </row>
    <row r="110" spans="1:23">
      <c r="A110" s="3683" t="s">
        <v>2443</v>
      </c>
      <c r="B110" s="3683"/>
      <c r="C110" s="3683"/>
      <c r="D110" s="3683"/>
      <c r="E110" s="3683"/>
      <c r="F110" s="3683"/>
      <c r="G110" s="3683"/>
      <c r="H110" s="3683"/>
      <c r="I110" s="3683"/>
      <c r="J110" s="3683"/>
      <c r="K110" s="2007"/>
      <c r="L110" s="2007"/>
      <c r="M110" s="2007"/>
      <c r="N110" s="2007"/>
      <c r="Q110" s="2975"/>
      <c r="R110" s="2975"/>
      <c r="S110" s="2975"/>
      <c r="T110" s="2975"/>
      <c r="U110" s="2975"/>
      <c r="V110" s="2975"/>
      <c r="W110" s="2975"/>
    </row>
    <row r="112" spans="1:23" ht="13.5" thickBot="1"/>
    <row r="113" spans="1:13" ht="25.5" thickBot="1">
      <c r="A113" s="2242" t="s">
        <v>2444</v>
      </c>
      <c r="B113" s="2243">
        <f>G3</f>
        <v>1</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0.92410000000000003</v>
      </c>
      <c r="C115" s="2255">
        <f>B115</f>
        <v>0.92410000000000003</v>
      </c>
      <c r="D115" s="2255">
        <f>ROUND(0.8331-0.0109*B113,4)</f>
        <v>0.82220000000000004</v>
      </c>
      <c r="E115" s="2255">
        <f>D115</f>
        <v>0.82220000000000004</v>
      </c>
      <c r="F115" s="2255">
        <f>E115</f>
        <v>0.82220000000000004</v>
      </c>
      <c r="G115" s="2255">
        <f>F115</f>
        <v>0.82220000000000004</v>
      </c>
      <c r="H115" s="2255">
        <f>G115</f>
        <v>0.82220000000000004</v>
      </c>
      <c r="I115" s="2255">
        <f>ROUND(0.689-0.0155*B113,4)</f>
        <v>0.67349999999999999</v>
      </c>
      <c r="J115" s="2255">
        <f t="shared" ref="J115:M118" si="34">I115</f>
        <v>0.67349999999999999</v>
      </c>
      <c r="K115" s="2255">
        <f t="shared" si="34"/>
        <v>0.67349999999999999</v>
      </c>
      <c r="L115" s="2255">
        <f t="shared" si="34"/>
        <v>0.67349999999999999</v>
      </c>
      <c r="M115" s="2256">
        <f t="shared" si="34"/>
        <v>0.67349999999999999</v>
      </c>
    </row>
    <row r="116" spans="1:13">
      <c r="A116" s="2254" t="s">
        <v>2333</v>
      </c>
      <c r="B116" s="2255">
        <f>ROUND(0.949-0.012*B113,4)</f>
        <v>0.93700000000000006</v>
      </c>
      <c r="C116" s="2255">
        <f>B116</f>
        <v>0.93700000000000006</v>
      </c>
      <c r="D116" s="2255">
        <f>ROUND(0.8567-0.013*B113,4)</f>
        <v>0.84370000000000001</v>
      </c>
      <c r="E116" s="2255">
        <f t="shared" ref="E116:H117" si="35">D116</f>
        <v>0.84370000000000001</v>
      </c>
      <c r="F116" s="2255">
        <f t="shared" si="35"/>
        <v>0.84370000000000001</v>
      </c>
      <c r="G116" s="2255">
        <f t="shared" si="35"/>
        <v>0.84370000000000001</v>
      </c>
      <c r="H116" s="2255">
        <f t="shared" si="35"/>
        <v>0.84370000000000001</v>
      </c>
      <c r="I116" s="2255">
        <f>ROUND(0.7694-0.014*B113,4)</f>
        <v>0.75539999999999996</v>
      </c>
      <c r="J116" s="2255">
        <f t="shared" si="34"/>
        <v>0.75539999999999996</v>
      </c>
      <c r="K116" s="2255">
        <f t="shared" si="34"/>
        <v>0.75539999999999996</v>
      </c>
      <c r="L116" s="2255">
        <f t="shared" si="34"/>
        <v>0.75539999999999996</v>
      </c>
      <c r="M116" s="2256">
        <f t="shared" si="34"/>
        <v>0.75539999999999996</v>
      </c>
    </row>
    <row r="117" spans="1:13">
      <c r="A117" s="2254" t="s">
        <v>2334</v>
      </c>
      <c r="B117" s="2255">
        <f>ROUND(0.8808-0.006*B113,4)</f>
        <v>0.87480000000000002</v>
      </c>
      <c r="C117" s="2255">
        <f>B117</f>
        <v>0.87480000000000002</v>
      </c>
      <c r="D117" s="2255">
        <f>ROUND(0.8748-0.008*B113,4)</f>
        <v>0.86680000000000001</v>
      </c>
      <c r="E117" s="2255">
        <f t="shared" si="35"/>
        <v>0.86680000000000001</v>
      </c>
      <c r="F117" s="2255">
        <f t="shared" si="35"/>
        <v>0.86680000000000001</v>
      </c>
      <c r="G117" s="2255">
        <f t="shared" si="35"/>
        <v>0.86680000000000001</v>
      </c>
      <c r="H117" s="2255">
        <f t="shared" si="35"/>
        <v>0.86680000000000001</v>
      </c>
      <c r="I117" s="2255">
        <f>ROUND(0.7412-0.0095*B113,4)</f>
        <v>0.73170000000000002</v>
      </c>
      <c r="J117" s="2255">
        <f t="shared" si="34"/>
        <v>0.73170000000000002</v>
      </c>
      <c r="K117" s="2255">
        <f t="shared" si="34"/>
        <v>0.73170000000000002</v>
      </c>
      <c r="L117" s="2255">
        <f t="shared" si="34"/>
        <v>0.73170000000000002</v>
      </c>
      <c r="M117" s="2256">
        <f t="shared" si="34"/>
        <v>0.73170000000000002</v>
      </c>
    </row>
    <row r="118" spans="1:13" ht="13.5" thickBot="1">
      <c r="A118" s="2257" t="s">
        <v>2335</v>
      </c>
      <c r="B118" s="2258">
        <f>ROUND(0.7275-0.01*B113,4)</f>
        <v>0.71750000000000003</v>
      </c>
      <c r="C118" s="2258">
        <f>B118</f>
        <v>0.71750000000000003</v>
      </c>
      <c r="D118" s="2258">
        <f>ROUND(0.7043-0.012*B113,4)</f>
        <v>0.69230000000000003</v>
      </c>
      <c r="E118" s="2258">
        <f>D118</f>
        <v>0.69230000000000003</v>
      </c>
      <c r="F118" s="2258">
        <f>E118</f>
        <v>0.69230000000000003</v>
      </c>
      <c r="G118" s="2258">
        <f>ROUND(0.6299-0.0122*B113,4)</f>
        <v>0.61770000000000003</v>
      </c>
      <c r="H118" s="2258">
        <f>G118</f>
        <v>0.61770000000000003</v>
      </c>
      <c r="I118" s="2258">
        <f>ROUND(0.5667-0.0136*B113,4)</f>
        <v>0.55310000000000004</v>
      </c>
      <c r="J118" s="2258">
        <f t="shared" si="34"/>
        <v>0.55310000000000004</v>
      </c>
      <c r="K118" s="2258">
        <f t="shared" si="34"/>
        <v>0.55310000000000004</v>
      </c>
      <c r="L118" s="2258">
        <f t="shared" si="34"/>
        <v>0.55310000000000004</v>
      </c>
      <c r="M118" s="2259">
        <f t="shared" si="34"/>
        <v>0.55310000000000004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2800</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2801</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2802</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2803</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2804</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2805</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2476</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2806</v>
      </c>
      <c r="B19" s="3288" t="s">
        <v>2807</v>
      </c>
      <c r="C19" s="3315" t="s">
        <v>561</v>
      </c>
      <c r="D19" s="3287"/>
      <c r="E19" s="3283" t="s">
        <v>3024</v>
      </c>
      <c r="F19" s="3316"/>
      <c r="G19" s="3316"/>
    </row>
    <row r="20" spans="1:13" ht="19.5" customHeight="1">
      <c r="A20" s="3713" t="s">
        <v>2800</v>
      </c>
      <c r="B20" s="3716" t="s">
        <v>2808</v>
      </c>
      <c r="C20" s="3289" t="s">
        <v>2809</v>
      </c>
      <c r="D20" s="3290"/>
      <c r="E20" s="3291">
        <v>1</v>
      </c>
      <c r="F20" s="3292" t="s">
        <v>2810</v>
      </c>
      <c r="G20" s="3292"/>
    </row>
    <row r="21" spans="1:13" ht="19.5" customHeight="1">
      <c r="A21" s="3714"/>
      <c r="B21" s="3712"/>
      <c r="C21" s="740" t="s">
        <v>2811</v>
      </c>
      <c r="D21" s="741"/>
      <c r="E21" s="3293">
        <v>1</v>
      </c>
      <c r="F21" s="3292" t="s">
        <v>2812</v>
      </c>
      <c r="G21" s="3292"/>
    </row>
    <row r="22" spans="1:13" ht="19.5" customHeight="1">
      <c r="A22" s="3714"/>
      <c r="B22" s="3712"/>
      <c r="C22" s="740" t="s">
        <v>2813</v>
      </c>
      <c r="D22" s="741"/>
      <c r="E22" s="3293">
        <v>0.9</v>
      </c>
      <c r="F22" s="3292" t="s">
        <v>2814</v>
      </c>
      <c r="G22" s="3292"/>
    </row>
    <row r="23" spans="1:13" ht="19.5" customHeight="1">
      <c r="A23" s="3714"/>
      <c r="B23" s="3712"/>
      <c r="C23" s="740" t="s">
        <v>2815</v>
      </c>
      <c r="D23" s="741"/>
      <c r="E23" s="3293">
        <v>0.9</v>
      </c>
      <c r="F23" s="3292" t="s">
        <v>2816</v>
      </c>
      <c r="G23" s="3292"/>
    </row>
    <row r="24" spans="1:13" ht="19.5" customHeight="1">
      <c r="A24" s="3714"/>
      <c r="B24" s="3712"/>
      <c r="C24" s="740" t="s">
        <v>2817</v>
      </c>
      <c r="D24" s="741"/>
      <c r="E24" s="3293">
        <v>0.8</v>
      </c>
      <c r="F24" s="3292" t="s">
        <v>2818</v>
      </c>
      <c r="G24" s="3292"/>
    </row>
    <row r="25" spans="1:13" ht="19.5" customHeight="1" thickBot="1">
      <c r="A25" s="3715"/>
      <c r="B25" s="3717"/>
      <c r="C25" s="3294" t="s">
        <v>2819</v>
      </c>
      <c r="D25" s="3295"/>
      <c r="E25" s="3296">
        <v>0.8</v>
      </c>
      <c r="F25" s="3292" t="s">
        <v>2820</v>
      </c>
      <c r="G25" s="3292"/>
    </row>
    <row r="26" spans="1:13" ht="19.5" customHeight="1" thickBot="1">
      <c r="A26" s="3297" t="s">
        <v>2801</v>
      </c>
      <c r="B26" s="3298" t="s">
        <v>2808</v>
      </c>
      <c r="C26" s="3299" t="s">
        <v>2821</v>
      </c>
      <c r="D26" s="3300"/>
      <c r="E26" s="3301">
        <v>1</v>
      </c>
      <c r="F26" s="3292" t="s">
        <v>2862</v>
      </c>
      <c r="G26" s="3292"/>
    </row>
    <row r="27" spans="1:13" ht="19.5" customHeight="1">
      <c r="A27" s="3718" t="s">
        <v>2805</v>
      </c>
      <c r="B27" s="3716" t="s">
        <v>2805</v>
      </c>
      <c r="C27" s="3289" t="s">
        <v>2822</v>
      </c>
      <c r="D27" s="3290"/>
      <c r="E27" s="3291">
        <v>1</v>
      </c>
      <c r="F27" s="3292" t="s">
        <v>2863</v>
      </c>
      <c r="G27" s="3292"/>
    </row>
    <row r="28" spans="1:13" ht="19.5" customHeight="1">
      <c r="A28" s="3719"/>
      <c r="B28" s="3712"/>
      <c r="C28" s="740" t="s">
        <v>2823</v>
      </c>
      <c r="D28" s="741"/>
      <c r="E28" s="3293">
        <v>1</v>
      </c>
      <c r="F28" s="3292" t="s">
        <v>2864</v>
      </c>
      <c r="G28" s="3292"/>
    </row>
    <row r="29" spans="1:13" ht="19.5" customHeight="1">
      <c r="A29" s="3719"/>
      <c r="B29" s="3712"/>
      <c r="C29" s="740" t="s">
        <v>2824</v>
      </c>
      <c r="D29" s="741"/>
      <c r="E29" s="3293">
        <v>0.8</v>
      </c>
      <c r="F29" s="3292" t="s">
        <v>2865</v>
      </c>
      <c r="G29" s="3292"/>
    </row>
    <row r="30" spans="1:13" ht="19.5" customHeight="1">
      <c r="A30" s="3719"/>
      <c r="B30" s="3712"/>
      <c r="C30" s="740" t="s">
        <v>2825</v>
      </c>
      <c r="D30" s="741"/>
      <c r="E30" s="3293">
        <v>0.8</v>
      </c>
      <c r="F30" s="3292" t="s">
        <v>2866</v>
      </c>
      <c r="G30" s="3292"/>
    </row>
    <row r="31" spans="1:13" ht="19.5" customHeight="1">
      <c r="A31" s="3719"/>
      <c r="B31" s="3712"/>
      <c r="C31" s="740" t="s">
        <v>2826</v>
      </c>
      <c r="D31" s="741"/>
      <c r="E31" s="3293">
        <v>0.8</v>
      </c>
      <c r="F31" s="3292" t="s">
        <v>2867</v>
      </c>
      <c r="G31" s="3292"/>
    </row>
    <row r="32" spans="1:13" ht="19.5" customHeight="1">
      <c r="A32" s="3719"/>
      <c r="B32" s="3712"/>
      <c r="C32" s="740" t="s">
        <v>2827</v>
      </c>
      <c r="D32" s="741"/>
      <c r="E32" s="3293">
        <v>0.7</v>
      </c>
      <c r="F32" s="3292" t="s">
        <v>2868</v>
      </c>
      <c r="G32" s="3292"/>
    </row>
    <row r="33" spans="1:7" ht="19.5" customHeight="1">
      <c r="A33" s="3719"/>
      <c r="B33" s="3712"/>
      <c r="C33" s="740" t="s">
        <v>2828</v>
      </c>
      <c r="D33" s="741"/>
      <c r="E33" s="3293">
        <v>0.8</v>
      </c>
      <c r="F33" s="3292" t="s">
        <v>2869</v>
      </c>
      <c r="G33" s="3292"/>
    </row>
    <row r="34" spans="1:7" ht="19.5" customHeight="1">
      <c r="A34" s="3719"/>
      <c r="B34" s="3712"/>
      <c r="C34" s="740" t="s">
        <v>2829</v>
      </c>
      <c r="D34" s="741"/>
      <c r="E34" s="3293">
        <v>0.6</v>
      </c>
      <c r="F34" s="3292" t="s">
        <v>2870</v>
      </c>
      <c r="G34" s="3292"/>
    </row>
    <row r="35" spans="1:7" ht="19.5" customHeight="1">
      <c r="A35" s="3719"/>
      <c r="B35" s="3712"/>
      <c r="C35" s="740" t="s">
        <v>2830</v>
      </c>
      <c r="D35" s="741"/>
      <c r="E35" s="3293">
        <v>0.2</v>
      </c>
      <c r="F35" s="3292" t="s">
        <v>2871</v>
      </c>
      <c r="G35" s="3292"/>
    </row>
    <row r="36" spans="1:7" ht="19.5" customHeight="1">
      <c r="A36" s="3719"/>
      <c r="B36" s="3712"/>
      <c r="C36" s="740" t="s">
        <v>2831</v>
      </c>
      <c r="D36" s="741"/>
      <c r="E36" s="3293">
        <v>0.2</v>
      </c>
      <c r="F36" s="3292" t="s">
        <v>2872</v>
      </c>
      <c r="G36" s="3292"/>
    </row>
    <row r="37" spans="1:7" ht="19.5" customHeight="1">
      <c r="A37" s="3719"/>
      <c r="B37" s="3710" t="s">
        <v>2832</v>
      </c>
      <c r="C37" s="740" t="s">
        <v>2833</v>
      </c>
      <c r="D37" s="741"/>
      <c r="E37" s="3293">
        <v>0.6</v>
      </c>
      <c r="F37" s="3292" t="s">
        <v>2873</v>
      </c>
      <c r="G37" s="3292"/>
    </row>
    <row r="38" spans="1:7" ht="19.5" customHeight="1">
      <c r="A38" s="3719"/>
      <c r="B38" s="3712"/>
      <c r="C38" s="740" t="s">
        <v>2834</v>
      </c>
      <c r="D38" s="741"/>
      <c r="E38" s="3293">
        <v>0.6</v>
      </c>
      <c r="F38" s="3292" t="s">
        <v>2874</v>
      </c>
      <c r="G38" s="3292"/>
    </row>
    <row r="39" spans="1:7" ht="19.5" customHeight="1" thickBot="1">
      <c r="A39" s="3720"/>
      <c r="B39" s="3717"/>
      <c r="C39" s="3294" t="s">
        <v>2835</v>
      </c>
      <c r="D39" s="3295"/>
      <c r="E39" s="3296">
        <v>0.6</v>
      </c>
      <c r="F39" s="3292" t="s">
        <v>2875</v>
      </c>
      <c r="G39" s="3292"/>
    </row>
    <row r="40" spans="1:7" ht="19.5" customHeight="1" thickBot="1">
      <c r="A40" s="3297" t="s">
        <v>2836</v>
      </c>
      <c r="B40" s="3298" t="s">
        <v>2836</v>
      </c>
      <c r="C40" s="3299" t="s">
        <v>2837</v>
      </c>
      <c r="D40" s="3300"/>
      <c r="E40" s="3301">
        <v>1</v>
      </c>
      <c r="F40" s="3292" t="s">
        <v>2876</v>
      </c>
      <c r="G40" s="3292"/>
    </row>
    <row r="41" spans="1:7" ht="19.5" customHeight="1">
      <c r="A41" s="3713" t="s">
        <v>2838</v>
      </c>
      <c r="B41" s="3716" t="s">
        <v>2839</v>
      </c>
      <c r="C41" s="3289" t="s">
        <v>2840</v>
      </c>
      <c r="D41" s="3290"/>
      <c r="E41" s="3291">
        <v>1</v>
      </c>
      <c r="F41" s="3292" t="s">
        <v>2841</v>
      </c>
      <c r="G41" s="3292"/>
    </row>
    <row r="42" spans="1:7" ht="19.5" customHeight="1">
      <c r="A42" s="3714"/>
      <c r="B42" s="3712"/>
      <c r="C42" s="740" t="s">
        <v>2842</v>
      </c>
      <c r="D42" s="741"/>
      <c r="E42" s="3293">
        <v>1</v>
      </c>
      <c r="F42" s="3292" t="s">
        <v>2843</v>
      </c>
      <c r="G42" s="3292"/>
    </row>
    <row r="43" spans="1:7" ht="19.5" customHeight="1">
      <c r="A43" s="3714"/>
      <c r="B43" s="3711"/>
      <c r="C43" s="740" t="s">
        <v>2844</v>
      </c>
      <c r="D43" s="741"/>
      <c r="E43" s="3293">
        <v>1.5</v>
      </c>
      <c r="F43" s="3292" t="s">
        <v>2845</v>
      </c>
      <c r="G43" s="3292"/>
    </row>
    <row r="44" spans="1:7" ht="19.5" customHeight="1">
      <c r="A44" s="3714"/>
      <c r="B44" s="3302" t="s">
        <v>2805</v>
      </c>
      <c r="C44" s="740" t="s">
        <v>2804</v>
      </c>
      <c r="D44" s="741"/>
      <c r="E44" s="3293">
        <v>2</v>
      </c>
      <c r="F44" s="3292" t="s">
        <v>2846</v>
      </c>
      <c r="G44" s="3292"/>
    </row>
    <row r="45" spans="1:7" ht="19.5" customHeight="1">
      <c r="A45" s="3714"/>
      <c r="B45" s="3710" t="s">
        <v>2847</v>
      </c>
      <c r="C45" s="740" t="s">
        <v>2848</v>
      </c>
      <c r="D45" s="741"/>
      <c r="E45" s="3293">
        <v>1</v>
      </c>
      <c r="F45" s="3292" t="s">
        <v>2849</v>
      </c>
      <c r="G45" s="3292"/>
    </row>
    <row r="46" spans="1:7" ht="19.5" customHeight="1">
      <c r="A46" s="3714"/>
      <c r="B46" s="3712"/>
      <c r="C46" s="740" t="s">
        <v>2850</v>
      </c>
      <c r="D46" s="741"/>
      <c r="E46" s="3293">
        <v>1</v>
      </c>
      <c r="F46" s="3292" t="s">
        <v>2851</v>
      </c>
      <c r="G46" s="3292"/>
    </row>
    <row r="47" spans="1:7" ht="19.5" customHeight="1">
      <c r="A47" s="3714"/>
      <c r="B47" s="3712"/>
      <c r="C47" s="740" t="s">
        <v>2852</v>
      </c>
      <c r="D47" s="741"/>
      <c r="E47" s="3293">
        <v>1</v>
      </c>
      <c r="F47" s="3292" t="s">
        <v>2853</v>
      </c>
      <c r="G47" s="3292"/>
    </row>
    <row r="48" spans="1:7" ht="19.5" customHeight="1">
      <c r="A48" s="3714"/>
      <c r="B48" s="3712"/>
      <c r="C48" s="740" t="s">
        <v>2854</v>
      </c>
      <c r="D48" s="741"/>
      <c r="E48" s="3293">
        <v>1</v>
      </c>
      <c r="F48" s="3292" t="s">
        <v>2855</v>
      </c>
      <c r="G48" s="3292"/>
    </row>
    <row r="49" spans="1:7" ht="19.5" customHeight="1">
      <c r="A49" s="3714"/>
      <c r="B49" s="3712"/>
      <c r="C49" s="740" t="s">
        <v>2856</v>
      </c>
      <c r="D49" s="741"/>
      <c r="E49" s="3293">
        <v>1</v>
      </c>
      <c r="F49" s="3292" t="s">
        <v>2857</v>
      </c>
      <c r="G49" s="3292"/>
    </row>
    <row r="50" spans="1:7" ht="19.5" customHeight="1">
      <c r="A50" s="3714"/>
      <c r="B50" s="3712"/>
      <c r="C50" s="740" t="s">
        <v>2858</v>
      </c>
      <c r="D50" s="741"/>
      <c r="E50" s="3293">
        <v>1</v>
      </c>
      <c r="F50" s="3292" t="s">
        <v>2859</v>
      </c>
      <c r="G50" s="3292"/>
    </row>
    <row r="51" spans="1:7" ht="19.5" customHeight="1" thickBot="1">
      <c r="A51" s="3715"/>
      <c r="B51" s="3717"/>
      <c r="C51" s="3294" t="s">
        <v>2860</v>
      </c>
      <c r="D51" s="3295"/>
      <c r="E51" s="3296">
        <v>1</v>
      </c>
      <c r="F51" s="3292" t="s">
        <v>2861</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2877</v>
      </c>
      <c r="D72" s="3302"/>
      <c r="E72" s="3308" t="s">
        <v>1</v>
      </c>
      <c r="F72" s="3302" t="s">
        <v>1</v>
      </c>
    </row>
    <row r="73" spans="1:7" ht="13.5">
      <c r="A73" s="3302">
        <v>1</v>
      </c>
      <c r="B73" s="3710" t="s">
        <v>2878</v>
      </c>
      <c r="C73" s="3283" t="s">
        <v>2879</v>
      </c>
      <c r="D73" s="3283" t="s">
        <v>2880</v>
      </c>
      <c r="E73" s="3308">
        <v>0.2</v>
      </c>
      <c r="F73" s="3302">
        <v>25</v>
      </c>
    </row>
    <row r="74" spans="1:7" ht="24">
      <c r="A74" s="3302">
        <v>2</v>
      </c>
      <c r="B74" s="3712"/>
      <c r="C74" s="3283" t="s">
        <v>2881</v>
      </c>
      <c r="D74" s="3283" t="s">
        <v>2882</v>
      </c>
      <c r="E74" s="3308">
        <v>0.2</v>
      </c>
      <c r="F74" s="3302">
        <v>25</v>
      </c>
    </row>
    <row r="75" spans="1:7" ht="24">
      <c r="A75" s="3302">
        <v>3</v>
      </c>
      <c r="B75" s="3712"/>
      <c r="C75" s="3283" t="s">
        <v>2883</v>
      </c>
      <c r="D75" s="3283" t="s">
        <v>2884</v>
      </c>
      <c r="E75" s="3308">
        <v>0.2</v>
      </c>
      <c r="F75" s="3302">
        <v>25</v>
      </c>
    </row>
    <row r="76" spans="1:7" ht="13.5">
      <c r="A76" s="3302">
        <v>4</v>
      </c>
      <c r="B76" s="3712"/>
      <c r="C76" s="3283" t="s">
        <v>2885</v>
      </c>
      <c r="D76" s="3283" t="s">
        <v>2886</v>
      </c>
      <c r="E76" s="3308">
        <v>0.15</v>
      </c>
      <c r="F76" s="3302">
        <v>20</v>
      </c>
    </row>
    <row r="77" spans="1:7" ht="24">
      <c r="A77" s="3302">
        <v>5</v>
      </c>
      <c r="B77" s="3712"/>
      <c r="C77" s="3283" t="s">
        <v>2887</v>
      </c>
      <c r="D77" s="3283" t="s">
        <v>2888</v>
      </c>
      <c r="E77" s="3308">
        <v>0.15</v>
      </c>
      <c r="F77" s="3302">
        <v>20</v>
      </c>
    </row>
    <row r="78" spans="1:7" ht="24">
      <c r="A78" s="3302">
        <v>6</v>
      </c>
      <c r="B78" s="3712"/>
      <c r="C78" s="3283" t="s">
        <v>2889</v>
      </c>
      <c r="D78" s="3283" t="s">
        <v>2890</v>
      </c>
      <c r="E78" s="3308">
        <v>0.15</v>
      </c>
      <c r="F78" s="3302">
        <v>20</v>
      </c>
    </row>
    <row r="79" spans="1:7" ht="24">
      <c r="A79" s="3302">
        <v>7</v>
      </c>
      <c r="B79" s="3712"/>
      <c r="C79" s="3283" t="s">
        <v>2891</v>
      </c>
      <c r="D79" s="3283" t="s">
        <v>2892</v>
      </c>
      <c r="E79" s="3308">
        <v>0.15</v>
      </c>
      <c r="F79" s="3302">
        <v>20</v>
      </c>
    </row>
    <row r="80" spans="1:7" ht="24">
      <c r="A80" s="3302">
        <v>8</v>
      </c>
      <c r="B80" s="3712"/>
      <c r="C80" s="3283" t="s">
        <v>2893</v>
      </c>
      <c r="D80" s="3283" t="s">
        <v>2894</v>
      </c>
      <c r="E80" s="3308">
        <v>0.1</v>
      </c>
      <c r="F80" s="3302">
        <v>15</v>
      </c>
    </row>
    <row r="81" spans="1:6" ht="24">
      <c r="A81" s="3302">
        <v>9</v>
      </c>
      <c r="B81" s="3712"/>
      <c r="C81" s="3283" t="s">
        <v>2895</v>
      </c>
      <c r="D81" s="3283" t="s">
        <v>2896</v>
      </c>
      <c r="E81" s="3308">
        <v>0.1</v>
      </c>
      <c r="F81" s="3302">
        <v>15</v>
      </c>
    </row>
    <row r="82" spans="1:6" ht="24">
      <c r="A82" s="3302">
        <v>10</v>
      </c>
      <c r="B82" s="3712"/>
      <c r="C82" s="3283" t="s">
        <v>2897</v>
      </c>
      <c r="D82" s="3283" t="s">
        <v>2898</v>
      </c>
      <c r="E82" s="3308">
        <v>0.1</v>
      </c>
      <c r="F82" s="3302">
        <v>15</v>
      </c>
    </row>
    <row r="83" spans="1:6" ht="24">
      <c r="A83" s="3302">
        <v>11</v>
      </c>
      <c r="B83" s="3712"/>
      <c r="C83" s="3283" t="s">
        <v>2899</v>
      </c>
      <c r="D83" s="3283" t="s">
        <v>2900</v>
      </c>
      <c r="E83" s="3308">
        <v>0.1</v>
      </c>
      <c r="F83" s="3302">
        <v>15</v>
      </c>
    </row>
    <row r="84" spans="1:6" ht="24">
      <c r="A84" s="3302">
        <v>12</v>
      </c>
      <c r="B84" s="3712"/>
      <c r="C84" s="3283" t="s">
        <v>2901</v>
      </c>
      <c r="D84" s="3283" t="s">
        <v>2902</v>
      </c>
      <c r="E84" s="3308">
        <v>0.1</v>
      </c>
      <c r="F84" s="3302">
        <v>15</v>
      </c>
    </row>
    <row r="85" spans="1:6" ht="13.5">
      <c r="A85" s="3302">
        <v>13</v>
      </c>
      <c r="B85" s="3712"/>
      <c r="C85" s="3283" t="s">
        <v>2903</v>
      </c>
      <c r="D85" s="3283" t="s">
        <v>2904</v>
      </c>
      <c r="E85" s="3308">
        <v>0.1</v>
      </c>
      <c r="F85" s="3302">
        <v>15</v>
      </c>
    </row>
    <row r="86" spans="1:6" ht="13.5">
      <c r="A86" s="3302">
        <v>14</v>
      </c>
      <c r="B86" s="3712"/>
      <c r="C86" s="3283" t="s">
        <v>2905</v>
      </c>
      <c r="D86" s="3283" t="s">
        <v>2906</v>
      </c>
      <c r="E86" s="3308">
        <v>0.1</v>
      </c>
      <c r="F86" s="3302">
        <v>15</v>
      </c>
    </row>
    <row r="87" spans="1:6" ht="13.5">
      <c r="A87" s="3302">
        <v>15</v>
      </c>
      <c r="B87" s="3712"/>
      <c r="C87" s="3283" t="s">
        <v>2907</v>
      </c>
      <c r="D87" s="3283" t="s">
        <v>2908</v>
      </c>
      <c r="E87" s="3308">
        <v>0.1</v>
      </c>
      <c r="F87" s="3302">
        <v>15</v>
      </c>
    </row>
    <row r="88" spans="1:6" ht="24">
      <c r="A88" s="3302">
        <v>16</v>
      </c>
      <c r="B88" s="3712"/>
      <c r="C88" s="3283" t="s">
        <v>2909</v>
      </c>
      <c r="D88" s="3283" t="s">
        <v>2910</v>
      </c>
      <c r="E88" s="3308">
        <v>0.1</v>
      </c>
      <c r="F88" s="3302">
        <v>15</v>
      </c>
    </row>
    <row r="89" spans="1:6" ht="24">
      <c r="A89" s="3302">
        <v>17</v>
      </c>
      <c r="B89" s="3711"/>
      <c r="C89" s="3283" t="s">
        <v>2911</v>
      </c>
      <c r="D89" s="3283" t="s">
        <v>2912</v>
      </c>
      <c r="E89" s="3308">
        <v>0.1</v>
      </c>
      <c r="F89" s="3302">
        <v>15</v>
      </c>
    </row>
    <row r="90" spans="1:6" ht="13.5">
      <c r="A90" s="3302">
        <v>18</v>
      </c>
      <c r="B90" s="3710" t="s">
        <v>2913</v>
      </c>
      <c r="C90" s="3283" t="s">
        <v>2914</v>
      </c>
      <c r="D90" s="3283" t="s">
        <v>2915</v>
      </c>
      <c r="E90" s="3308">
        <v>0.2</v>
      </c>
      <c r="F90" s="3302">
        <v>25</v>
      </c>
    </row>
    <row r="91" spans="1:6" ht="24">
      <c r="A91" s="3302">
        <v>19</v>
      </c>
      <c r="B91" s="3712"/>
      <c r="C91" s="3283" t="s">
        <v>2916</v>
      </c>
      <c r="D91" s="3283" t="s">
        <v>2917</v>
      </c>
      <c r="E91" s="3308">
        <v>0.2</v>
      </c>
      <c r="F91" s="3302">
        <v>25</v>
      </c>
    </row>
    <row r="92" spans="1:6" ht="13.5">
      <c r="A92" s="3302">
        <v>20</v>
      </c>
      <c r="B92" s="3712"/>
      <c r="C92" s="3283" t="s">
        <v>2918</v>
      </c>
      <c r="D92" s="3283" t="s">
        <v>2919</v>
      </c>
      <c r="E92" s="3308">
        <v>0.15</v>
      </c>
      <c r="F92" s="3302">
        <v>20</v>
      </c>
    </row>
    <row r="93" spans="1:6" ht="24">
      <c r="A93" s="3302">
        <v>21</v>
      </c>
      <c r="B93" s="3712"/>
      <c r="C93" s="3283" t="s">
        <v>2920</v>
      </c>
      <c r="D93" s="3283" t="s">
        <v>2921</v>
      </c>
      <c r="E93" s="3308">
        <v>0.15</v>
      </c>
      <c r="F93" s="3302">
        <v>20</v>
      </c>
    </row>
    <row r="94" spans="1:6" ht="24">
      <c r="A94" s="3302">
        <v>22</v>
      </c>
      <c r="B94" s="3712"/>
      <c r="C94" s="3283" t="s">
        <v>2922</v>
      </c>
      <c r="D94" s="3283" t="s">
        <v>2923</v>
      </c>
      <c r="E94" s="3308">
        <v>0.15</v>
      </c>
      <c r="F94" s="3302">
        <v>20</v>
      </c>
    </row>
    <row r="95" spans="1:6" ht="36">
      <c r="A95" s="3302">
        <v>23</v>
      </c>
      <c r="B95" s="3712"/>
      <c r="C95" s="3283" t="s">
        <v>2924</v>
      </c>
      <c r="D95" s="3283" t="s">
        <v>2925</v>
      </c>
      <c r="E95" s="3308">
        <v>0.15</v>
      </c>
      <c r="F95" s="3302">
        <v>20</v>
      </c>
    </row>
    <row r="96" spans="1:6" ht="13.5">
      <c r="A96" s="3302">
        <v>24</v>
      </c>
      <c r="B96" s="3712"/>
      <c r="C96" s="3283" t="s">
        <v>2926</v>
      </c>
      <c r="D96" s="3283" t="s">
        <v>2927</v>
      </c>
      <c r="E96" s="3308">
        <v>0.1</v>
      </c>
      <c r="F96" s="3302">
        <v>15</v>
      </c>
    </row>
    <row r="97" spans="1:6" ht="24">
      <c r="A97" s="3302">
        <v>25</v>
      </c>
      <c r="B97" s="3712"/>
      <c r="C97" s="3283" t="s">
        <v>2928</v>
      </c>
      <c r="D97" s="3283" t="s">
        <v>2929</v>
      </c>
      <c r="E97" s="3308">
        <v>0.1</v>
      </c>
      <c r="F97" s="3302">
        <v>15</v>
      </c>
    </row>
    <row r="98" spans="1:6" ht="24">
      <c r="A98" s="3302">
        <v>26</v>
      </c>
      <c r="B98" s="3712"/>
      <c r="C98" s="3283" t="s">
        <v>2930</v>
      </c>
      <c r="D98" s="3283" t="s">
        <v>2931</v>
      </c>
      <c r="E98" s="3308">
        <v>0.1</v>
      </c>
      <c r="F98" s="3302">
        <v>15</v>
      </c>
    </row>
    <row r="99" spans="1:6" ht="24">
      <c r="A99" s="3302">
        <v>27</v>
      </c>
      <c r="B99" s="3712"/>
      <c r="C99" s="3283" t="s">
        <v>2932</v>
      </c>
      <c r="D99" s="3283" t="s">
        <v>2933</v>
      </c>
      <c r="E99" s="3308">
        <v>0.1</v>
      </c>
      <c r="F99" s="3302">
        <v>15</v>
      </c>
    </row>
    <row r="100" spans="1:6" ht="24">
      <c r="A100" s="3302">
        <v>28</v>
      </c>
      <c r="B100" s="3712"/>
      <c r="C100" s="3283" t="s">
        <v>2934</v>
      </c>
      <c r="D100" s="3283" t="s">
        <v>2935</v>
      </c>
      <c r="E100" s="3308">
        <v>0.1</v>
      </c>
      <c r="F100" s="3302">
        <v>15</v>
      </c>
    </row>
    <row r="101" spans="1:6" ht="24">
      <c r="A101" s="3302">
        <v>29</v>
      </c>
      <c r="B101" s="3712"/>
      <c r="C101" s="3283" t="s">
        <v>2936</v>
      </c>
      <c r="D101" s="3283" t="s">
        <v>2937</v>
      </c>
      <c r="E101" s="3308">
        <v>0.1</v>
      </c>
      <c r="F101" s="3302">
        <v>15</v>
      </c>
    </row>
    <row r="102" spans="1:6" ht="24">
      <c r="A102" s="3302">
        <v>30</v>
      </c>
      <c r="B102" s="3712"/>
      <c r="C102" s="3283" t="s">
        <v>2938</v>
      </c>
      <c r="D102" s="3283" t="s">
        <v>2939</v>
      </c>
      <c r="E102" s="3308">
        <v>0.1</v>
      </c>
      <c r="F102" s="3302">
        <v>15</v>
      </c>
    </row>
    <row r="103" spans="1:6" ht="24">
      <c r="A103" s="3302">
        <v>31</v>
      </c>
      <c r="B103" s="3712"/>
      <c r="C103" s="3283" t="s">
        <v>2940</v>
      </c>
      <c r="D103" s="3283" t="s">
        <v>2941</v>
      </c>
      <c r="E103" s="3308">
        <v>0.1</v>
      </c>
      <c r="F103" s="3302">
        <v>15</v>
      </c>
    </row>
    <row r="104" spans="1:6" ht="24">
      <c r="A104" s="3302">
        <v>32</v>
      </c>
      <c r="B104" s="3712"/>
      <c r="C104" s="3283" t="s">
        <v>2942</v>
      </c>
      <c r="D104" s="3283" t="s">
        <v>2943</v>
      </c>
      <c r="E104" s="3308">
        <v>0.1</v>
      </c>
      <c r="F104" s="3302">
        <v>15</v>
      </c>
    </row>
    <row r="105" spans="1:6" ht="24">
      <c r="A105" s="3302">
        <v>33</v>
      </c>
      <c r="B105" s="3712"/>
      <c r="C105" s="3283" t="s">
        <v>2944</v>
      </c>
      <c r="D105" s="3283" t="s">
        <v>2945</v>
      </c>
      <c r="E105" s="3308">
        <v>0.1</v>
      </c>
      <c r="F105" s="3302">
        <v>15</v>
      </c>
    </row>
    <row r="106" spans="1:6" ht="24">
      <c r="A106" s="3302">
        <v>34</v>
      </c>
      <c r="B106" s="3711"/>
      <c r="C106" s="3283" t="s">
        <v>2946</v>
      </c>
      <c r="D106" s="3283" t="s">
        <v>2947</v>
      </c>
      <c r="E106" s="3308">
        <v>0.1</v>
      </c>
      <c r="F106" s="3302">
        <v>15</v>
      </c>
    </row>
    <row r="107" spans="1:6" ht="24">
      <c r="A107" s="3302">
        <v>35</v>
      </c>
      <c r="B107" s="3710" t="s">
        <v>2948</v>
      </c>
      <c r="C107" s="3302" t="s">
        <v>2949</v>
      </c>
      <c r="D107" s="3283" t="s">
        <v>2950</v>
      </c>
      <c r="E107" s="3308">
        <v>0.15</v>
      </c>
      <c r="F107" s="3302">
        <v>20</v>
      </c>
    </row>
    <row r="108" spans="1:6" ht="24">
      <c r="A108" s="3302">
        <v>36</v>
      </c>
      <c r="B108" s="3712"/>
      <c r="C108" s="3302" t="s">
        <v>2951</v>
      </c>
      <c r="D108" s="3283" t="s">
        <v>2952</v>
      </c>
      <c r="E108" s="3308">
        <v>0.15</v>
      </c>
      <c r="F108" s="3302">
        <v>20</v>
      </c>
    </row>
    <row r="109" spans="1:6" ht="24">
      <c r="A109" s="3302">
        <v>37</v>
      </c>
      <c r="B109" s="3712"/>
      <c r="C109" s="3302" t="s">
        <v>2953</v>
      </c>
      <c r="D109" s="3283" t="s">
        <v>2954</v>
      </c>
      <c r="E109" s="3308">
        <v>0.15</v>
      </c>
      <c r="F109" s="3302">
        <v>20</v>
      </c>
    </row>
    <row r="110" spans="1:6" ht="13.5">
      <c r="A110" s="3302">
        <v>38</v>
      </c>
      <c r="B110" s="3712"/>
      <c r="C110" s="3302" t="s">
        <v>2955</v>
      </c>
      <c r="D110" s="3283" t="s">
        <v>2956</v>
      </c>
      <c r="E110" s="3308">
        <v>0.1</v>
      </c>
      <c r="F110" s="3302">
        <v>15</v>
      </c>
    </row>
    <row r="111" spans="1:6" ht="24">
      <c r="A111" s="3302">
        <v>39</v>
      </c>
      <c r="B111" s="3712"/>
      <c r="C111" s="3302" t="s">
        <v>2957</v>
      </c>
      <c r="D111" s="3283" t="s">
        <v>2958</v>
      </c>
      <c r="E111" s="3308">
        <v>0.1</v>
      </c>
      <c r="F111" s="3302">
        <v>15</v>
      </c>
    </row>
    <row r="112" spans="1:6" ht="24">
      <c r="A112" s="3302">
        <v>40</v>
      </c>
      <c r="B112" s="3711"/>
      <c r="C112" s="3302" t="s">
        <v>2959</v>
      </c>
      <c r="D112" s="3283" t="s">
        <v>2960</v>
      </c>
      <c r="E112" s="3308">
        <v>0.1</v>
      </c>
      <c r="F112" s="3302">
        <v>15</v>
      </c>
    </row>
    <row r="113" spans="1:6" ht="24">
      <c r="A113" s="3302">
        <v>41</v>
      </c>
      <c r="B113" s="3709" t="s">
        <v>2961</v>
      </c>
      <c r="C113" s="3302" t="s">
        <v>2962</v>
      </c>
      <c r="D113" s="3283" t="s">
        <v>2963</v>
      </c>
      <c r="E113" s="3308">
        <v>0.1</v>
      </c>
      <c r="F113" s="3302">
        <v>15</v>
      </c>
    </row>
    <row r="114" spans="1:6" ht="13.5">
      <c r="A114" s="3302">
        <v>42</v>
      </c>
      <c r="B114" s="3709"/>
      <c r="C114" s="3302" t="s">
        <v>2964</v>
      </c>
      <c r="D114" s="3283" t="s">
        <v>2965</v>
      </c>
      <c r="E114" s="3308">
        <v>0.1</v>
      </c>
      <c r="F114" s="3302">
        <v>15</v>
      </c>
    </row>
    <row r="115" spans="1:6" ht="24">
      <c r="A115" s="3302">
        <v>43</v>
      </c>
      <c r="B115" s="3709"/>
      <c r="C115" s="3302" t="s">
        <v>2966</v>
      </c>
      <c r="D115" s="3283" t="s">
        <v>2967</v>
      </c>
      <c r="E115" s="3308">
        <v>0.1</v>
      </c>
      <c r="F115" s="3302">
        <v>15</v>
      </c>
    </row>
    <row r="116" spans="1:6" ht="24">
      <c r="A116" s="3302">
        <v>44</v>
      </c>
      <c r="B116" s="3710" t="s">
        <v>2968</v>
      </c>
      <c r="C116" s="3302" t="s">
        <v>2969</v>
      </c>
      <c r="D116" s="3283" t="s">
        <v>2970</v>
      </c>
      <c r="E116" s="3308">
        <v>0.1</v>
      </c>
      <c r="F116" s="3302">
        <v>15</v>
      </c>
    </row>
    <row r="117" spans="1:6" ht="24">
      <c r="A117" s="3302">
        <v>45</v>
      </c>
      <c r="B117" s="3711"/>
      <c r="C117" s="3283" t="s">
        <v>2971</v>
      </c>
      <c r="D117" s="3283" t="s">
        <v>2972</v>
      </c>
      <c r="E117" s="3308">
        <v>0.1</v>
      </c>
      <c r="F117" s="3302">
        <v>15</v>
      </c>
    </row>
    <row r="118" spans="1:6" ht="24">
      <c r="A118" s="3302">
        <v>46</v>
      </c>
      <c r="B118" s="3710" t="s">
        <v>2973</v>
      </c>
      <c r="C118" s="3302" t="s">
        <v>2974</v>
      </c>
      <c r="D118" s="3283" t="s">
        <v>2975</v>
      </c>
      <c r="E118" s="3308">
        <v>0.1</v>
      </c>
      <c r="F118" s="3302">
        <v>15</v>
      </c>
    </row>
    <row r="119" spans="1:6" ht="24">
      <c r="A119" s="3302">
        <v>47</v>
      </c>
      <c r="B119" s="3711"/>
      <c r="C119" s="3302" t="s">
        <v>2976</v>
      </c>
      <c r="D119" s="3283" t="s">
        <v>2977</v>
      </c>
      <c r="E119" s="3308">
        <v>0.1</v>
      </c>
      <c r="F119" s="3302">
        <v>15</v>
      </c>
    </row>
    <row r="120" spans="1:6" ht="24">
      <c r="A120" s="3302">
        <v>48</v>
      </c>
      <c r="B120" s="3710" t="s">
        <v>2978</v>
      </c>
      <c r="C120" s="3302" t="s">
        <v>2979</v>
      </c>
      <c r="D120" s="3283" t="s">
        <v>2980</v>
      </c>
      <c r="E120" s="3308">
        <v>0.1</v>
      </c>
      <c r="F120" s="3302">
        <v>15</v>
      </c>
    </row>
    <row r="121" spans="1:6" ht="13.5">
      <c r="A121" s="3302">
        <v>49</v>
      </c>
      <c r="B121" s="3711"/>
      <c r="C121" s="3302" t="s">
        <v>2981</v>
      </c>
      <c r="D121" s="3283" t="s">
        <v>2982</v>
      </c>
      <c r="E121" s="3308">
        <v>0.1</v>
      </c>
      <c r="F121" s="3302">
        <v>15</v>
      </c>
    </row>
    <row r="122" spans="1:6" ht="24">
      <c r="A122" s="3302">
        <v>50</v>
      </c>
      <c r="B122" s="3709" t="s">
        <v>2983</v>
      </c>
      <c r="C122" s="3302" t="s">
        <v>2984</v>
      </c>
      <c r="D122" s="3283" t="s">
        <v>2985</v>
      </c>
      <c r="E122" s="3308">
        <v>0.1</v>
      </c>
      <c r="F122" s="3302">
        <v>15</v>
      </c>
    </row>
    <row r="123" spans="1:6" ht="24">
      <c r="A123" s="3302">
        <v>51</v>
      </c>
      <c r="B123" s="3709"/>
      <c r="C123" s="3302" t="s">
        <v>2986</v>
      </c>
      <c r="D123" s="3283" t="s">
        <v>2987</v>
      </c>
      <c r="E123" s="3308">
        <v>0.1</v>
      </c>
      <c r="F123" s="3302">
        <v>15</v>
      </c>
    </row>
    <row r="124" spans="1:6" ht="24">
      <c r="A124" s="3302">
        <v>52</v>
      </c>
      <c r="B124" s="3709" t="s">
        <v>2988</v>
      </c>
      <c r="C124" s="3302" t="s">
        <v>2989</v>
      </c>
      <c r="D124" s="3283" t="s">
        <v>2990</v>
      </c>
      <c r="E124" s="3308">
        <v>0.1</v>
      </c>
      <c r="F124" s="3302">
        <v>15</v>
      </c>
    </row>
    <row r="125" spans="1:6" ht="24">
      <c r="A125" s="3302">
        <v>53</v>
      </c>
      <c r="B125" s="3709"/>
      <c r="C125" s="3302" t="s">
        <v>2991</v>
      </c>
      <c r="D125" s="3283" t="s">
        <v>2992</v>
      </c>
      <c r="E125" s="3308">
        <v>0.1</v>
      </c>
      <c r="F125" s="3302">
        <v>15</v>
      </c>
    </row>
    <row r="126" spans="1:6" ht="24">
      <c r="A126" s="3302">
        <v>54</v>
      </c>
      <c r="B126" s="3302" t="s">
        <v>2993</v>
      </c>
      <c r="C126" s="3302" t="s">
        <v>2994</v>
      </c>
      <c r="D126" s="3283" t="s">
        <v>2995</v>
      </c>
      <c r="E126" s="3308">
        <v>0.1</v>
      </c>
      <c r="F126" s="3302">
        <v>15</v>
      </c>
    </row>
    <row r="127" spans="1:6" ht="13.5">
      <c r="A127" s="3302">
        <v>55</v>
      </c>
      <c r="B127" s="3709" t="s">
        <v>2996</v>
      </c>
      <c r="C127" s="3302" t="s">
        <v>2997</v>
      </c>
      <c r="D127" s="3283" t="s">
        <v>2998</v>
      </c>
      <c r="E127" s="3308">
        <v>0.1</v>
      </c>
      <c r="F127" s="3302">
        <v>15</v>
      </c>
    </row>
    <row r="128" spans="1:6" ht="13.5">
      <c r="A128" s="3302">
        <v>56</v>
      </c>
      <c r="B128" s="3709"/>
      <c r="C128" s="3302" t="s">
        <v>2999</v>
      </c>
      <c r="D128" s="3283" t="s">
        <v>3000</v>
      </c>
      <c r="E128" s="3308">
        <v>0.1</v>
      </c>
      <c r="F128" s="3302">
        <v>15</v>
      </c>
    </row>
    <row r="129" spans="1:6" ht="24">
      <c r="A129" s="3302">
        <v>57</v>
      </c>
      <c r="B129" s="3709"/>
      <c r="C129" s="3302" t="s">
        <v>3001</v>
      </c>
      <c r="D129" s="3283" t="s">
        <v>3002</v>
      </c>
      <c r="E129" s="3308">
        <v>0.1</v>
      </c>
      <c r="F129" s="3302">
        <v>15</v>
      </c>
    </row>
    <row r="130" spans="1:6" ht="24">
      <c r="A130" s="3302">
        <v>58</v>
      </c>
      <c r="B130" s="3709" t="s">
        <v>3003</v>
      </c>
      <c r="C130" s="3302" t="s">
        <v>3004</v>
      </c>
      <c r="D130" s="3283" t="s">
        <v>3005</v>
      </c>
      <c r="E130" s="3308">
        <v>0.1</v>
      </c>
      <c r="F130" s="3302">
        <v>15</v>
      </c>
    </row>
    <row r="131" spans="1:6" ht="24">
      <c r="A131" s="3302">
        <v>59</v>
      </c>
      <c r="B131" s="3709"/>
      <c r="C131" s="3302" t="s">
        <v>3006</v>
      </c>
      <c r="D131" s="3283" t="s">
        <v>3007</v>
      </c>
      <c r="E131" s="3308">
        <v>0.1</v>
      </c>
      <c r="F131" s="3302">
        <v>15</v>
      </c>
    </row>
    <row r="132" spans="1:6" ht="24">
      <c r="A132" s="3302">
        <v>60</v>
      </c>
      <c r="B132" s="3710" t="s">
        <v>3008</v>
      </c>
      <c r="C132" s="3302" t="s">
        <v>3009</v>
      </c>
      <c r="D132" s="3283" t="s">
        <v>3010</v>
      </c>
      <c r="E132" s="3308">
        <v>0.1</v>
      </c>
      <c r="F132" s="3302">
        <v>15</v>
      </c>
    </row>
    <row r="133" spans="1:6" ht="24">
      <c r="A133" s="3302">
        <v>61</v>
      </c>
      <c r="B133" s="3711"/>
      <c r="C133" s="3302" t="s">
        <v>3011</v>
      </c>
      <c r="D133" s="3283" t="s">
        <v>3012</v>
      </c>
      <c r="E133" s="3308">
        <v>0.1</v>
      </c>
      <c r="F133" s="3302">
        <v>15</v>
      </c>
    </row>
    <row r="134" spans="1:6" ht="24">
      <c r="A134" s="3302">
        <v>62</v>
      </c>
      <c r="B134" s="3302" t="s">
        <v>3013</v>
      </c>
      <c r="C134" s="3302" t="s">
        <v>3014</v>
      </c>
      <c r="D134" s="3283" t="s">
        <v>3015</v>
      </c>
      <c r="E134" s="3308">
        <v>0.1</v>
      </c>
      <c r="F134" s="3302">
        <v>15</v>
      </c>
    </row>
    <row r="135" spans="1:6" ht="24">
      <c r="A135" s="3302">
        <v>63</v>
      </c>
      <c r="B135" s="3709" t="s">
        <v>3016</v>
      </c>
      <c r="C135" s="3302" t="s">
        <v>3017</v>
      </c>
      <c r="D135" s="3283" t="s">
        <v>3018</v>
      </c>
      <c r="E135" s="3308">
        <v>0.1</v>
      </c>
      <c r="F135" s="3302">
        <v>15</v>
      </c>
    </row>
    <row r="136" spans="1:6" ht="13.5">
      <c r="A136" s="3302">
        <v>64</v>
      </c>
      <c r="B136" s="3709"/>
      <c r="C136" s="3302" t="s">
        <v>3019</v>
      </c>
      <c r="D136" s="3283" t="s">
        <v>3020</v>
      </c>
      <c r="E136" s="3308">
        <v>0.1</v>
      </c>
      <c r="F136" s="3302">
        <v>15</v>
      </c>
    </row>
    <row r="137" spans="1:6" ht="24">
      <c r="A137" s="3302">
        <v>65</v>
      </c>
      <c r="B137" s="3302" t="s">
        <v>3021</v>
      </c>
      <c r="C137" s="3302" t="s">
        <v>3022</v>
      </c>
      <c r="D137" s="3283" t="s">
        <v>3023</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V4" sqref="V4:W6"/>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1.47</v>
      </c>
      <c r="J3" s="2270">
        <f>ROUND(AVERAGE(J4:J41),2)</f>
        <v>0.92</v>
      </c>
      <c r="K3" s="2270">
        <f>ROUND(AVERAGE(K4:K41),2)</f>
        <v>1.61</v>
      </c>
      <c r="L3" s="2271">
        <f>ROUND(AVERAGE(L4:L41),2)</f>
        <v>1.07</v>
      </c>
      <c r="N3" s="2268"/>
      <c r="S3" s="2268"/>
      <c r="W3" s="2273"/>
      <c r="X3" s="2274">
        <f>ROUND(SUMPRODUCT(PRODUCT(1+N3:N$40)),4)</f>
        <v>1.6585000000000001</v>
      </c>
      <c r="Y3" s="2274">
        <f>ROUND(SUMPRODUCT(PRODUCT(1+O3:O$40)),4)</f>
        <v>1.3676999999999999</v>
      </c>
      <c r="Z3" s="2274">
        <f t="shared" ref="Z3:Z38" si="0">Y3</f>
        <v>1.3676999999999999</v>
      </c>
      <c r="AA3" s="2274">
        <f>ROUND(SUMPRODUCT(PRODUCT(1+P3:P$40)),4)</f>
        <v>1.7434000000000001</v>
      </c>
      <c r="AB3" s="2274">
        <f>ROUND(SUMPRODUCT(PRODUCT(1+Q3:Q$40)),4)</f>
        <v>1.4609000000000001</v>
      </c>
      <c r="AD3" s="2275">
        <f>ROUND(AVERAGE(I3:I$41)/100,4)</f>
        <v>1.47E-2</v>
      </c>
      <c r="AE3" s="2275">
        <f>ROUND(AVERAGE(J3:J$41)/100,4)</f>
        <v>9.1999999999999998E-3</v>
      </c>
      <c r="AF3" s="2275">
        <f t="shared" ref="AF3:AF29" si="1">AE3</f>
        <v>9.1999999999999998E-3</v>
      </c>
      <c r="AG3" s="2275">
        <f>ROUND(AVERAGE(K3:K$41)/100,4)</f>
        <v>1.61E-2</v>
      </c>
      <c r="AH3" s="2275">
        <f>ROUND(AVERAGE(L3:L$41)/100,4)</f>
        <v>1.0699999999999999E-2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2797</v>
      </c>
      <c r="B5" s="2287">
        <f t="shared" ref="B5" si="2">B6*(1+N5)</f>
        <v>510.07089659554606</v>
      </c>
      <c r="C5" s="2287">
        <f t="shared" ref="C5" si="3">C6*(1+O5)</f>
        <v>352.55593185737411</v>
      </c>
      <c r="D5" s="2287">
        <f t="shared" ref="D5" si="4">C5</f>
        <v>352.55593185737411</v>
      </c>
      <c r="E5" s="2287">
        <f t="shared" ref="E5" si="5">E6*(1+P5)</f>
        <v>737.27992463403655</v>
      </c>
      <c r="F5" s="2287">
        <f t="shared" ref="F5" si="6">F6*(1+Q5)</f>
        <v>335.88319198297864</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1.6585000000000001</v>
      </c>
      <c r="Y5" s="2290">
        <f>ROUND(SUMPRODUCT(PRODUCT(1+O5:O$40)),4)</f>
        <v>1.3676999999999999</v>
      </c>
      <c r="Z5" s="2290">
        <f t="shared" ref="Z5" si="11">Y5</f>
        <v>1.3676999999999999</v>
      </c>
      <c r="AA5" s="2290">
        <f>ROUND(SUMPRODUCT(PRODUCT(1+P5:P$40)),4)</f>
        <v>1.7434000000000001</v>
      </c>
      <c r="AB5" s="2290">
        <f>ROUND(SUMPRODUCT(PRODUCT(1+Q5:Q$40)),4)</f>
        <v>1.4609000000000001</v>
      </c>
      <c r="AC5" s="2290"/>
      <c r="AD5" s="2292">
        <f>ROUND(AVERAGE(I5:I$41)/100,4)</f>
        <v>1.47E-2</v>
      </c>
      <c r="AE5" s="2292">
        <f>ROUND(AVERAGE(J5:J$41)/100,4)</f>
        <v>9.1999999999999998E-3</v>
      </c>
      <c r="AF5" s="2292">
        <f t="shared" ref="AF5" si="12">AE5</f>
        <v>9.1999999999999998E-3</v>
      </c>
      <c r="AG5" s="2292">
        <f>ROUND(AVERAGE(K5:K$41)/100,4)</f>
        <v>1.61E-2</v>
      </c>
      <c r="AH5" s="2292">
        <f>ROUND(AVERAGE(L5:L$41)/100,4)</f>
        <v>1.0699999999999999E-2</v>
      </c>
    </row>
    <row r="6" spans="1:34" s="2293" customFormat="1" ht="14.45" customHeight="1">
      <c r="A6" s="2286" t="s">
        <v>2796</v>
      </c>
      <c r="B6" s="2287">
        <f t="shared" ref="B6" si="13">B7*(1+N6)</f>
        <v>510.07089659554606</v>
      </c>
      <c r="C6" s="2287">
        <f t="shared" ref="C6" si="14">C7*(1+O6)</f>
        <v>352.55593185737411</v>
      </c>
      <c r="D6" s="2287">
        <f t="shared" ref="D6" si="15">C6</f>
        <v>352.55593185737411</v>
      </c>
      <c r="E6" s="2287">
        <f t="shared" ref="E6" si="16">E7*(1+P6)</f>
        <v>737.27992463403655</v>
      </c>
      <c r="F6" s="2287">
        <f t="shared" ref="F6" si="17">F7*(1+Q6)</f>
        <v>335.88319198297864</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1.6585000000000001</v>
      </c>
      <c r="Y6" s="2290">
        <f>ROUND(SUMPRODUCT(PRODUCT(1+O6:O$40)),4)</f>
        <v>1.3676999999999999</v>
      </c>
      <c r="Z6" s="2290">
        <f t="shared" ref="Z6" si="22">Y6</f>
        <v>1.3676999999999999</v>
      </c>
      <c r="AA6" s="2290">
        <f>ROUND(SUMPRODUCT(PRODUCT(1+P6:P$40)),4)</f>
        <v>1.7434000000000001</v>
      </c>
      <c r="AB6" s="2290">
        <f>ROUND(SUMPRODUCT(PRODUCT(1+Q6:Q$40)),4)</f>
        <v>1.4609000000000001</v>
      </c>
      <c r="AC6" s="2290"/>
      <c r="AD6" s="2292">
        <f>ROUND(AVERAGE(I6:I$41)/100,4)</f>
        <v>1.5100000000000001E-2</v>
      </c>
      <c r="AE6" s="2292">
        <f>ROUND(AVERAGE(J6:J$41)/100,4)</f>
        <v>9.4000000000000004E-3</v>
      </c>
      <c r="AF6" s="2292">
        <f t="shared" ref="AF6" si="23">AE6</f>
        <v>9.4000000000000004E-3</v>
      </c>
      <c r="AG6" s="2292">
        <f>ROUND(AVERAGE(K6:K$41)/100,4)</f>
        <v>1.66E-2</v>
      </c>
      <c r="AH6" s="2292">
        <f>ROUND(AVERAGE(L6:L$41)/100,4)</f>
        <v>1.0999999999999999E-2</v>
      </c>
    </row>
    <row r="7" spans="1:34" s="2293" customFormat="1" ht="14.45" customHeight="1">
      <c r="A7" s="2286" t="s">
        <v>2795</v>
      </c>
      <c r="B7" s="2287">
        <f t="shared" ref="B7" si="24">B8*(1+N7)</f>
        <v>510.07089659554606</v>
      </c>
      <c r="C7" s="2287">
        <f t="shared" ref="C7" si="25">C8*(1+O7)</f>
        <v>352.55593185737411</v>
      </c>
      <c r="D7" s="2287">
        <f t="shared" ref="D7" si="26">C7</f>
        <v>352.55593185737411</v>
      </c>
      <c r="E7" s="2287">
        <f t="shared" ref="E7" si="27">E8*(1+P7)</f>
        <v>737.27992463403655</v>
      </c>
      <c r="F7" s="2287">
        <f t="shared" ref="F7" si="28">F8*(1+Q7)</f>
        <v>335.88319198297864</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1.6585000000000001</v>
      </c>
      <c r="Y7" s="2290">
        <f>ROUND(SUMPRODUCT(PRODUCT(1+O7:O$40)),4)</f>
        <v>1.3676999999999999</v>
      </c>
      <c r="Z7" s="2290">
        <f t="shared" ref="Z7" si="33">Y7</f>
        <v>1.3676999999999999</v>
      </c>
      <c r="AA7" s="2290">
        <f>ROUND(SUMPRODUCT(PRODUCT(1+P7:P$40)),4)</f>
        <v>1.7434000000000001</v>
      </c>
      <c r="AB7" s="2290">
        <f>ROUND(SUMPRODUCT(PRODUCT(1+Q7:Q$40)),4)</f>
        <v>1.4609000000000001</v>
      </c>
      <c r="AC7" s="2290"/>
      <c r="AD7" s="2292">
        <f>ROUND(AVERAGE(I7:I$41)/100,4)</f>
        <v>1.55E-2</v>
      </c>
      <c r="AE7" s="2292">
        <f>ROUND(AVERAGE(J7:J$41)/100,4)</f>
        <v>9.7000000000000003E-3</v>
      </c>
      <c r="AF7" s="2292">
        <f t="shared" ref="AF7" si="34">AE7</f>
        <v>9.7000000000000003E-3</v>
      </c>
      <c r="AG7" s="2292">
        <f>ROUND(AVERAGE(K7:K$41)/100,4)</f>
        <v>1.7100000000000001E-2</v>
      </c>
      <c r="AH7" s="2292">
        <f>ROUND(AVERAGE(L7:L$41)/100,4)</f>
        <v>1.1299999999999999E-2</v>
      </c>
    </row>
    <row r="8" spans="1:34" s="2293" customFormat="1" ht="14.45" customHeight="1">
      <c r="A8" s="2286" t="s">
        <v>2794</v>
      </c>
      <c r="B8" s="2287">
        <f t="shared" ref="B8" si="35">B9*(1+N8)</f>
        <v>510.07089659554606</v>
      </c>
      <c r="C8" s="2287">
        <f t="shared" ref="C8" si="36">C9*(1+O8)</f>
        <v>352.55593185737411</v>
      </c>
      <c r="D8" s="2287">
        <f t="shared" ref="D8" si="37">C8</f>
        <v>352.55593185737411</v>
      </c>
      <c r="E8" s="2287">
        <f t="shared" ref="E8" si="38">E9*(1+P8)</f>
        <v>737.27992463403655</v>
      </c>
      <c r="F8" s="2287">
        <f t="shared" ref="F8" si="39">F9*(1+Q8)</f>
        <v>335.88319198297864</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1.6585000000000001</v>
      </c>
      <c r="Y8" s="2290">
        <f>ROUND(SUMPRODUCT(PRODUCT(1+O8:O$40)),4)</f>
        <v>1.3676999999999999</v>
      </c>
      <c r="Z8" s="2290">
        <f t="shared" ref="Z8" si="44">Y8</f>
        <v>1.3676999999999999</v>
      </c>
      <c r="AA8" s="2290">
        <f>ROUND(SUMPRODUCT(PRODUCT(1+P8:P$40)),4)</f>
        <v>1.7434000000000001</v>
      </c>
      <c r="AB8" s="2290">
        <f>ROUND(SUMPRODUCT(PRODUCT(1+Q8:Q$40)),4)</f>
        <v>1.4609000000000001</v>
      </c>
      <c r="AC8" s="2290"/>
      <c r="AD8" s="2292">
        <f>ROUND(AVERAGE(I8:I$41)/100,4)</f>
        <v>1.6E-2</v>
      </c>
      <c r="AE8" s="2292">
        <f>ROUND(AVERAGE(J8:J$41)/100,4)</f>
        <v>0.01</v>
      </c>
      <c r="AF8" s="2292">
        <f t="shared" ref="AF8" si="45">AE8</f>
        <v>0.01</v>
      </c>
      <c r="AG8" s="2292">
        <f>ROUND(AVERAGE(K8:K$41)/100,4)</f>
        <v>1.7600000000000001E-2</v>
      </c>
      <c r="AH8" s="2292">
        <f>ROUND(AVERAGE(L8:L$41)/100,4)</f>
        <v>1.1599999999999999E-2</v>
      </c>
    </row>
    <row r="9" spans="1:34" s="2293" customFormat="1" ht="14.45" customHeight="1">
      <c r="A9" s="2286" t="s">
        <v>2793</v>
      </c>
      <c r="B9" s="2287">
        <f t="shared" ref="B9" si="46">B10*(1+N9)</f>
        <v>510.07089659554606</v>
      </c>
      <c r="C9" s="2287">
        <f t="shared" ref="C9" si="47">C10*(1+O9)</f>
        <v>352.55593185737411</v>
      </c>
      <c r="D9" s="2287">
        <f t="shared" ref="D9" si="48">C9</f>
        <v>352.55593185737411</v>
      </c>
      <c r="E9" s="2287">
        <f t="shared" ref="E9" si="49">E10*(1+P9)</f>
        <v>737.27992463403655</v>
      </c>
      <c r="F9" s="2287">
        <f t="shared" ref="F9" si="50">F10*(1+Q9)</f>
        <v>335.88319198297864</v>
      </c>
      <c r="G9" s="3263">
        <v>2022</v>
      </c>
      <c r="H9" s="2288">
        <v>1</v>
      </c>
      <c r="I9" s="3077">
        <v>0</v>
      </c>
      <c r="J9" s="3077">
        <v>0</v>
      </c>
      <c r="K9" s="3077">
        <v>0</v>
      </c>
      <c r="L9" s="3078">
        <v>0</v>
      </c>
      <c r="M9" s="2290"/>
      <c r="N9" s="2291">
        <f t="shared" ref="N9" si="51">I9/100</f>
        <v>0</v>
      </c>
      <c r="O9" s="2292">
        <f t="shared" ref="O9" si="52">J9/100</f>
        <v>0</v>
      </c>
      <c r="P9" s="2292">
        <f t="shared" ref="P9" si="53">K9/100</f>
        <v>0</v>
      </c>
      <c r="Q9" s="2292">
        <f t="shared" ref="Q9" si="54">L9/100</f>
        <v>0</v>
      </c>
      <c r="R9" s="2290"/>
      <c r="S9" s="2291">
        <f>B9/B10-1</f>
        <v>0</v>
      </c>
      <c r="T9" s="2292">
        <f>C9/C10-1</f>
        <v>0</v>
      </c>
      <c r="U9" s="2292">
        <f>E9/E10-1</f>
        <v>0</v>
      </c>
      <c r="V9" s="2292">
        <f>F9/F10-1</f>
        <v>0</v>
      </c>
      <c r="W9" s="2290"/>
      <c r="X9" s="2290">
        <f>ROUND(SUMPRODUCT(PRODUCT(1+N9:N$40)),4)</f>
        <v>1.6585000000000001</v>
      </c>
      <c r="Y9" s="2290">
        <f>ROUND(SUMPRODUCT(PRODUCT(1+O9:O$40)),4)</f>
        <v>1.3676999999999999</v>
      </c>
      <c r="Z9" s="2290">
        <f t="shared" ref="Z9" si="55">Y9</f>
        <v>1.3676999999999999</v>
      </c>
      <c r="AA9" s="2290">
        <f>ROUND(SUMPRODUCT(PRODUCT(1+P9:P$40)),4)</f>
        <v>1.7434000000000001</v>
      </c>
      <c r="AB9" s="2290">
        <f>ROUND(SUMPRODUCT(PRODUCT(1+Q9:Q$40)),4)</f>
        <v>1.4609000000000001</v>
      </c>
      <c r="AC9" s="2290"/>
      <c r="AD9" s="2292">
        <f>ROUND(AVERAGE(I9:I$41)/100,4)</f>
        <v>1.6400000000000001E-2</v>
      </c>
      <c r="AE9" s="2292">
        <f>ROUND(AVERAGE(J9:J$41)/100,4)</f>
        <v>1.03E-2</v>
      </c>
      <c r="AF9" s="2292">
        <f t="shared" ref="AF9" si="56">AE9</f>
        <v>1.03E-2</v>
      </c>
      <c r="AG9" s="2292">
        <f>ROUND(AVERAGE(K9:K$41)/100,4)</f>
        <v>1.8100000000000002E-2</v>
      </c>
      <c r="AH9" s="2292">
        <f>ROUND(AVERAGE(L9:L$41)/100,4)</f>
        <v>1.2E-2</v>
      </c>
    </row>
    <row r="10" spans="1:34" s="2293" customFormat="1" ht="14.45" customHeight="1">
      <c r="A10" s="2286" t="s">
        <v>2792</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2646</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2645</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2644</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2638</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2637</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2492</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2489</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2487</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2485</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2479</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2480</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2">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2"/>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2"/>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1"/>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27">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2"/>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2"/>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1"/>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7">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2"/>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2"/>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3"/>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1">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2"/>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2"/>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3"/>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1">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2"/>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2"/>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3"/>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8">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9"/>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9"/>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0"/>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1">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2"/>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2"/>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3"/>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1">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2">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2">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3">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1">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2">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2">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3">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1">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2">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2">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3">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1">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2">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2">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3">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1">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2">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2">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3">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1">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2">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2">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3">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1">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2">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2">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3">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1">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2">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2">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3">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1">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2">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2">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3">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1">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2">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2">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3">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44676</v>
      </c>
      <c r="D1" s="1221" t="s">
        <v>935</v>
      </c>
      <c r="E1" s="1227">
        <f>'数据-取费表'!B24</f>
        <v>1</v>
      </c>
      <c r="F1" s="1221" t="s">
        <v>936</v>
      </c>
      <c r="G1" s="1228">
        <f ca="1">INDIRECT("d"&amp;$K$1)/100</f>
        <v>3.7000000000000005E-2</v>
      </c>
      <c r="H1" s="1221" t="s">
        <v>966</v>
      </c>
      <c r="I1" s="1228">
        <f ca="1">F4/100</f>
        <v>1.4999999999999999E-2</v>
      </c>
      <c r="J1" s="1222">
        <f>IF(C1&gt;C13,0,MATCH(C1,C$13:C$107,-1))+IF(SUMIF(C13:C107,C1,D13:D107)=0,13,12)</f>
        <v>13</v>
      </c>
      <c r="K1" s="1222">
        <f ca="1">MATCH(E1,C3:C7,1)+IF(SUMIF(C3:C7,E1,D3:D7)=0,2,1)</f>
        <v>4</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4.5999999999999996</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44581</v>
      </c>
      <c r="D13" s="1210">
        <v>3.7</v>
      </c>
      <c r="E13" s="1210">
        <f t="shared" ref="E13:E19" si="0">D13</f>
        <v>3.7</v>
      </c>
      <c r="F13" s="1210">
        <f t="shared" ref="F13:F19" si="1">D13</f>
        <v>3.7</v>
      </c>
      <c r="G13" s="1210">
        <f t="shared" ref="G13:G19" si="2">D13</f>
        <v>3.7</v>
      </c>
      <c r="H13" s="1210">
        <v>4.5999999999999996</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14"/>
      <c r="C14" s="1215">
        <v>44550</v>
      </c>
      <c r="D14" s="1214">
        <v>3.8</v>
      </c>
      <c r="E14" s="1214">
        <f t="shared" si="0"/>
        <v>3.8</v>
      </c>
      <c r="F14" s="1214">
        <f t="shared" ref="F14" si="3">D14</f>
        <v>3.8</v>
      </c>
      <c r="G14" s="1214">
        <f t="shared" ref="G14" si="4">D14</f>
        <v>3.8</v>
      </c>
      <c r="H14" s="1214">
        <v>4.6500000000000004</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c r="B15" s="1214"/>
      <c r="C15" s="1215">
        <v>43941</v>
      </c>
      <c r="D15" s="1214">
        <v>3.85</v>
      </c>
      <c r="E15" s="1214">
        <f t="shared" si="0"/>
        <v>3.85</v>
      </c>
      <c r="F15" s="1214">
        <f t="shared" si="1"/>
        <v>3.85</v>
      </c>
      <c r="G15" s="1214">
        <f t="shared" si="2"/>
        <v>3.85</v>
      </c>
      <c r="H15" s="1214">
        <v>4.6500000000000004</v>
      </c>
      <c r="I15" s="1214"/>
      <c r="J15" s="1214"/>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43881</v>
      </c>
      <c r="D16" s="1214">
        <v>4.05</v>
      </c>
      <c r="E16" s="1214">
        <f t="shared" si="0"/>
        <v>4.05</v>
      </c>
      <c r="F16" s="1214">
        <f t="shared" si="1"/>
        <v>4.05</v>
      </c>
      <c r="G16" s="1214">
        <f t="shared" si="2"/>
        <v>4.05</v>
      </c>
      <c r="H16" s="1214">
        <v>4.75</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43789</v>
      </c>
      <c r="D17" s="1214">
        <v>4.1500000000000004</v>
      </c>
      <c r="E17" s="1214">
        <f t="shared" si="0"/>
        <v>4.1500000000000004</v>
      </c>
      <c r="F17" s="1214">
        <f t="shared" si="1"/>
        <v>4.1500000000000004</v>
      </c>
      <c r="G17" s="1214">
        <f t="shared" si="2"/>
        <v>4.1500000000000004</v>
      </c>
      <c r="H17" s="1214">
        <v>4.8</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43728</v>
      </c>
      <c r="D18" s="1214">
        <v>4.2</v>
      </c>
      <c r="E18" s="1214">
        <f t="shared" si="0"/>
        <v>4.2</v>
      </c>
      <c r="F18" s="1214">
        <f t="shared" si="1"/>
        <v>4.2</v>
      </c>
      <c r="G18" s="1214">
        <f t="shared" si="2"/>
        <v>4.2</v>
      </c>
      <c r="H18" s="1214">
        <v>4.8499999999999996</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ht="14.25">
      <c r="A19" s="3067"/>
      <c r="B19" s="1208" t="s">
        <v>2639</v>
      </c>
      <c r="C19" s="1217">
        <v>43697</v>
      </c>
      <c r="D19" s="3068">
        <v>4.25</v>
      </c>
      <c r="E19" s="3068">
        <f t="shared" si="0"/>
        <v>4.25</v>
      </c>
      <c r="F19" s="3068">
        <f t="shared" si="1"/>
        <v>4.25</v>
      </c>
      <c r="G19" s="3068">
        <f t="shared" si="2"/>
        <v>4.25</v>
      </c>
      <c r="H19" s="3068">
        <v>4.8499999999999996</v>
      </c>
      <c r="I19" s="3068"/>
      <c r="J19" s="3068"/>
      <c r="K19" s="3067"/>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42301</v>
      </c>
      <c r="D20" s="1214">
        <v>4.3499999999999996</v>
      </c>
      <c r="E20" s="1214">
        <v>4.3499999999999996</v>
      </c>
      <c r="F20" s="1214">
        <v>4.75</v>
      </c>
      <c r="G20" s="1214">
        <v>4.75</v>
      </c>
      <c r="H20" s="1214">
        <v>4.9000000000000004</v>
      </c>
      <c r="I20" s="1214">
        <v>2.75</v>
      </c>
      <c r="J20" s="1214">
        <v>3.25</v>
      </c>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42242</v>
      </c>
      <c r="D21" s="1214">
        <v>4.5999999999999996</v>
      </c>
      <c r="E21" s="1214">
        <v>4.5999999999999996</v>
      </c>
      <c r="F21" s="1214">
        <v>5</v>
      </c>
      <c r="G21" s="1214">
        <v>5</v>
      </c>
      <c r="H21" s="1214">
        <v>5.15</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42183</v>
      </c>
      <c r="D22" s="1214">
        <v>4.8499999999999996</v>
      </c>
      <c r="E22" s="1214">
        <v>4.8499999999999996</v>
      </c>
      <c r="F22" s="1214">
        <v>5.25</v>
      </c>
      <c r="G22" s="1214">
        <v>5.25</v>
      </c>
      <c r="H22" s="1214">
        <v>5.4</v>
      </c>
      <c r="I22" s="1214">
        <v>3</v>
      </c>
      <c r="J22" s="1214">
        <v>3.5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42135</v>
      </c>
      <c r="D23" s="1214">
        <v>5.0999999999999996</v>
      </c>
      <c r="E23" s="1214">
        <v>5.0999999999999996</v>
      </c>
      <c r="F23" s="1214">
        <v>5.5</v>
      </c>
      <c r="G23" s="1214">
        <v>5.5</v>
      </c>
      <c r="H23" s="1214">
        <v>5.65</v>
      </c>
      <c r="I23" s="1214">
        <v>3.25</v>
      </c>
      <c r="J23" s="1214">
        <v>3.75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42064</v>
      </c>
      <c r="D24" s="1214">
        <v>5.35</v>
      </c>
      <c r="E24" s="1214">
        <v>5.35</v>
      </c>
      <c r="F24" s="1214">
        <v>5.75</v>
      </c>
      <c r="G24" s="1214">
        <v>5.75</v>
      </c>
      <c r="H24" s="1214">
        <v>5.9</v>
      </c>
      <c r="I24" s="1214"/>
      <c r="J24" s="1214"/>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41965</v>
      </c>
      <c r="D25" s="1214">
        <v>5.6</v>
      </c>
      <c r="E25" s="1214">
        <v>5.6</v>
      </c>
      <c r="F25" s="1214">
        <v>6</v>
      </c>
      <c r="G25" s="1214">
        <v>6</v>
      </c>
      <c r="H25" s="1214">
        <v>6.15</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41096</v>
      </c>
      <c r="D26" s="1214">
        <v>5.6</v>
      </c>
      <c r="E26" s="1214">
        <v>6</v>
      </c>
      <c r="F26" s="1214">
        <v>6.15</v>
      </c>
      <c r="G26" s="1214">
        <v>6.4</v>
      </c>
      <c r="H26" s="1214">
        <v>6.55</v>
      </c>
      <c r="I26" s="1214">
        <v>4</v>
      </c>
      <c r="J26" s="1214">
        <v>4.5</v>
      </c>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41068</v>
      </c>
      <c r="D27" s="1214">
        <v>5.85</v>
      </c>
      <c r="E27" s="1214">
        <v>6.31</v>
      </c>
      <c r="F27" s="1214">
        <v>6.4</v>
      </c>
      <c r="G27" s="1214">
        <v>6.65</v>
      </c>
      <c r="H27" s="1214">
        <v>6.8</v>
      </c>
      <c r="I27" s="1214">
        <v>4.2</v>
      </c>
      <c r="J27" s="1214">
        <v>4.7</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40731</v>
      </c>
      <c r="D28" s="1214">
        <v>6.1</v>
      </c>
      <c r="E28" s="1214">
        <v>6.56</v>
      </c>
      <c r="F28" s="1214">
        <v>6.65</v>
      </c>
      <c r="G28" s="1214">
        <v>6.9</v>
      </c>
      <c r="H28" s="1214">
        <v>7.05</v>
      </c>
      <c r="I28" s="1214">
        <v>4.45</v>
      </c>
      <c r="J28" s="1214">
        <v>4.9000000000000004</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40639</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40583</v>
      </c>
      <c r="D30" s="1214">
        <v>5.6</v>
      </c>
      <c r="E30" s="1214">
        <v>6.06</v>
      </c>
      <c r="F30" s="1214">
        <v>6.1</v>
      </c>
      <c r="G30" s="1214">
        <v>6.45</v>
      </c>
      <c r="H30" s="1214">
        <v>6.6</v>
      </c>
      <c r="I30" s="1214">
        <v>4</v>
      </c>
      <c r="J30" s="1214">
        <v>4.5</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40538</v>
      </c>
      <c r="D31" s="1214">
        <v>5.35</v>
      </c>
      <c r="E31" s="1214">
        <v>5.81</v>
      </c>
      <c r="F31" s="1214">
        <v>5.85</v>
      </c>
      <c r="G31" s="1214">
        <v>6.22</v>
      </c>
      <c r="H31" s="1214">
        <v>6.4</v>
      </c>
      <c r="I31" s="1214">
        <v>3.75</v>
      </c>
      <c r="J31" s="1214">
        <v>4.3</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40471</v>
      </c>
      <c r="D32" s="1214">
        <v>5.0999999999999996</v>
      </c>
      <c r="E32" s="1214">
        <v>5.56</v>
      </c>
      <c r="F32" s="1214">
        <v>5.6</v>
      </c>
      <c r="G32" s="1214">
        <v>5.96</v>
      </c>
      <c r="H32" s="1214">
        <v>6.14</v>
      </c>
      <c r="I32" s="1214">
        <v>3.5</v>
      </c>
      <c r="J32" s="1214">
        <v>4.05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39805</v>
      </c>
      <c r="D33" s="1214">
        <v>4.8600000000000003</v>
      </c>
      <c r="E33" s="1214">
        <v>5.31</v>
      </c>
      <c r="F33" s="1214">
        <v>5.4</v>
      </c>
      <c r="G33" s="1214">
        <v>5.76</v>
      </c>
      <c r="H33" s="1214">
        <v>5.94</v>
      </c>
      <c r="I33" s="1214">
        <v>3.33</v>
      </c>
      <c r="J33" s="1214">
        <v>3.87</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39779</v>
      </c>
      <c r="D34" s="1214">
        <v>5.04</v>
      </c>
      <c r="E34" s="1214">
        <v>5.58</v>
      </c>
      <c r="F34" s="1214">
        <v>5.67</v>
      </c>
      <c r="G34" s="1214">
        <v>5.94</v>
      </c>
      <c r="H34" s="1214">
        <v>6.12</v>
      </c>
      <c r="I34" s="1214">
        <v>3.51</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39751</v>
      </c>
      <c r="D35" s="1214">
        <v>6.03</v>
      </c>
      <c r="E35" s="1214">
        <v>6.66</v>
      </c>
      <c r="F35" s="1214">
        <v>6.75</v>
      </c>
      <c r="G35" s="1214">
        <v>7.02</v>
      </c>
      <c r="H35" s="1214">
        <v>7.2</v>
      </c>
      <c r="I35" s="1214">
        <v>4.05</v>
      </c>
      <c r="J35" s="1214">
        <v>4.59</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7">
        <v>39748</v>
      </c>
      <c r="D36" s="1214">
        <v>6.12</v>
      </c>
      <c r="E36" s="1214">
        <v>6.93</v>
      </c>
      <c r="F36" s="1214">
        <v>7.02</v>
      </c>
      <c r="G36" s="1214">
        <v>7.29</v>
      </c>
      <c r="H36" s="1214">
        <v>7.47</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39730</v>
      </c>
      <c r="D37" s="1214">
        <v>6.12</v>
      </c>
      <c r="E37" s="1214">
        <v>6.93</v>
      </c>
      <c r="F37" s="1214">
        <v>7.02</v>
      </c>
      <c r="G37" s="1214">
        <v>7.29</v>
      </c>
      <c r="H37" s="1214">
        <v>7.47</v>
      </c>
      <c r="I37" s="1214">
        <v>4.32</v>
      </c>
      <c r="J37" s="1214">
        <v>4.8600000000000003</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39707</v>
      </c>
      <c r="D38" s="1214">
        <v>6.21</v>
      </c>
      <c r="E38" s="1214">
        <v>7.2</v>
      </c>
      <c r="F38" s="1214">
        <v>7.29</v>
      </c>
      <c r="G38" s="1214">
        <v>7.56</v>
      </c>
      <c r="H38" s="1214">
        <v>7.74</v>
      </c>
      <c r="I38" s="1214">
        <v>4.59</v>
      </c>
      <c r="J38" s="1214">
        <v>5.13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39437</v>
      </c>
      <c r="D39" s="1214">
        <v>6.57</v>
      </c>
      <c r="E39" s="1214">
        <v>7.47</v>
      </c>
      <c r="F39" s="1214">
        <v>7.56</v>
      </c>
      <c r="G39" s="1214">
        <v>7.74</v>
      </c>
      <c r="H39" s="1214">
        <v>7.83</v>
      </c>
      <c r="I39" s="1214">
        <v>4.7699999999999996</v>
      </c>
      <c r="J39" s="1214">
        <v>5.22</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39340</v>
      </c>
      <c r="D40" s="1214">
        <v>6.48</v>
      </c>
      <c r="E40" s="1214">
        <v>7.29</v>
      </c>
      <c r="F40" s="1214">
        <v>7.47</v>
      </c>
      <c r="G40" s="1214">
        <v>7.65</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39316</v>
      </c>
      <c r="D41" s="1214">
        <v>6.21</v>
      </c>
      <c r="E41" s="1214">
        <v>7.02</v>
      </c>
      <c r="F41" s="1214">
        <v>7.2</v>
      </c>
      <c r="G41" s="1214">
        <v>7.38</v>
      </c>
      <c r="H41" s="1214">
        <v>7.56</v>
      </c>
      <c r="I41" s="1214">
        <v>4.59</v>
      </c>
      <c r="J41" s="1214">
        <v>5.04</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39284</v>
      </c>
      <c r="D42" s="1214">
        <v>6.03</v>
      </c>
      <c r="E42" s="1214">
        <v>6.84</v>
      </c>
      <c r="F42" s="1214">
        <v>7.02</v>
      </c>
      <c r="G42" s="1214">
        <v>7.2</v>
      </c>
      <c r="H42" s="1214">
        <v>7.38</v>
      </c>
      <c r="I42" s="1214">
        <v>4.5</v>
      </c>
      <c r="J42" s="1214">
        <v>4.95</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39221</v>
      </c>
      <c r="D43" s="1214">
        <v>5.85</v>
      </c>
      <c r="E43" s="1214">
        <v>6.57</v>
      </c>
      <c r="F43" s="1214">
        <v>6.75</v>
      </c>
      <c r="G43" s="1214">
        <v>6.93</v>
      </c>
      <c r="H43" s="1214">
        <v>7.2</v>
      </c>
      <c r="I43" s="1214">
        <v>4.41</v>
      </c>
      <c r="J43" s="1214">
        <v>4.8600000000000003</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39159</v>
      </c>
      <c r="D44" s="1214">
        <v>5.67</v>
      </c>
      <c r="E44" s="1214">
        <v>6.39</v>
      </c>
      <c r="F44" s="1214">
        <v>6.57</v>
      </c>
      <c r="G44" s="1214">
        <v>6.75</v>
      </c>
      <c r="H44" s="1214">
        <v>7.11</v>
      </c>
      <c r="I44" s="1214">
        <v>4.32</v>
      </c>
      <c r="J44" s="1214">
        <v>4.7699999999999996</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38948</v>
      </c>
      <c r="D45" s="1214">
        <v>5.58</v>
      </c>
      <c r="E45" s="1214">
        <v>6.12</v>
      </c>
      <c r="F45" s="1214">
        <v>6.3</v>
      </c>
      <c r="G45" s="1214">
        <v>6.48</v>
      </c>
      <c r="H45" s="1214">
        <v>6.84</v>
      </c>
      <c r="I45" s="1214">
        <v>4.1399999999999997</v>
      </c>
      <c r="J45" s="1214">
        <v>4.59</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38835</v>
      </c>
      <c r="D46" s="1214">
        <v>5.4</v>
      </c>
      <c r="E46" s="1214">
        <v>5.85</v>
      </c>
      <c r="F46" s="1214">
        <v>6.03</v>
      </c>
      <c r="G46" s="1214">
        <v>6.12</v>
      </c>
      <c r="H46" s="1214">
        <v>6.39</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38428</v>
      </c>
      <c r="D47" s="1214">
        <v>5.22</v>
      </c>
      <c r="E47" s="1214">
        <v>5.58</v>
      </c>
      <c r="F47" s="1214">
        <v>5.76</v>
      </c>
      <c r="G47" s="1214">
        <v>5.85</v>
      </c>
      <c r="H47" s="1214">
        <v>6.12</v>
      </c>
      <c r="I47" s="1214">
        <v>3.96</v>
      </c>
      <c r="J47" s="1214">
        <v>4.41</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38289</v>
      </c>
      <c r="D48" s="1214">
        <v>5.22</v>
      </c>
      <c r="E48" s="1214">
        <v>5.58</v>
      </c>
      <c r="F48" s="1214">
        <v>5.76</v>
      </c>
      <c r="G48" s="1214">
        <v>5.85</v>
      </c>
      <c r="H48" s="1214">
        <v>6.12</v>
      </c>
      <c r="I48" s="1214">
        <v>3.78</v>
      </c>
      <c r="J48" s="1214">
        <v>4.2300000000000004</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37308</v>
      </c>
      <c r="D49" s="1214">
        <v>5.04</v>
      </c>
      <c r="E49" s="1214">
        <v>5.31</v>
      </c>
      <c r="F49" s="1214">
        <v>5.49</v>
      </c>
      <c r="G49" s="1214">
        <v>5.58</v>
      </c>
      <c r="H49" s="1214">
        <v>5.76</v>
      </c>
      <c r="I49" s="1214">
        <v>3.6</v>
      </c>
      <c r="J49" s="1214">
        <v>4.05</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36321</v>
      </c>
      <c r="D50" s="1214">
        <v>5.58</v>
      </c>
      <c r="E50" s="1214">
        <v>5.85</v>
      </c>
      <c r="F50" s="1214">
        <v>5.94</v>
      </c>
      <c r="G50" s="1214">
        <v>6.03</v>
      </c>
      <c r="H50" s="1214">
        <v>6.21</v>
      </c>
      <c r="I50" s="1214">
        <v>4.1399999999999997</v>
      </c>
      <c r="J50" s="1214">
        <v>4.59</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36136</v>
      </c>
      <c r="D51" s="1214">
        <v>6.12</v>
      </c>
      <c r="E51" s="1214">
        <v>6.39</v>
      </c>
      <c r="F51" s="1214">
        <v>6.66</v>
      </c>
      <c r="G51" s="1214">
        <v>7.2</v>
      </c>
      <c r="H51" s="1214">
        <v>7.56</v>
      </c>
      <c r="I51" s="1214">
        <v>0</v>
      </c>
      <c r="J51" s="1214">
        <v>0</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35977</v>
      </c>
      <c r="D52" s="1214">
        <v>6.57</v>
      </c>
      <c r="E52" s="1214">
        <v>6.93</v>
      </c>
      <c r="F52" s="1214">
        <v>7.11</v>
      </c>
      <c r="G52" s="1214">
        <v>7.65</v>
      </c>
      <c r="H52" s="1214">
        <v>8.01</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35879</v>
      </c>
      <c r="D53" s="1214">
        <v>7.02</v>
      </c>
      <c r="E53" s="1214">
        <v>7.92</v>
      </c>
      <c r="F53" s="1214">
        <v>9</v>
      </c>
      <c r="G53" s="1214">
        <v>9.7200000000000006</v>
      </c>
      <c r="H53" s="1214">
        <v>10.35</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35726</v>
      </c>
      <c r="D54" s="1214">
        <v>7.65</v>
      </c>
      <c r="E54" s="1214">
        <v>8.64</v>
      </c>
      <c r="F54" s="1214">
        <v>9.36</v>
      </c>
      <c r="G54" s="1214">
        <v>9.9</v>
      </c>
      <c r="H54" s="1214">
        <v>10.53</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35300</v>
      </c>
      <c r="D55" s="1214">
        <v>9.18</v>
      </c>
      <c r="E55" s="1214">
        <v>10.08</v>
      </c>
      <c r="F55" s="1214">
        <v>10.98</v>
      </c>
      <c r="G55" s="1214">
        <v>11.7</v>
      </c>
      <c r="H55" s="1214">
        <v>12.42</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35186</v>
      </c>
      <c r="D56" s="1214">
        <v>9.7200000000000006</v>
      </c>
      <c r="E56" s="1214">
        <v>10.98</v>
      </c>
      <c r="F56" s="1214">
        <v>13.14</v>
      </c>
      <c r="G56" s="1214">
        <v>14.94</v>
      </c>
      <c r="H56" s="1214">
        <v>15.12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34881</v>
      </c>
      <c r="D57" s="1214">
        <v>10.08</v>
      </c>
      <c r="E57" s="1214">
        <v>12.06</v>
      </c>
      <c r="F57" s="1214">
        <v>13.5</v>
      </c>
      <c r="G57" s="1214">
        <v>15.12</v>
      </c>
      <c r="H57" s="1214">
        <v>15.3</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34700</v>
      </c>
      <c r="D58" s="1214">
        <v>9</v>
      </c>
      <c r="E58" s="1214">
        <v>10.98</v>
      </c>
      <c r="F58" s="1214">
        <v>12.96</v>
      </c>
      <c r="G58" s="1214">
        <v>14.58</v>
      </c>
      <c r="H58" s="1214">
        <v>14.76</v>
      </c>
      <c r="I58" s="1214">
        <v>0</v>
      </c>
      <c r="J58" s="1214">
        <v>0</v>
      </c>
    </row>
    <row r="59" spans="2:26">
      <c r="B59" s="1214"/>
      <c r="C59" s="1215">
        <v>34161</v>
      </c>
      <c r="D59" s="1214">
        <v>9</v>
      </c>
      <c r="E59" s="1214">
        <v>10.98</v>
      </c>
      <c r="F59" s="1214">
        <v>12.24</v>
      </c>
      <c r="G59" s="1214">
        <v>13.86</v>
      </c>
      <c r="H59" s="1214">
        <v>14.04</v>
      </c>
      <c r="I59" s="1214">
        <v>0</v>
      </c>
      <c r="J59" s="1214">
        <v>0</v>
      </c>
    </row>
    <row r="60" spans="2:26">
      <c r="B60" s="1214"/>
      <c r="C60" s="1215">
        <v>34104</v>
      </c>
      <c r="D60" s="1214">
        <v>8.82</v>
      </c>
      <c r="E60" s="1214">
        <v>9.36</v>
      </c>
      <c r="F60" s="1214">
        <v>10.8</v>
      </c>
      <c r="G60" s="1214">
        <v>12.06</v>
      </c>
      <c r="H60" s="1214">
        <v>12.24</v>
      </c>
      <c r="I60" s="1214">
        <v>0</v>
      </c>
      <c r="J60" s="1214">
        <v>0</v>
      </c>
    </row>
    <row r="61" spans="2:26">
      <c r="B61" s="1214"/>
      <c r="C61" s="1215">
        <v>33349</v>
      </c>
      <c r="D61" s="1214">
        <v>8.1</v>
      </c>
      <c r="E61" s="1214">
        <v>8.64</v>
      </c>
      <c r="F61" s="1214">
        <v>9</v>
      </c>
      <c r="G61" s="1214">
        <v>9.5399999999999991</v>
      </c>
      <c r="H61" s="1214">
        <v>9.7200000000000006</v>
      </c>
      <c r="I61" s="1214">
        <v>0</v>
      </c>
      <c r="J61" s="1214">
        <v>0</v>
      </c>
    </row>
    <row r="62" spans="2:26">
      <c r="B62" s="1214"/>
      <c r="C62" s="1215">
        <v>33318</v>
      </c>
      <c r="D62" s="1214">
        <v>9</v>
      </c>
      <c r="E62" s="1214">
        <v>10.08</v>
      </c>
      <c r="F62" s="1214">
        <v>10.8</v>
      </c>
      <c r="G62" s="1214">
        <v>11.52</v>
      </c>
      <c r="H62" s="1214">
        <v>11.88</v>
      </c>
      <c r="I62" s="1214" t="s">
        <v>965</v>
      </c>
      <c r="J62" s="1214" t="s">
        <v>965</v>
      </c>
    </row>
    <row r="63" spans="2:26">
      <c r="B63" s="1214"/>
      <c r="C63" s="1215">
        <v>33106</v>
      </c>
      <c r="D63" s="1214">
        <v>8.64</v>
      </c>
      <c r="E63" s="1214">
        <v>9.36</v>
      </c>
      <c r="F63" s="1214">
        <v>10.08</v>
      </c>
      <c r="G63" s="1214">
        <v>10.8</v>
      </c>
      <c r="H63" s="1214">
        <v>11.16</v>
      </c>
      <c r="I63" s="1214">
        <v>0</v>
      </c>
      <c r="J63" s="1214">
        <v>0</v>
      </c>
    </row>
    <row r="64" spans="2:26">
      <c r="B64" s="1214"/>
      <c r="C64" s="1215">
        <v>32540</v>
      </c>
      <c r="D64" s="1214">
        <v>11.34</v>
      </c>
      <c r="E64" s="1214">
        <v>11.34</v>
      </c>
      <c r="F64" s="1214">
        <v>12.78</v>
      </c>
      <c r="G64" s="1214">
        <v>14.4</v>
      </c>
      <c r="H64" s="1214">
        <v>19.260000000000002</v>
      </c>
      <c r="I64" s="1214">
        <v>0</v>
      </c>
      <c r="J64" s="1214">
        <v>0</v>
      </c>
    </row>
    <row r="65" spans="2:10">
      <c r="B65" s="1214"/>
      <c r="C65" s="1215"/>
      <c r="D65" s="1214"/>
      <c r="E65" s="1214"/>
      <c r="F65" s="1214"/>
      <c r="G65" s="1214"/>
      <c r="H65" s="1214"/>
      <c r="I65" s="1214"/>
      <c r="J65" s="1214"/>
    </row>
    <row r="66" spans="2:10">
      <c r="B66" s="1218"/>
      <c r="C66" s="1219"/>
      <c r="D66" s="1218"/>
      <c r="E66" s="1218"/>
      <c r="F66" s="1218"/>
      <c r="G66" s="1218"/>
      <c r="H66" s="1218"/>
      <c r="I66" s="1218"/>
      <c r="J66" s="1218"/>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165"/>
      <c r="C69" s="1165"/>
      <c r="D69" s="1165"/>
      <c r="E69" s="1165"/>
      <c r="F69" s="1165"/>
      <c r="G69" s="1165"/>
      <c r="H69" s="1165"/>
      <c r="I69" s="1165"/>
      <c r="J69" s="1165"/>
    </row>
    <row r="70" spans="2:10">
      <c r="B70" s="1165"/>
      <c r="C70" s="1165"/>
      <c r="D70" s="1165"/>
      <c r="E70" s="1165"/>
      <c r="F70" s="1165"/>
      <c r="G70" s="1165"/>
      <c r="H70" s="1165"/>
      <c r="I70" s="1165"/>
      <c r="J70"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89"/>
      <c r="B3" s="1289"/>
      <c r="C3" s="1289"/>
      <c r="D3" s="1289"/>
      <c r="E3" s="1289"/>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6"/>
      <c r="B5" s="1290" t="s">
        <v>562</v>
      </c>
      <c r="C5" s="3330" t="s">
        <v>593</v>
      </c>
      <c r="D5" s="3331"/>
      <c r="E5" s="1286"/>
    </row>
    <row r="6" spans="1:5" ht="14.25">
      <c r="A6" s="1286"/>
      <c r="B6" s="1291" t="str">
        <f>项目基本情况!I1</f>
        <v>北京市房地产</v>
      </c>
      <c r="C6" s="3332">
        <f>项目基本情况!C12</f>
        <v>497.23</v>
      </c>
      <c r="D6" s="3332"/>
      <c r="E6" s="1286"/>
    </row>
    <row r="7" spans="1:5" ht="14.25">
      <c r="A7" s="1286"/>
      <c r="B7" s="3326" t="s">
        <v>594</v>
      </c>
      <c r="C7" s="1292" t="str">
        <f>IF('数据-取费表'!B3="万元","总价（万元）","总价（元）")</f>
        <v>总价（万元）</v>
      </c>
      <c r="D7" s="1293">
        <f>IF('数据-取费表'!E3="否",结果表!I102,'结果表 (1修多)'!I104)</f>
        <v>0</v>
      </c>
      <c r="E7" s="1286"/>
    </row>
    <row r="8" spans="1:5" ht="14.25">
      <c r="A8" s="1286"/>
      <c r="B8" s="3326"/>
      <c r="C8" s="1294" t="s">
        <v>924</v>
      </c>
      <c r="D8" s="1295" t="str">
        <f>IF('数据-取费表'!B3="万元",NUMBERSTRING(INT(D7*10000),2)&amp;"元整",NUMBERSTRING(INT(D7),2)&amp;"元整")</f>
        <v>零元整</v>
      </c>
      <c r="E8" s="1286"/>
    </row>
    <row r="9" spans="1:5" ht="14.25">
      <c r="A9" s="1286"/>
      <c r="B9" s="3326"/>
      <c r="C9" s="1296" t="s">
        <v>1020</v>
      </c>
      <c r="D9" s="1293" t="e">
        <f>IF('数据-取费表'!E3="否",结果表!I103,'结果表 (1修多)'!I105)</f>
        <v>#DIV/0!</v>
      </c>
      <c r="E9" s="1286"/>
    </row>
    <row r="10" spans="1:5" ht="14.25">
      <c r="A10" s="1286"/>
      <c r="B10" s="3333"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3"/>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3" t="str">
        <f>IF('数据-取费表'!E3="否",结果表!F110,'结果表 (1修多)'!F112)</f>
        <v>3.房地产抵押价值</v>
      </c>
      <c r="C15" s="1287" t="str">
        <f>C7</f>
        <v>总价（万元）</v>
      </c>
      <c r="D15" s="1293">
        <f>IF('数据-取费表'!E3="否",结果表!I110,'结果表 (1修多)'!I112)</f>
        <v>0</v>
      </c>
      <c r="E15" s="1286"/>
    </row>
    <row r="16" spans="1:5" ht="14.25">
      <c r="A16" s="1286"/>
      <c r="B16" s="3333"/>
      <c r="C16" s="1294" t="s">
        <v>924</v>
      </c>
      <c r="D16" s="1293" t="str">
        <f>IF('数据-取费表'!B3="万元",NUMBERSTRING(INT(D15*10000),2)&amp;"元整",NUMBERSTRING(INT(D15),2)&amp;"元整")</f>
        <v>零元整</v>
      </c>
      <c r="E16" s="1286"/>
    </row>
    <row r="17" spans="1:5" ht="14.25">
      <c r="A17" s="1286"/>
      <c r="B17" s="3333"/>
      <c r="C17" s="1296" t="s">
        <v>1020</v>
      </c>
      <c r="D17" s="1293" t="e">
        <f>IF('数据-取费表'!E3="否",结果表!I111,'结果表 (1修多)'!I113)</f>
        <v>#DIV/0!</v>
      </c>
      <c r="E17" s="1286"/>
    </row>
    <row r="18" spans="1:5" ht="14.25">
      <c r="A18" s="1286"/>
      <c r="B18" s="3333" t="str">
        <f>IF('数据-取费表'!E3="否",结果表!F112,'结果表 (1修多)'!F114)</f>
        <v>——</v>
      </c>
      <c r="C18" s="1287" t="str">
        <f>C7</f>
        <v>总价（万元）</v>
      </c>
      <c r="D18" s="1293" t="str">
        <f>IF('数据-取费表'!E3="否",结果表!I112,'结果表 (1修多)'!I114)</f>
        <v>——</v>
      </c>
      <c r="E18" s="1286"/>
    </row>
    <row r="19" spans="1:5" ht="14.25">
      <c r="A19" s="1286"/>
      <c r="B19" s="3333"/>
      <c r="C19" s="1294" t="s">
        <v>924</v>
      </c>
      <c r="D19" s="1293" t="e">
        <f>IF('数据-取费表'!B3="万元",NUMBERSTRING(INT(D18*10000),2)&amp;"元整",NUMBERSTRING(INT(D18),2)&amp;"元整")</f>
        <v>#VALUE!</v>
      </c>
      <c r="E19" s="1286"/>
    </row>
    <row r="20" spans="1:5" ht="14.25">
      <c r="A20" s="1286"/>
      <c r="B20" s="3333"/>
      <c r="C20" s="1296" t="s">
        <v>1020</v>
      </c>
      <c r="D20" s="1293" t="str">
        <f>IF('数据-取费表'!E3="否",结果表!I113,'结果表 (1修多)'!I115)</f>
        <v>——</v>
      </c>
      <c r="E20" s="1286"/>
    </row>
    <row r="21" spans="1:5" ht="14.25">
      <c r="A21" s="1286"/>
      <c r="B21" s="3326" t="str">
        <f>IF('数据-取费表'!E3="否",结果表!F114,'结果表 (1修多)'!F116)</f>
        <v>——</v>
      </c>
      <c r="C21" s="1292" t="str">
        <f>C7</f>
        <v>总价（万元）</v>
      </c>
      <c r="D21" s="1293" t="str">
        <f>IF('数据-取费表'!E3="否",结果表!I114,'结果表 (1修多)'!I116)</f>
        <v>——</v>
      </c>
      <c r="E21" s="1286"/>
    </row>
    <row r="22" spans="1:5" ht="14.25">
      <c r="A22" s="1286"/>
      <c r="B22" s="3326"/>
      <c r="C22" s="1294" t="s">
        <v>924</v>
      </c>
      <c r="D22" s="1295" t="e">
        <f>IF('数据-取费表'!B3="万元",NUMBERSTRING(INT(D21*10000),2)&amp;"元整",NUMBERSTRING(INT(D21),2)&amp;"元整")</f>
        <v>#VALUE!</v>
      </c>
      <c r="E22" s="1286"/>
    </row>
    <row r="23" spans="1:5" ht="15" thickBot="1">
      <c r="A23" s="1286"/>
      <c r="B23" s="3327"/>
      <c r="C23" s="1301" t="s">
        <v>1020</v>
      </c>
      <c r="D23" s="1302" t="str">
        <f>IF('数据-取费表'!E3="否",结果表!I115,'结果表 (1修多)'!I117)</f>
        <v>——</v>
      </c>
      <c r="E23" s="1286"/>
    </row>
    <row r="24" spans="1:5" ht="14.25" thickTop="1">
      <c r="A24" s="1286"/>
      <c r="B24" s="1286"/>
      <c r="C24" s="1286"/>
      <c r="D24" s="1286"/>
      <c r="E24" s="1286"/>
    </row>
    <row r="25" spans="1:5" ht="18.75" customHeight="1" thickBot="1">
      <c r="A25" s="1286"/>
      <c r="B25" s="3341" t="s">
        <v>1021</v>
      </c>
      <c r="C25" s="3341"/>
      <c r="D25" s="3341"/>
      <c r="E25" s="1286"/>
    </row>
    <row r="26" spans="1:5" ht="18.75" customHeight="1" thickTop="1">
      <c r="A26" s="1286"/>
      <c r="B26" s="3344" t="s">
        <v>923</v>
      </c>
      <c r="C26" s="3345"/>
      <c r="D26" s="3342" t="s">
        <v>922</v>
      </c>
      <c r="E26" s="1286"/>
    </row>
    <row r="27" spans="1:5" ht="18.75" customHeight="1">
      <c r="A27" s="1286"/>
      <c r="B27" s="3346"/>
      <c r="C27" s="3347"/>
      <c r="D27" s="3343"/>
      <c r="E27" s="1286"/>
    </row>
    <row r="28" spans="1:5" ht="14.25">
      <c r="A28" s="1286"/>
      <c r="B28" s="3334" t="s">
        <v>594</v>
      </c>
      <c r="C28" s="1303" t="s">
        <v>925</v>
      </c>
      <c r="D28" s="1304">
        <f>IF('数据-取费表'!E3="否",结果表!I102,'结果表 (1修多)'!I104)</f>
        <v>0</v>
      </c>
      <c r="E28" s="1286"/>
    </row>
    <row r="29" spans="1:5" ht="14.25">
      <c r="A29" s="1286"/>
      <c r="B29" s="3335"/>
      <c r="C29" s="1305" t="s">
        <v>924</v>
      </c>
      <c r="D29" s="1306" t="str">
        <f>IF('数据-取费表'!B3="万元",NUMBERSTRING(INT(D28*10000),2)&amp;"元整",NUMBERSTRING(INT(D28),2)&amp;"元整")</f>
        <v>零元整</v>
      </c>
      <c r="E29" s="1286"/>
    </row>
    <row r="30" spans="1:5" ht="14.25">
      <c r="A30" s="1286"/>
      <c r="B30" s="3336"/>
      <c r="C30" s="1296" t="s">
        <v>927</v>
      </c>
      <c r="D30" s="1307" t="e">
        <f>IF('数据-取费表'!E3="否",结果表!I103,'结果表 (1修多)'!I105)</f>
        <v>#DIV/0!</v>
      </c>
      <c r="E30" s="1286"/>
    </row>
    <row r="31" spans="1:5" ht="14.25">
      <c r="A31" s="1286"/>
      <c r="B31" s="3339" t="str">
        <f>B10</f>
        <v>2.估价师所知悉的法定优先受偿款</v>
      </c>
      <c r="C31" s="1308" t="s">
        <v>926</v>
      </c>
      <c r="D31" s="1309">
        <f>IF('数据-取费表'!E3="否",结果表!I105,'结果表 (1修多)'!I107)</f>
        <v>0</v>
      </c>
      <c r="E31" s="1286"/>
    </row>
    <row r="32" spans="1:5" ht="14.25">
      <c r="A32" s="1286"/>
      <c r="B32" s="334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7" t="str">
        <f>B15</f>
        <v>3.房地产抵押价值</v>
      </c>
      <c r="C36" s="1308" t="str">
        <f>C28</f>
        <v>总价</v>
      </c>
      <c r="D36" s="1309">
        <f>IF('数据-取费表'!E3="否",结果表!I110,'结果表 (1修多)'!I112)</f>
        <v>0</v>
      </c>
      <c r="E36" s="1286"/>
    </row>
    <row r="37" spans="1:5" ht="14.25">
      <c r="A37" s="1286"/>
      <c r="B37" s="3337"/>
      <c r="C37" s="1305" t="s">
        <v>924</v>
      </c>
      <c r="D37" s="1310" t="str">
        <f>IF('数据-取费表'!B3="万元",NUMBERSTRING(INT(D36*10000),2)&amp;"元整",NUMBERSTRING(INT(D36),2)&amp;"元整")</f>
        <v>零元整</v>
      </c>
      <c r="E37" s="1286"/>
    </row>
    <row r="38" spans="1:5" ht="14.25">
      <c r="A38" s="1286"/>
      <c r="B38" s="3337"/>
      <c r="C38" s="1296" t="s">
        <v>928</v>
      </c>
      <c r="D38" s="1307" t="e">
        <f>IF('数据-取费表'!E3="否",结果表!D113,'结果表 (1修多)'!D117)</f>
        <v>#DIV/0!</v>
      </c>
      <c r="E38" s="1286"/>
    </row>
    <row r="39" spans="1:5" ht="14.25">
      <c r="A39" s="1286"/>
      <c r="B39" s="3338" t="str">
        <f>B18</f>
        <v>——</v>
      </c>
      <c r="C39" s="1308" t="str">
        <f>C28</f>
        <v>总价</v>
      </c>
      <c r="D39" s="1309" t="str">
        <f>IF('数据-取费表'!E3="否",结果表!I112,'结果表 (1修多)'!I114)</f>
        <v>——</v>
      </c>
      <c r="E39" s="1286"/>
    </row>
    <row r="40" spans="1:5" ht="14.25">
      <c r="A40" s="1286"/>
      <c r="B40" s="3338"/>
      <c r="C40" s="1305" t="s">
        <v>924</v>
      </c>
      <c r="D40" s="1310" t="e">
        <f>IF('数据-取费表'!B3="万元",NUMBERSTRING(INT(D39*10000),2)&amp;"元整",NUMBERSTRING(INT(D39),2)&amp;"元整")</f>
        <v>#VALUE!</v>
      </c>
      <c r="E40" s="1286"/>
    </row>
    <row r="41" spans="1:5" ht="14.25">
      <c r="A41" s="1286"/>
      <c r="B41" s="3338"/>
      <c r="C41" s="1296" t="s">
        <v>928</v>
      </c>
      <c r="D41" s="1307" t="str">
        <f>IF('数据-取费表'!E3="否",结果表!D115,'结果表 (1修多)'!D119)</f>
        <v>——</v>
      </c>
      <c r="E41" s="1286"/>
    </row>
    <row r="42" spans="1:5" ht="14.25">
      <c r="A42" s="1286"/>
      <c r="B42" s="3337" t="str">
        <f>B21</f>
        <v>——</v>
      </c>
      <c r="C42" s="1308" t="str">
        <f>C28</f>
        <v>总价</v>
      </c>
      <c r="D42" s="1309" t="str">
        <f>IF('数据-取费表'!E3="否",结果表!I114,'结果表 (1修多)'!I116)</f>
        <v>——</v>
      </c>
      <c r="E42" s="1286"/>
    </row>
    <row r="43" spans="1:5" ht="14.25">
      <c r="A43" s="1286"/>
      <c r="B43" s="3339"/>
      <c r="C43" s="1305" t="s">
        <v>924</v>
      </c>
      <c r="D43" s="1311" t="e">
        <f>IF('数据-取费表'!B3="万元",NUMBERSTRING(INT(D42*10000),2)&amp;"元整",NUMBERSTRING(INT(D42),2)&amp;"元整")</f>
        <v>#VALUE!</v>
      </c>
      <c r="E43" s="1286"/>
    </row>
    <row r="44" spans="1:5" ht="15" thickBot="1">
      <c r="A44" s="1286"/>
      <c r="B44" s="3340"/>
      <c r="C44" s="1301" t="s">
        <v>928</v>
      </c>
      <c r="D44" s="1312" t="str">
        <f>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497.23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1" t="s">
        <v>1030</v>
      </c>
      <c r="B5" s="3351"/>
      <c r="C5" s="3351"/>
      <c r="D5" s="3349" t="str">
        <f>IF('数据-取费表'!E3="否",结果表!D122,'结果表 (1修多)'!D126)</f>
        <v>零元整</v>
      </c>
      <c r="E5" s="3349"/>
      <c r="F5" s="3349" t="str">
        <f>IF('数据-取费表'!E3="否",结果表!F122,'结果表 (1修多)'!F126)</f>
        <v>零元整</v>
      </c>
      <c r="G5" s="3349"/>
      <c r="H5" s="3349" t="str">
        <f>IF('数据-取费表'!E3="否",结果表!H122,'结果表 (1修多)'!H126)</f>
        <v>零元整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IF('数据-取费表'!E3="否",结果表!D125,'结果表 (1修多)'!D129)</f>
        <v>0</v>
      </c>
      <c r="E8" s="3350"/>
      <c r="F8" s="3350"/>
      <c r="G8" s="3350"/>
      <c r="H8" s="3350"/>
      <c r="I8" s="3350"/>
    </row>
    <row r="9" spans="1:9" ht="15">
      <c r="A9" s="3351" t="s">
        <v>1030</v>
      </c>
      <c r="B9" s="3351"/>
      <c r="C9" s="3351"/>
      <c r="D9" s="3349" t="e">
        <f>IF('数据-取费表'!E3="否",结果表!D126,'结果表 (1修多)'!D130)</f>
        <v>#DIV/0!</v>
      </c>
      <c r="E9" s="3349"/>
      <c r="F9" s="3349"/>
      <c r="G9" s="3349"/>
      <c r="H9" s="3349"/>
      <c r="I9" s="3349"/>
    </row>
    <row r="10" spans="1:9" ht="15.75">
      <c r="A10" s="3350" t="str">
        <f>IF('数据-取费表'!E3="否",结果表!A127,'结果表 (1修多)'!A131)</f>
        <v/>
      </c>
      <c r="B10" s="3350"/>
      <c r="C10" s="3350"/>
      <c r="D10" s="3350" t="e">
        <f>IF('数据-取费表'!E3="否",结果表!D127,'结果表 (1修多)'!D130)</f>
        <v>#DIV/0!</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4" t="s">
        <v>1043</v>
      </c>
      <c r="B1" s="3364"/>
      <c r="C1" s="3364"/>
      <c r="D1" s="3364"/>
    </row>
    <row r="2" spans="1:4" ht="18">
      <c r="A2" s="3363" t="s">
        <v>1032</v>
      </c>
      <c r="B2" s="3363"/>
      <c r="C2" s="3363"/>
      <c r="D2" s="3363"/>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3" t="s">
        <v>1037</v>
      </c>
      <c r="B7" s="3363"/>
      <c r="C7" s="3363"/>
      <c r="D7" s="3363"/>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0" t="s">
        <v>2493</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2494</v>
      </c>
      <c r="B20" s="3361"/>
      <c r="C20" s="3361"/>
      <c r="D20" s="3361"/>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39" t="s">
        <v>1129</v>
      </c>
      <c r="B19" s="1340"/>
      <c r="C19" s="1341"/>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2" t="s">
        <v>1135</v>
      </c>
    </row>
    <row r="24" spans="1:3" ht="14.25">
      <c r="A24" s="3368"/>
      <c r="B24" s="3369"/>
      <c r="C24" s="1342" t="s">
        <v>1136</v>
      </c>
    </row>
    <row r="25" spans="1:3" ht="14.25">
      <c r="A25" s="3368"/>
      <c r="B25" s="3369"/>
      <c r="C25" s="1342" t="s">
        <v>1137</v>
      </c>
    </row>
    <row r="26" spans="1:3" ht="14.25">
      <c r="A26" s="3368"/>
      <c r="B26" s="3369"/>
      <c r="C26" s="1342" t="s">
        <v>1138</v>
      </c>
    </row>
    <row r="27" spans="1:3" ht="14.25">
      <c r="A27" s="3368"/>
      <c r="B27" s="3369"/>
      <c r="C27" s="1342" t="s">
        <v>1139</v>
      </c>
    </row>
    <row r="28" spans="1:3" ht="14.25">
      <c r="A28" s="3368"/>
      <c r="B28" s="3369"/>
      <c r="C28" s="1342" t="s">
        <v>1140</v>
      </c>
    </row>
    <row r="29" spans="1:3" ht="14.25">
      <c r="A29" s="3368"/>
      <c r="B29" s="3369"/>
      <c r="C29" s="1342" t="s">
        <v>1141</v>
      </c>
    </row>
    <row r="30" spans="1:3" ht="14.25">
      <c r="A30" s="3368"/>
      <c r="B30" s="3369"/>
      <c r="C30" s="1342" t="s">
        <v>1142</v>
      </c>
    </row>
    <row r="31" spans="1:3" ht="14.25">
      <c r="A31" s="3368"/>
      <c r="B31" s="336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44676</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2486</v>
      </c>
      <c r="B14" s="1229">
        <f ca="1">IF(C14&lt;B2,"已过期",1119980106)</f>
        <v>1119980106</v>
      </c>
      <c r="C14" s="2990">
        <v>44969</v>
      </c>
      <c r="D14" s="2997" t="str">
        <f t="shared" ca="1" si="0"/>
        <v>刘俊财（注册号：1119980106）</v>
      </c>
      <c r="E14" s="2999" t="s">
        <v>2586</v>
      </c>
      <c r="F14" s="1229">
        <f ca="1">IF(G14&lt;B2,"已过期",96010063)</f>
        <v>96010063</v>
      </c>
      <c r="G14" s="2988">
        <v>47483</v>
      </c>
      <c r="H14" s="2989" t="str">
        <f t="shared" ca="1" si="1"/>
        <v>刘俊财（注册号：96010063）</v>
      </c>
    </row>
    <row r="15" spans="1:8" ht="24" customHeight="1">
      <c r="A15" s="1229" t="s">
        <v>2798</v>
      </c>
      <c r="B15" s="1229">
        <v>1120210056</v>
      </c>
      <c r="C15" s="2990">
        <v>45410</v>
      </c>
      <c r="D15" s="2997" t="str">
        <f t="shared" ref="D15" si="2">A15&amp;"（注册号："&amp;B15&amp;"）"</f>
        <v>宁小鳗（注册号：1120210056）</v>
      </c>
      <c r="E15" s="2999" t="s">
        <v>2589</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6"/>
      <c r="E18" s="3375" t="s">
        <v>584</v>
      </c>
      <c r="F18" s="3374"/>
      <c r="G18" s="3374"/>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2587</v>
      </c>
      <c r="B20" s="2993" t="s">
        <v>2588</v>
      </c>
      <c r="C20" s="2988">
        <v>44820</v>
      </c>
      <c r="D20" s="3000"/>
      <c r="E20" s="3002" t="s">
        <v>588</v>
      </c>
      <c r="F20" s="2995" t="s">
        <v>2799</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2787</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2022-04-25T08:39:00Z</dcterms:modified>
</cp:coreProperties>
</file>