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I31" l="1"/>
  <c r="L30"/>
  <c r="K31" s="1"/>
  <c r="I24"/>
  <c r="N29" s="1"/>
  <c r="E20" s="1"/>
  <c r="AH5" i="59" l="1"/>
  <c r="AG5"/>
  <c r="AE5"/>
  <c r="AF5" s="1"/>
  <c r="AD5"/>
  <c r="Q5"/>
  <c r="P5"/>
  <c r="O5"/>
  <c r="N5"/>
  <c r="L3" l="1"/>
  <c r="K3"/>
  <c r="J3"/>
  <c r="I3"/>
  <c r="AH6" l="1"/>
  <c r="AG6"/>
  <c r="AE6"/>
  <c r="AF6" s="1"/>
  <c r="AD6"/>
  <c r="Q6" l="1"/>
  <c r="P6"/>
  <c r="O6"/>
  <c r="N6"/>
  <c r="Q7"/>
  <c r="P7"/>
  <c r="O7"/>
  <c r="N7"/>
  <c r="D7"/>
  <c r="E6" l="1"/>
  <c r="U6" s="1"/>
  <c r="F6"/>
  <c r="E5"/>
  <c r="C6"/>
  <c r="T6" s="1"/>
  <c r="B6"/>
  <c r="S6" s="1"/>
  <c r="A2" i="50"/>
  <c r="F5" i="59" l="1"/>
  <c r="V6"/>
  <c r="B5"/>
  <c r="D6"/>
  <c r="C5"/>
  <c r="D5" s="1"/>
  <c r="P59" i="15" l="1"/>
  <c r="K60"/>
  <c r="P72" s="1"/>
  <c r="A126" i="57" l="1"/>
  <c r="A123" i="9"/>
  <c r="A16" i="54"/>
  <c r="A14"/>
  <c r="A19" i="55" l="1"/>
  <c r="A13"/>
  <c r="A1" i="52"/>
  <c r="A4" i="50"/>
  <c r="P8" i="59" l="1"/>
  <c r="O8"/>
  <c r="N8"/>
  <c r="Q8"/>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9" i="59" l="1"/>
  <c r="P9"/>
  <c r="Q9"/>
  <c r="N9"/>
  <c r="AD3" l="1"/>
  <c r="AE3"/>
  <c r="AF3" s="1"/>
  <c r="AG3"/>
  <c r="AH3"/>
  <c r="AD7"/>
  <c r="AE7"/>
  <c r="AF7" s="1"/>
  <c r="AG7"/>
  <c r="AH7"/>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s="1"/>
  <c r="AG15"/>
  <c r="AH15"/>
  <c r="AD16"/>
  <c r="AE16"/>
  <c r="AF16" s="1"/>
  <c r="AG16"/>
  <c r="AH16"/>
  <c r="AD17"/>
  <c r="AE17"/>
  <c r="AF17"/>
  <c r="AG17"/>
  <c r="AH17"/>
  <c r="AD18"/>
  <c r="AE18"/>
  <c r="AF18" s="1"/>
  <c r="AG18"/>
  <c r="AH18"/>
  <c r="AD19"/>
  <c r="AE19"/>
  <c r="AF19" s="1"/>
  <c r="AG19"/>
  <c r="AH19"/>
  <c r="AD20"/>
  <c r="AE20"/>
  <c r="AF20" s="1"/>
  <c r="AG20"/>
  <c r="AH20"/>
  <c r="AH21"/>
  <c r="AG21"/>
  <c r="AE21"/>
  <c r="AF21" s="1"/>
  <c r="AD21"/>
  <c r="AD22"/>
  <c r="AE22"/>
  <c r="AF22" s="1"/>
  <c r="AG22"/>
  <c r="AH22"/>
  <c r="S5" i="31" l="1"/>
  <c r="M5"/>
  <c r="N5"/>
  <c r="O5"/>
  <c r="P5"/>
  <c r="Q5"/>
  <c r="R5"/>
  <c r="C1" i="61" l="1"/>
  <c r="L1" s="1"/>
  <c r="F7"/>
  <c r="J1" l="1"/>
  <c r="B68" i="60"/>
  <c r="F4" i="61"/>
  <c r="D4"/>
  <c r="F3"/>
  <c r="D3"/>
  <c r="F5"/>
  <c r="D6"/>
  <c r="F6"/>
  <c r="D7"/>
  <c r="D5"/>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Q62"/>
  <c r="P62"/>
  <c r="O62"/>
  <c r="N62"/>
  <c r="F62"/>
  <c r="V62" s="1"/>
  <c r="E62"/>
  <c r="U62" s="1"/>
  <c r="C62"/>
  <c r="T62" s="1"/>
  <c r="B62"/>
  <c r="S62" s="1"/>
  <c r="Q61"/>
  <c r="P61"/>
  <c r="O61"/>
  <c r="N61"/>
  <c r="F61"/>
  <c r="F60" s="1"/>
  <c r="B61"/>
  <c r="B60" s="1"/>
  <c r="Q60"/>
  <c r="P60"/>
  <c r="O60"/>
  <c r="N60"/>
  <c r="Q59"/>
  <c r="P59"/>
  <c r="O59"/>
  <c r="N59"/>
  <c r="D59"/>
  <c r="Q58"/>
  <c r="P58"/>
  <c r="O58"/>
  <c r="N58"/>
  <c r="F58"/>
  <c r="V58" s="1"/>
  <c r="E58"/>
  <c r="U58" s="1"/>
  <c r="C58"/>
  <c r="T58" s="1"/>
  <c r="B58"/>
  <c r="S58" s="1"/>
  <c r="Q57"/>
  <c r="P57"/>
  <c r="O57"/>
  <c r="N57"/>
  <c r="F57"/>
  <c r="F56" s="1"/>
  <c r="B57"/>
  <c r="B56" s="1"/>
  <c r="Q56"/>
  <c r="P56"/>
  <c r="O56"/>
  <c r="N56"/>
  <c r="Q55"/>
  <c r="P55"/>
  <c r="O55"/>
  <c r="N55"/>
  <c r="D55"/>
  <c r="Q54"/>
  <c r="P54"/>
  <c r="O54"/>
  <c r="N54"/>
  <c r="F54"/>
  <c r="V54" s="1"/>
  <c r="E54"/>
  <c r="C54"/>
  <c r="B54"/>
  <c r="S54" s="1"/>
  <c r="Q53"/>
  <c r="P53"/>
  <c r="O53"/>
  <c r="N53"/>
  <c r="F53"/>
  <c r="F52" s="1"/>
  <c r="B53"/>
  <c r="B52" s="1"/>
  <c r="Q52"/>
  <c r="P52"/>
  <c r="O52"/>
  <c r="N52"/>
  <c r="Q51"/>
  <c r="P51"/>
  <c r="O51"/>
  <c r="N51"/>
  <c r="D51"/>
  <c r="F50"/>
  <c r="V50" s="1"/>
  <c r="E50"/>
  <c r="E49" s="1"/>
  <c r="P49" s="1"/>
  <c r="C50"/>
  <c r="B50"/>
  <c r="S50" s="1"/>
  <c r="F49"/>
  <c r="F48" s="1"/>
  <c r="Q48" s="1"/>
  <c r="B49"/>
  <c r="D47"/>
  <c r="Q46"/>
  <c r="P46"/>
  <c r="O46"/>
  <c r="N46"/>
  <c r="Q45"/>
  <c r="P45"/>
  <c r="O45"/>
  <c r="N45"/>
  <c r="Q44"/>
  <c r="P44"/>
  <c r="O44"/>
  <c r="N44"/>
  <c r="E44"/>
  <c r="Q43"/>
  <c r="F44" s="1"/>
  <c r="F45" s="1"/>
  <c r="F46" s="1"/>
  <c r="V46" s="1"/>
  <c r="P43"/>
  <c r="O43"/>
  <c r="C44" s="1"/>
  <c r="N43"/>
  <c r="B44" s="1"/>
  <c r="B45" s="1"/>
  <c r="D43"/>
  <c r="Q42"/>
  <c r="P42"/>
  <c r="O42"/>
  <c r="N42"/>
  <c r="Q41"/>
  <c r="P41"/>
  <c r="O41"/>
  <c r="N41"/>
  <c r="Q40"/>
  <c r="P40"/>
  <c r="O40"/>
  <c r="N40"/>
  <c r="E40"/>
  <c r="Q39"/>
  <c r="F40" s="1"/>
  <c r="F41" s="1"/>
  <c r="F42" s="1"/>
  <c r="V42" s="1"/>
  <c r="P39"/>
  <c r="O39"/>
  <c r="C40" s="1"/>
  <c r="N39"/>
  <c r="B40" s="1"/>
  <c r="B41" s="1"/>
  <c r="B42" s="1"/>
  <c r="S42" s="1"/>
  <c r="D39"/>
  <c r="Q38"/>
  <c r="P38"/>
  <c r="O38"/>
  <c r="N38"/>
  <c r="Q37"/>
  <c r="P37"/>
  <c r="O37"/>
  <c r="N37"/>
  <c r="Q36"/>
  <c r="P36"/>
  <c r="O36"/>
  <c r="N36"/>
  <c r="Q35"/>
  <c r="F36" s="1"/>
  <c r="F37" s="1"/>
  <c r="F38" s="1"/>
  <c r="V38" s="1"/>
  <c r="P35"/>
  <c r="E36" s="1"/>
  <c r="O35"/>
  <c r="C36" s="1"/>
  <c r="N35"/>
  <c r="B36" s="1"/>
  <c r="B37" s="1"/>
  <c r="B38" s="1"/>
  <c r="S38" s="1"/>
  <c r="D35"/>
  <c r="Q34"/>
  <c r="P34"/>
  <c r="O34"/>
  <c r="N34"/>
  <c r="Q33"/>
  <c r="P33"/>
  <c r="O33"/>
  <c r="N33"/>
  <c r="Q32"/>
  <c r="P32"/>
  <c r="O32"/>
  <c r="N32"/>
  <c r="Q31"/>
  <c r="F32" s="1"/>
  <c r="F33" s="1"/>
  <c r="F34" s="1"/>
  <c r="V34" s="1"/>
  <c r="P31"/>
  <c r="E32" s="1"/>
  <c r="E33" s="1"/>
  <c r="E34" s="1"/>
  <c r="U34" s="1"/>
  <c r="O31"/>
  <c r="C32" s="1"/>
  <c r="N31"/>
  <c r="B32" s="1"/>
  <c r="B33" s="1"/>
  <c r="B34" s="1"/>
  <c r="S34" s="1"/>
  <c r="D31"/>
  <c r="T30"/>
  <c r="Q30"/>
  <c r="P30"/>
  <c r="O30"/>
  <c r="N30"/>
  <c r="D30"/>
  <c r="Q29"/>
  <c r="P29"/>
  <c r="O29"/>
  <c r="N29"/>
  <c r="Q28"/>
  <c r="P28"/>
  <c r="O28"/>
  <c r="N28"/>
  <c r="Q27"/>
  <c r="F28" s="1"/>
  <c r="F29" s="1"/>
  <c r="F30" s="1"/>
  <c r="V30" s="1"/>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Q20"/>
  <c r="AB20" s="1"/>
  <c r="P20"/>
  <c r="O20"/>
  <c r="Y20" s="1"/>
  <c r="Z20" s="1"/>
  <c r="N20"/>
  <c r="X20" s="1"/>
  <c r="F20"/>
  <c r="F21" s="1"/>
  <c r="F22" s="1"/>
  <c r="V22" s="1"/>
  <c r="Q19"/>
  <c r="AB19" s="1"/>
  <c r="P19"/>
  <c r="O19"/>
  <c r="N19"/>
  <c r="D19"/>
  <c r="Q18"/>
  <c r="AB18" s="1"/>
  <c r="P18"/>
  <c r="O18"/>
  <c r="Y18" s="1"/>
  <c r="Z18" s="1"/>
  <c r="N18"/>
  <c r="Q17"/>
  <c r="AB17" s="1"/>
  <c r="P17"/>
  <c r="O17"/>
  <c r="Y17" s="1"/>
  <c r="Z17" s="1"/>
  <c r="N17"/>
  <c r="Q16"/>
  <c r="AB16" s="1"/>
  <c r="P16"/>
  <c r="O16"/>
  <c r="Y16" s="1"/>
  <c r="Z16" s="1"/>
  <c r="N16"/>
  <c r="F16"/>
  <c r="F17" s="1"/>
  <c r="F18" s="1"/>
  <c r="V18" s="1"/>
  <c r="Q15"/>
  <c r="P15"/>
  <c r="O15"/>
  <c r="N15"/>
  <c r="D15"/>
  <c r="Q14"/>
  <c r="AB14" s="1"/>
  <c r="P14"/>
  <c r="O14"/>
  <c r="Y14" s="1"/>
  <c r="Z14" s="1"/>
  <c r="N14"/>
  <c r="Q13"/>
  <c r="AB13" s="1"/>
  <c r="P13"/>
  <c r="O13"/>
  <c r="Y13" s="1"/>
  <c r="Z13" s="1"/>
  <c r="N13"/>
  <c r="Q12"/>
  <c r="AB12" s="1"/>
  <c r="P12"/>
  <c r="O12"/>
  <c r="Y12" s="1"/>
  <c r="Z12" s="1"/>
  <c r="N12"/>
  <c r="F12"/>
  <c r="F13" s="1"/>
  <c r="F14" s="1"/>
  <c r="V14" s="1"/>
  <c r="Q11"/>
  <c r="P11"/>
  <c r="O11"/>
  <c r="N11"/>
  <c r="D11"/>
  <c r="O10"/>
  <c r="N10"/>
  <c r="B12" l="1"/>
  <c r="B13" s="1"/>
  <c r="B14" s="1"/>
  <c r="S14" s="1"/>
  <c r="X11"/>
  <c r="B46"/>
  <c r="S46" s="1"/>
  <c r="E48"/>
  <c r="P47" s="1"/>
  <c r="P50"/>
  <c r="U50"/>
  <c r="Y5"/>
  <c r="Z5" s="1"/>
  <c r="Y6"/>
  <c r="Z6" s="1"/>
  <c r="E12"/>
  <c r="E13" s="1"/>
  <c r="E14" s="1"/>
  <c r="U14" s="1"/>
  <c r="AA11"/>
  <c r="B16"/>
  <c r="B17" s="1"/>
  <c r="B18" s="1"/>
  <c r="S18" s="1"/>
  <c r="X15"/>
  <c r="E16"/>
  <c r="E17" s="1"/>
  <c r="E18" s="1"/>
  <c r="U18" s="1"/>
  <c r="AA15"/>
  <c r="B20"/>
  <c r="B21" s="1"/>
  <c r="B22" s="1"/>
  <c r="S22" s="1"/>
  <c r="X19"/>
  <c r="E20"/>
  <c r="E21" s="1"/>
  <c r="E22" s="1"/>
  <c r="U22" s="1"/>
  <c r="AA19"/>
  <c r="X6"/>
  <c r="X5"/>
  <c r="C12"/>
  <c r="D12" s="1"/>
  <c r="Y11"/>
  <c r="Z11" s="1"/>
  <c r="AB11"/>
  <c r="X12"/>
  <c r="AA12"/>
  <c r="X13"/>
  <c r="AA13"/>
  <c r="X14"/>
  <c r="AA14"/>
  <c r="C16"/>
  <c r="Y15"/>
  <c r="Z15" s="1"/>
  <c r="AB15"/>
  <c r="X16"/>
  <c r="AA16"/>
  <c r="X17"/>
  <c r="AA17"/>
  <c r="X18"/>
  <c r="AA18"/>
  <c r="C20"/>
  <c r="D20" s="1"/>
  <c r="Y19"/>
  <c r="Z19" s="1"/>
  <c r="AA20"/>
  <c r="N50"/>
  <c r="C10"/>
  <c r="T10" s="1"/>
  <c r="Y3"/>
  <c r="Z3" s="1"/>
  <c r="Y7"/>
  <c r="Z7" s="1"/>
  <c r="Y8"/>
  <c r="Z8" s="1"/>
  <c r="Y10"/>
  <c r="Z10" s="1"/>
  <c r="Y9"/>
  <c r="Z9" s="1"/>
  <c r="B10"/>
  <c r="X10"/>
  <c r="X9"/>
  <c r="X3"/>
  <c r="X7"/>
  <c r="X8"/>
  <c r="C13"/>
  <c r="C17"/>
  <c r="D16"/>
  <c r="C21"/>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AB6" l="1"/>
  <c r="AB5"/>
  <c r="AA5"/>
  <c r="AA6"/>
  <c r="B9"/>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T26"/>
  <c r="D26"/>
  <c r="T38"/>
  <c r="D38"/>
  <c r="T42"/>
  <c r="D42"/>
  <c r="T46"/>
  <c r="D46"/>
  <c r="Z25" i="40" l="1"/>
  <c r="Q25"/>
  <c r="E94"/>
  <c r="F94" s="1"/>
  <c r="D94"/>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B75" i="43" l="1"/>
  <c r="B55"/>
  <c r="B66"/>
  <c r="C29" i="39"/>
  <c r="C25" i="40"/>
  <c r="AB25"/>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J10" s="1"/>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Y27" i="31"/>
  <c r="U27"/>
  <c r="U25" s="1"/>
  <c r="D114" i="57"/>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H17" s="1"/>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N17"/>
  <c r="M17"/>
  <c r="G20"/>
  <c r="C18"/>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H12" s="1"/>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s="1"/>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s="1"/>
  <c r="AB33" s="1"/>
  <c r="B91"/>
  <c r="F32" s="1"/>
  <c r="B95"/>
  <c r="H34" s="1"/>
  <c r="U34" s="1"/>
  <c r="D83"/>
  <c r="E83" s="1"/>
  <c r="D78"/>
  <c r="E78" s="1"/>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s="1"/>
  <c r="AB9" s="1"/>
  <c r="P37"/>
  <c r="P36"/>
  <c r="V35"/>
  <c r="T35"/>
  <c r="R35"/>
  <c r="P35"/>
  <c r="Q34"/>
  <c r="Z34" s="1"/>
  <c r="Q33"/>
  <c r="Z33" s="1"/>
  <c r="Q32"/>
  <c r="Z32" s="1"/>
  <c r="Q31"/>
  <c r="Z31" s="1"/>
  <c r="Q30"/>
  <c r="Z30" s="1"/>
  <c r="Q29"/>
  <c r="Z29" s="1"/>
  <c r="Q28"/>
  <c r="Z28" s="1"/>
  <c r="J28"/>
  <c r="AC28" s="1"/>
  <c r="Q27"/>
  <c r="Z27"/>
  <c r="Q26"/>
  <c r="Z26"/>
  <c r="H26"/>
  <c r="Q25"/>
  <c r="Z25" s="1"/>
  <c r="Q24"/>
  <c r="Z24" s="1"/>
  <c r="Q23"/>
  <c r="Z23" s="1"/>
  <c r="J23"/>
  <c r="AC23" s="1"/>
  <c r="H23"/>
  <c r="F23"/>
  <c r="AA23" s="1"/>
  <c r="Q22"/>
  <c r="Z22"/>
  <c r="J22"/>
  <c r="AC22" s="1"/>
  <c r="Q20"/>
  <c r="Z20" s="1"/>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s="1"/>
  <c r="U23" s="1"/>
  <c r="B57"/>
  <c r="B61"/>
  <c r="B59"/>
  <c r="H12" s="1"/>
  <c r="U12" s="1"/>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Q35"/>
  <c r="Z35" s="1"/>
  <c r="Q34"/>
  <c r="Z34" s="1"/>
  <c r="J34"/>
  <c r="AC34" s="1"/>
  <c r="Q33"/>
  <c r="Z33" s="1"/>
  <c r="Q32"/>
  <c r="Z32" s="1"/>
  <c r="H32"/>
  <c r="AB32" s="1"/>
  <c r="F32"/>
  <c r="AA32" s="1"/>
  <c r="Q31"/>
  <c r="Z31" s="1"/>
  <c r="AC31"/>
  <c r="AA31"/>
  <c r="Q30"/>
  <c r="Z30" s="1"/>
  <c r="Q29"/>
  <c r="Z29" s="1"/>
  <c r="Q28"/>
  <c r="Z28" s="1"/>
  <c r="J28"/>
  <c r="AC28" s="1"/>
  <c r="H28"/>
  <c r="AB28" s="1"/>
  <c r="F28"/>
  <c r="AA28" s="1"/>
  <c r="Q27"/>
  <c r="Z27" s="1"/>
  <c r="Q26"/>
  <c r="Z26" s="1"/>
  <c r="Q25"/>
  <c r="Z25" s="1"/>
  <c r="Q24"/>
  <c r="Z24" s="1"/>
  <c r="Q23"/>
  <c r="Z23"/>
  <c r="Q22"/>
  <c r="Z22" s="1"/>
  <c r="Q20"/>
  <c r="Z20" s="1"/>
  <c r="Q16"/>
  <c r="Z16" s="1"/>
  <c r="Q14"/>
  <c r="Z14" s="1"/>
  <c r="Q13"/>
  <c r="Z13" s="1"/>
  <c r="Q12"/>
  <c r="Z12" s="1"/>
  <c r="J12"/>
  <c r="W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s="1"/>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AA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AB15" s="1"/>
  <c r="B130"/>
  <c r="B128"/>
  <c r="B126"/>
  <c r="B98"/>
  <c r="B96"/>
  <c r="B94"/>
  <c r="B92"/>
  <c r="B90"/>
  <c r="B74"/>
  <c r="B72"/>
  <c r="B70"/>
  <c r="F12"/>
  <c r="AA12" s="1"/>
  <c r="F10"/>
  <c r="AA10" s="1"/>
  <c r="C19"/>
  <c r="C17"/>
  <c r="C23"/>
  <c r="Q9"/>
  <c r="Z9" s="1"/>
  <c r="Q10"/>
  <c r="Z10" s="1"/>
  <c r="Q11"/>
  <c r="Z11" s="1"/>
  <c r="Q12"/>
  <c r="Z12" s="1"/>
  <c r="Q13"/>
  <c r="Z13" s="1"/>
  <c r="Q14"/>
  <c r="Z14" s="1"/>
  <c r="Q15"/>
  <c r="Z15" s="1"/>
  <c r="Q17"/>
  <c r="Z17" s="1"/>
  <c r="Q19"/>
  <c r="Z19" s="1"/>
  <c r="Q23"/>
  <c r="Z23"/>
  <c r="Q25"/>
  <c r="Z25" s="1"/>
  <c r="Q26"/>
  <c r="Z26"/>
  <c r="Q27"/>
  <c r="Z27"/>
  <c r="Q28"/>
  <c r="Z28" s="1"/>
  <c r="Q29"/>
  <c r="Z29" s="1"/>
  <c r="Q30"/>
  <c r="Z30"/>
  <c r="Q31"/>
  <c r="Z31"/>
  <c r="Q32"/>
  <c r="Z32"/>
  <c r="Q33"/>
  <c r="Z33" s="1"/>
  <c r="Q34"/>
  <c r="Z34"/>
  <c r="J35"/>
  <c r="W35" s="1"/>
  <c r="Q35"/>
  <c r="Z35" s="1"/>
  <c r="Q36"/>
  <c r="Z36" s="1"/>
  <c r="Q37"/>
  <c r="Z37" s="1"/>
  <c r="J38"/>
  <c r="W38" s="1"/>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s="1"/>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F113" s="1"/>
  <c r="G113" s="1"/>
  <c r="H113" s="1"/>
  <c r="I113" s="1"/>
  <c r="J113" s="1"/>
  <c r="K113" s="1"/>
  <c r="L113" s="1"/>
  <c r="M113" s="1"/>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H37" i="33"/>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s="1"/>
  <c r="F29"/>
  <c r="S29" s="1"/>
  <c r="J31"/>
  <c r="W31" s="1"/>
  <c r="H31"/>
  <c r="AB31" s="1"/>
  <c r="F31"/>
  <c r="AA31" s="1"/>
  <c r="H45"/>
  <c r="U45" s="1"/>
  <c r="J45"/>
  <c r="W45" s="1"/>
  <c r="F45"/>
  <c r="S45" s="1"/>
  <c r="J14" i="34"/>
  <c r="W14" s="1"/>
  <c r="F14"/>
  <c r="H14"/>
  <c r="U14" s="1"/>
  <c r="H30"/>
  <c r="U30" s="1"/>
  <c r="F30"/>
  <c r="S30" s="1"/>
  <c r="J30"/>
  <c r="W30" s="1"/>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W30" i="33"/>
  <c r="AC32" i="34"/>
  <c r="AC14"/>
  <c r="J10" i="36"/>
  <c r="AC10" s="1"/>
  <c r="AB46" i="21"/>
  <c r="AC14"/>
  <c r="S46" i="33"/>
  <c r="AC13" i="36"/>
  <c r="U32"/>
  <c r="U31" i="33"/>
  <c r="W29"/>
  <c r="AB28"/>
  <c r="U42" i="21"/>
  <c r="S33"/>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U39" i="37"/>
  <c r="AC8"/>
  <c r="S25"/>
  <c r="W47" i="34"/>
  <c r="AB8"/>
  <c r="W14" i="33"/>
  <c r="AA13"/>
  <c r="AC31"/>
  <c r="AA30"/>
  <c r="AB10"/>
  <c r="S11"/>
  <c r="AC33" i="21"/>
  <c r="AA23" i="37"/>
  <c r="W10" i="36"/>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D22"/>
  <c r="F15" s="1"/>
  <c r="B13" s="1"/>
  <c r="D26"/>
  <c r="D28"/>
  <c r="D30"/>
  <c r="D32"/>
  <c r="D34"/>
  <c r="D38"/>
  <c r="D40"/>
  <c r="D42"/>
  <c r="D44"/>
  <c r="D9"/>
  <c r="D8"/>
  <c r="D6"/>
  <c r="F4" s="1"/>
  <c r="B2" s="1"/>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E106"/>
  <c r="F106" s="1"/>
  <c r="G106" s="1"/>
  <c r="H106" s="1"/>
  <c r="I106" s="1"/>
  <c r="J106" s="1"/>
  <c r="K106" s="1"/>
  <c r="L106" s="1"/>
  <c r="M106" s="1"/>
  <c r="F34"/>
  <c r="S34" s="1"/>
  <c r="H34"/>
  <c r="U34" s="1"/>
  <c r="J34"/>
  <c r="AC34" s="1"/>
  <c r="W36"/>
  <c r="E101" i="33"/>
  <c r="F32"/>
  <c r="AA32" s="1"/>
  <c r="H9" i="34"/>
  <c r="AB9" s="1"/>
  <c r="H28"/>
  <c r="U28" s="1"/>
  <c r="E116"/>
  <c r="F116" s="1"/>
  <c r="G116" s="1"/>
  <c r="H116" s="1"/>
  <c r="I116" s="1"/>
  <c r="J116" s="1"/>
  <c r="K116" s="1"/>
  <c r="L116" s="1"/>
  <c r="M116" s="1"/>
  <c r="J39"/>
  <c r="W39" s="1"/>
  <c r="J27" i="36"/>
  <c r="F37" i="34"/>
  <c r="AA37" s="1"/>
  <c r="H37"/>
  <c r="U37" s="1"/>
  <c r="F26" i="47"/>
  <c r="B24"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S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W40" i="40"/>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U31" i="37"/>
  <c r="W27"/>
  <c r="AB27"/>
  <c r="H60"/>
  <c r="I60" s="1"/>
  <c r="H10"/>
  <c r="U10" s="1"/>
  <c r="S24" i="35"/>
  <c r="AA27" i="33"/>
  <c r="AB43"/>
  <c r="S31" i="21"/>
  <c r="AB29"/>
  <c r="AC27" i="36"/>
  <c r="W27"/>
  <c r="U9" i="34"/>
  <c r="F101" i="33"/>
  <c r="G101" s="1"/>
  <c r="H101" s="1"/>
  <c r="I101" s="1"/>
  <c r="J101" s="1"/>
  <c r="K101" s="1"/>
  <c r="L101" s="1"/>
  <c r="M101" s="1"/>
  <c r="J32"/>
  <c r="W32" s="1"/>
  <c r="H32"/>
  <c r="AB32" s="1"/>
  <c r="W40" i="34"/>
  <c r="U45" i="21"/>
  <c r="U12" i="36"/>
  <c r="AC45" i="21"/>
  <c r="W45"/>
  <c r="W13"/>
  <c r="AC13"/>
  <c r="AA44" i="34"/>
  <c r="S44"/>
  <c r="S27" i="36"/>
  <c r="AB25" i="34"/>
  <c r="J10" i="37"/>
  <c r="AC10" s="1"/>
  <c r="H23" i="39"/>
  <c r="AB23" s="1"/>
  <c r="J11" i="34"/>
  <c r="W11" s="1"/>
  <c r="J27" i="33"/>
  <c r="W27" s="1"/>
  <c r="W17" i="34"/>
  <c r="J25"/>
  <c r="W25" s="1"/>
  <c r="U23" i="39"/>
  <c r="H74" i="43"/>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AC27" i="21" l="1"/>
  <c r="S23"/>
  <c r="S19"/>
  <c r="W17"/>
  <c r="AC15"/>
  <c r="W44"/>
  <c r="S44"/>
  <c r="S40"/>
  <c r="U28"/>
  <c r="AB38"/>
  <c r="AC38"/>
  <c r="AC9"/>
  <c r="C6" i="15"/>
  <c r="AC27" i="34"/>
  <c r="W27"/>
  <c r="AB12" i="39"/>
  <c r="U12"/>
  <c r="B74" i="43"/>
  <c r="C27" i="39"/>
  <c r="D1" i="58"/>
  <c r="E10" s="1"/>
  <c r="AC11" i="34"/>
  <c r="U15" i="37"/>
  <c r="AB37" i="21"/>
  <c r="W38" i="37"/>
  <c r="S28"/>
  <c r="AB45" i="33"/>
  <c r="AC11" i="36"/>
  <c r="U14" i="21"/>
  <c r="S14" i="33"/>
  <c r="S47" i="34"/>
  <c r="J23" i="35"/>
  <c r="AC23" s="1"/>
  <c r="J36"/>
  <c r="AC36" s="1"/>
  <c r="V27" i="31"/>
  <c r="X27"/>
  <c r="X25" s="1"/>
  <c r="F31" i="15"/>
  <c r="J100" i="43"/>
  <c r="F100"/>
  <c r="M100"/>
  <c r="I100"/>
  <c r="E100"/>
  <c r="C30" i="58"/>
  <c r="E26" s="1"/>
  <c r="H56" i="43"/>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C6" i="43" l="1"/>
  <c r="D68" i="39"/>
  <c r="M20" i="43"/>
  <c r="C19" s="1"/>
  <c r="C10" i="15"/>
  <c r="C5" s="1"/>
  <c r="C32" s="1"/>
  <c r="C54"/>
  <c r="C34"/>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27" i="11"/>
  <c r="C18" i="12"/>
  <c r="W7" i="35"/>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R25" i="31" l="1"/>
  <c r="B24" s="1"/>
  <c r="B3" s="1"/>
  <c r="C34" i="57" s="1"/>
  <c r="I124" s="1"/>
  <c r="I104" s="1"/>
  <c r="B23" i="31"/>
  <c r="B2" s="1"/>
  <c r="C33" i="57" s="1"/>
  <c r="H124" s="1"/>
  <c r="I103" s="1"/>
  <c r="I113" s="1"/>
  <c r="M50" s="1"/>
  <c r="C5" i="43"/>
  <c r="I55" i="15"/>
  <c r="J54"/>
  <c r="G43" i="35"/>
  <c r="H43" s="1"/>
  <c r="Q59" i="15"/>
  <c r="F7" i="33"/>
  <c r="AA7" s="1"/>
  <c r="R48" s="1"/>
  <c r="R39" i="35"/>
  <c r="C38" s="1"/>
  <c r="D110" i="57"/>
  <c r="D25" i="12"/>
  <c r="C25" i="11"/>
  <c r="C26"/>
  <c r="D22" s="1"/>
  <c r="C23"/>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H125" i="57"/>
  <c r="C106"/>
  <c r="C107"/>
  <c r="C36" i="43"/>
  <c r="C35"/>
  <c r="C34"/>
  <c r="C33"/>
  <c r="C67" i="15"/>
  <c r="C61"/>
  <c r="S7" i="33"/>
  <c r="D109" i="57"/>
  <c r="I111"/>
  <c r="D128" s="1"/>
  <c r="B33" i="1"/>
  <c r="F41" i="15" s="1"/>
  <c r="F70" s="1"/>
  <c r="Q50"/>
  <c r="D46" i="57"/>
  <c r="C39" i="35"/>
  <c r="B3" s="1"/>
  <c r="AB7" i="36"/>
  <c r="T36" s="1"/>
  <c r="G36" s="1"/>
  <c r="G41" s="1"/>
  <c r="H41" s="1"/>
  <c r="AC7" i="33"/>
  <c r="V48" s="1"/>
  <c r="I48" s="1"/>
  <c r="I52" s="1"/>
  <c r="J52" s="1"/>
  <c r="S7" i="21"/>
  <c r="M49" i="57"/>
  <c r="C15" i="12"/>
  <c r="D130" i="57"/>
  <c r="H14" i="62" s="1"/>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82" i="57" l="1"/>
  <c r="C98"/>
  <c r="D59" s="1"/>
  <c r="D57" s="1"/>
  <c r="M55" s="1"/>
  <c r="N70"/>
  <c r="M57"/>
  <c r="N58" s="1"/>
  <c r="C43" i="11"/>
  <c r="C41" s="1"/>
  <c r="C32" i="12"/>
  <c r="B2" s="1"/>
  <c r="C46" i="11"/>
  <c r="C45" s="1"/>
  <c r="C26" i="15"/>
  <c r="C29" s="1"/>
  <c r="J60" s="1"/>
  <c r="J61" s="1"/>
  <c r="J68" i="39"/>
  <c r="I70"/>
  <c r="J63" i="40"/>
  <c r="I65"/>
  <c r="Q46" i="15" l="1"/>
  <c r="C49" i="11"/>
  <c r="C51" s="1"/>
  <c r="C52" s="1"/>
  <c r="B3" s="1"/>
  <c r="P58" i="57"/>
  <c r="N59"/>
  <c r="N60"/>
  <c r="B3" i="12"/>
  <c r="C13" i="15"/>
  <c r="Q47"/>
  <c r="J19"/>
  <c r="J17" s="1"/>
  <c r="C33"/>
  <c r="C31" s="1"/>
  <c r="J14"/>
  <c r="C58"/>
  <c r="C36"/>
  <c r="K68" i="39"/>
  <c r="J70"/>
  <c r="K63" i="40"/>
  <c r="J65"/>
  <c r="D20" i="57"/>
  <c r="N62" l="1"/>
  <c r="D119"/>
  <c r="D120" s="1"/>
  <c r="I116" s="1"/>
  <c r="I115"/>
  <c r="D132" s="1"/>
  <c r="I14" i="62" s="1"/>
  <c r="B8" s="1"/>
  <c r="N61" i="57"/>
  <c r="D103"/>
  <c r="C56" i="11"/>
  <c r="C57" s="1"/>
  <c r="J22" i="15"/>
  <c r="J13"/>
  <c r="J23" s="1"/>
  <c r="C62"/>
  <c r="C60" s="1"/>
  <c r="C65"/>
  <c r="J34"/>
  <c r="Q68"/>
  <c r="C37"/>
  <c r="C30" s="1"/>
  <c r="C39" s="1"/>
  <c r="C57"/>
  <c r="C66" s="1"/>
  <c r="L63" i="40"/>
  <c r="K65"/>
  <c r="L68" i="39"/>
  <c r="K70"/>
  <c r="C8" i="62" l="1"/>
  <c r="D8"/>
  <c r="C59" i="15"/>
  <c r="C68" s="1"/>
  <c r="C69" s="1"/>
  <c r="C72" s="1"/>
  <c r="J16"/>
  <c r="J25" s="1"/>
  <c r="J26" s="1"/>
  <c r="J29" s="1"/>
  <c r="C40"/>
  <c r="Q67"/>
  <c r="Q66" s="1"/>
  <c r="J38"/>
  <c r="M68" i="39"/>
  <c r="L70"/>
  <c r="M63" i="40"/>
  <c r="L65"/>
  <c r="C47" i="15" l="1"/>
  <c r="J39"/>
  <c r="J41"/>
  <c r="J42" s="1"/>
  <c r="C43"/>
  <c r="L52"/>
  <c r="Q63"/>
  <c r="Q45"/>
  <c r="Q51" s="1"/>
  <c r="Q54"/>
  <c r="N63" i="40"/>
  <c r="M65"/>
  <c r="N68" i="39"/>
  <c r="M70"/>
  <c r="E2" i="33"/>
  <c r="C20" i="57"/>
  <c r="E2" i="36"/>
  <c r="E2" i="11"/>
  <c r="E2" i="34"/>
  <c r="E2" i="35"/>
  <c r="E2" i="37"/>
  <c r="C19" i="57"/>
  <c r="E2" i="21"/>
  <c r="B2" i="36" l="1"/>
  <c r="B3" s="1"/>
  <c r="B2" i="34"/>
  <c r="B3" s="1"/>
  <c r="B2" i="35"/>
  <c r="B2" i="37"/>
  <c r="B3" s="1"/>
  <c r="B2" i="33"/>
  <c r="B3" s="1"/>
  <c r="B2" i="21"/>
  <c r="B3" s="1"/>
  <c r="C102" i="57"/>
  <c r="B2" i="11"/>
  <c r="G20" i="57"/>
  <c r="C103"/>
  <c r="Q65" i="15"/>
  <c r="L58"/>
  <c r="L61" s="1"/>
  <c r="L47" s="1"/>
  <c r="O68" i="39"/>
  <c r="O70" s="1"/>
  <c r="N70"/>
  <c r="O63" i="40"/>
  <c r="O65" s="1"/>
  <c r="N65"/>
  <c r="D19" i="57"/>
  <c r="B2" i="15" l="1"/>
  <c r="B3"/>
  <c r="Q64"/>
  <c r="Q73" s="1"/>
  <c r="Q55"/>
  <c r="Q60" s="1"/>
  <c r="D22" i="57"/>
  <c r="D102"/>
  <c r="G19"/>
  <c r="C105" s="1"/>
  <c r="H7" i="40"/>
  <c r="F7"/>
  <c r="J7"/>
  <c r="H7" i="39"/>
  <c r="F7"/>
  <c r="J7"/>
  <c r="C19" i="9"/>
  <c r="C20"/>
  <c r="D20"/>
  <c r="D19"/>
  <c r="D102" l="1"/>
  <c r="D101"/>
  <c r="C102"/>
  <c r="G20"/>
  <c r="D22"/>
  <c r="C101"/>
  <c r="G19"/>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M49" s="1"/>
  <c r="D114"/>
  <c r="D115" s="1"/>
  <c r="I113" l="1"/>
  <c r="D41" i="50"/>
  <c r="B63" i="60" s="1"/>
  <c r="D39" i="50"/>
  <c r="D40" s="1"/>
  <c r="D18"/>
  <c r="D127" i="9"/>
  <c r="D10" i="52" s="1"/>
  <c r="D128" i="9"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E121" i="9" l="1"/>
  <c r="E4" i="52" s="1"/>
  <c r="B38" i="60" s="1"/>
  <c r="G121" i="9"/>
  <c r="F121" s="1"/>
  <c r="F4" i="52" s="1"/>
  <c r="B40" i="60" s="1"/>
  <c r="I121" i="9"/>
  <c r="C104" s="1"/>
  <c r="G4" i="52" l="1"/>
  <c r="B41" i="60" s="1"/>
  <c r="D121" i="9"/>
  <c r="D4" i="52" s="1"/>
  <c r="B37" i="60" s="1"/>
  <c r="F122" i="9"/>
  <c r="F5" i="52" s="1"/>
  <c r="B42" i="60" s="1"/>
  <c r="I103" i="9"/>
  <c r="I4" i="52"/>
  <c r="D107" i="9"/>
  <c r="H121"/>
  <c r="D14" i="62" s="1"/>
  <c r="E14" l="1"/>
  <c r="F14"/>
  <c r="B5"/>
  <c r="D122" i="9"/>
  <c r="D5" i="52" s="1"/>
  <c r="B39" i="60" s="1"/>
  <c r="D30" i="50"/>
  <c r="D9"/>
  <c r="B21" i="60" s="1"/>
  <c r="H4" i="52"/>
  <c r="D106" i="9"/>
  <c r="D112" s="1"/>
  <c r="I102"/>
  <c r="C103"/>
  <c r="H122"/>
  <c r="H5" i="52" s="1"/>
  <c r="C5" i="62" l="1"/>
  <c r="D5"/>
  <c r="M48" i="9"/>
  <c r="D28" i="50"/>
  <c r="D29" s="1"/>
  <c r="D45" i="9"/>
  <c r="D7" i="50"/>
  <c r="I110" i="9"/>
  <c r="D117"/>
  <c r="D113"/>
  <c r="I111" l="1"/>
  <c r="D38" i="50"/>
  <c r="B62" i="60" s="1"/>
  <c r="D36" i="50"/>
  <c r="D37" s="1"/>
  <c r="D125" i="9"/>
  <c r="D15" i="50"/>
  <c r="D44"/>
  <c r="I115" i="9"/>
  <c r="D23" i="50" s="1"/>
  <c r="B34" i="60" s="1"/>
  <c r="D8" i="50"/>
  <c r="B22" i="60" s="1"/>
  <c r="B19"/>
  <c r="C78" i="9"/>
  <c r="C73" s="1"/>
  <c r="C93"/>
  <c r="C86" s="1"/>
  <c r="D59"/>
  <c r="M55" s="1"/>
  <c r="C85"/>
  <c r="C72"/>
  <c r="D52"/>
  <c r="C64"/>
  <c r="C63" s="1"/>
  <c r="C67" s="1"/>
  <c r="C68" s="1"/>
  <c r="D54" s="1"/>
  <c r="D55"/>
  <c r="M53" s="1"/>
  <c r="D53"/>
  <c r="D48" s="1"/>
  <c r="M52" s="1"/>
  <c r="C79" l="1"/>
  <c r="D8" i="52"/>
  <c r="G14" i="62"/>
  <c r="B6" s="1"/>
  <c r="C95" i="9"/>
  <c r="C80"/>
  <c r="E80" s="1"/>
  <c r="E81" s="1"/>
  <c r="B29" i="60"/>
  <c r="D16" i="50"/>
  <c r="B30" i="60" s="1"/>
  <c r="D17" i="50"/>
  <c r="D126" i="9"/>
  <c r="D9" i="52" s="1"/>
  <c r="C81" i="9" l="1"/>
  <c r="C6" i="62"/>
  <c r="D6"/>
  <c r="C96" i="9"/>
  <c r="E96" s="1"/>
  <c r="E97" s="1"/>
  <c r="C97" l="1"/>
  <c r="D58" s="1"/>
  <c r="D56" s="1"/>
  <c r="M54" s="1"/>
  <c r="N57" s="1"/>
  <c r="N58" l="1"/>
  <c r="P57"/>
  <c r="N59"/>
  <c r="N61" l="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<sst xmlns="http://schemas.openxmlformats.org/spreadsheetml/2006/main" count="6898" uniqueCount="2909">
  <si>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</si>
  <si>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</si>
  <si>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</si>
  <si>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</si>
  <si>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</si>
  <si>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</si>
  <si>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</si>
  <si>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</si>
  <si>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</si>
  <si>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</si>
  <si>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</si>
  <si>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</si>
  <si>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</si>
  <si>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</si>
  <si>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</si>
  <si>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</si>
  <si>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</si>
  <si>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</si>
  <si>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</si>
  <si>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</si>
  <si>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</si>
  <si>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</si>
  <si>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</si>
  <si>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</si>
  <si>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</si>
  <si>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</si>
  <si>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</si>
  <si>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</si>
  <si>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</si>
  <si>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</si>
  <si>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</si>
  <si>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</si>
  <si>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</si>
  <si>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</si>
  <si>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</si>
  <si>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</si>
  <si>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</si>
  <si>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</si>
  <si>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</si>
  <si>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</si>
  <si>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</si>
  <si>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</si>
  <si>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</si>
  <si>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</si>
  <si>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</si>
  <si>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</si>
  <si>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</si>
  <si>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</si>
  <si>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</si>
  <si>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</si>
  <si>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</si>
  <si>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</si>
  <si>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</si>
  <si>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</si>
  <si>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</si>
  <si>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</si>
  <si>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</si>
  <si>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</si>
  <si>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</si>
  <si>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</si>
  <si>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</si>
  <si>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</si>
  <si>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</si>
  <si>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</si>
  <si>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</si>
  <si>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</si>
  <si>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</si>
  <si>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</si>
  <si>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</si>
  <si>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</si>
  <si>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</si>
  <si>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</si>
  <si>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</si>
  <si>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</si>
  <si>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</si>
  <si>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</si>
  <si>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</si>
  <si>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</si>
  <si>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</si>
  <si>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</si>
  <si>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</si>
  <si>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</si>
  <si>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</si>
  <si>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</si>
  <si>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</si>
  <si>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</si>
  <si>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</si>
  <si>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</si>
  <si>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</si>
  <si>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</si>
  <si>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</si>
  <si>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</si>
  <si>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</si>
  <si>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</si>
  <si>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</si>
  <si>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</si>
  <si>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</si>
  <si>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</si>
  <si>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</si>
  <si>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</si>
  <si>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</si>
  <si>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</si>
  <si>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</si>
  <si>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</si>
  <si>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</si>
  <si>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</si>
  <si>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</si>
  <si>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</si>
  <si>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</si>
  <si>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</si>
  <si>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</si>
  <si>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</si>
  <si>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</si>
  <si>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</si>
  <si>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</si>
  <si>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</si>
  <si>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</si>
  <si>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</si>
  <si>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</si>
  <si>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</si>
  <si>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</si>
  <si>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</si>
  <si>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</si>
  <si>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</si>
  <si>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</si>
  <si>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</si>
  <si>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</si>
  <si>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</si>
  <si>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</si>
  <si>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</si>
  <si>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</si>
  <si>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</si>
  <si>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</si>
  <si>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</si>
  <si>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</si>
  <si>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</si>
  <si>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</si>
  <si>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</si>
  <si>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</si>
  <si>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</si>
  <si>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</si>
  <si>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</si>
  <si>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</si>
  <si>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</si>
  <si>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</si>
  <si>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</si>
  <si>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</si>
  <si>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</si>
  <si>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</si>
  <si>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</si>
  <si>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</si>
  <si>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</si>
  <si>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</si>
  <si>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</si>
  <si>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</si>
  <si>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</si>
  <si>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</si>
  <si>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</si>
  <si>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</si>
  <si>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</si>
  <si>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</si>
  <si>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</si>
  <si>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</si>
  <si>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</si>
  <si>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</si>
  <si>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</si>
  <si>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</si>
  <si>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</si>
  <si>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</si>
  <si>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</si>
  <si>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</si>
  <si>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</si>
  <si>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</si>
  <si>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</si>
  <si>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</si>
  <si>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</si>
  <si>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</si>
  <si>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</si>
  <si>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</si>
  <si>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</si>
  <si>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</si>
  <si>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</si>
  <si>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</si>
  <si>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</si>
  <si>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</si>
  <si>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</si>
  <si>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</si>
  <si>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</si>
  <si>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</si>
  <si>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</si>
  <si>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</si>
  <si>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</si>
  <si>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</si>
  <si>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</si>
  <si>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</si>
  <si>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</si>
  <si>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</si>
  <si>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</si>
  <si>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</si>
  <si>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</si>
  <si>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</si>
  <si>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</si>
  <si>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</si>
  <si>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</si>
  <si>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</si>
  <si>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</si>
  <si>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</si>
  <si>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</si>
  <si>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</si>
  <si>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</si>
  <si>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</si>
  <si>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</si>
  <si>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</si>
  <si>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</si>
  <si>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</si>
  <si>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</si>
  <si>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</si>
  <si>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</si>
  <si>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</si>
  <si>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</si>
  <si>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</si>
  <si>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</si>
  <si>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</si>
  <si>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</si>
  <si>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</si>
  <si>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</si>
  <si>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</si>
  <si>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</si>
  <si>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</si>
  <si>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</si>
  <si>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</si>
  <si>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</si>
  <si>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</si>
  <si>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</si>
  <si>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</si>
  <si>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</si>
  <si>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</si>
  <si>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</si>
  <si>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</si>
  <si>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</si>
  <si>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</si>
  <si>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</si>
  <si>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</si>
  <si>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</si>
  <si>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</si>
  <si>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</si>
  <si>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</si>
  <si>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</si>
  <si>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</si>
  <si>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</si>
  <si>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</si>
  <si>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</si>
  <si>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</si>
  <si>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</si>
  <si>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</si>
  <si>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</si>
  <si>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</si>
  <si>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</si>
  <si>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</si>
  <si>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</si>
  <si>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</si>
  <si>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</si>
  <si>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</si>
  <si>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</si>
  <si>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</si>
  <si>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</si>
  <si>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</si>
  <si>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</si>
  <si>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</si>
  <si>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</si>
  <si>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</si>
  <si>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</si>
  <si>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</si>
  <si>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</si>
  <si>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</si>
  <si>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</si>
  <si>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</si>
  <si>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</si>
  <si>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</si>
  <si>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</si>
  <si>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</si>
  <si>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</si>
  <si>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</si>
  <si>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</si>
  <si>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</si>
  <si>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</si>
  <si>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</si>
  <si>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</si>
  <si>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</si>
  <si>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</si>
  <si>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</si>
  <si>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</si>
  <si>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</si>
  <si>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</si>
  <si>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</si>
  <si>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</si>
  <si>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</si>
  <si>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</si>
  <si>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</si>
  <si>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</si>
  <si>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</si>
  <si>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</si>
  <si>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</si>
  <si>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</si>
  <si>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</si>
  <si>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</si>
  <si>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</si>
  <si>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</si>
  <si>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</si>
  <si>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</si>
  <si>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</si>
  <si>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</si>
  <si>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</si>
  <si>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</si>
  <si>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</si>
  <si>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</si>
  <si>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</si>
  <si>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</si>
  <si>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</si>
  <si>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</si>
  <si>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</si>
  <si>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</si>
  <si>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</si>
  <si>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</si>
  <si>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</si>
  <si>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</si>
  <si>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</si>
  <si>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</si>
  <si>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</si>
  <si>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</si>
  <si>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</si>
  <si>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</si>
  <si>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</si>
  <si>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</si>
  <si>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</si>
  <si>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</si>
  <si>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</si>
  <si>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</si>
  <si>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</si>
  <si>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</si>
  <si>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</si>
  <si>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</si>
  <si>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</si>
  <si>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</si>
  <si>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</si>
  <si>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</si>
  <si>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</si>
  <si>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</si>
  <si>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</si>
  <si>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</si>
  <si>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</si>
  <si>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</si>
  <si>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</si>
  <si>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</si>
  <si>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</si>
  <si>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</si>
  <si>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</si>
  <si>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</si>
  <si>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</si>
  <si>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</si>
  <si>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</si>
  <si>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</si>
  <si>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</si>
  <si>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</si>
  <si>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</si>
  <si>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</si>
  <si>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</si>
  <si>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</si>
  <si>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</si>
  <si>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</si>
  <si>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</si>
  <si>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</si>
  <si>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</si>
  <si>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</si>
  <si>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</si>
  <si>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</si>
  <si>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</si>
  <si>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</si>
  <si>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</si>
  <si>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</si>
  <si>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</si>
  <si>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</si>
  <si>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</si>
  <si>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</si>
  <si>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</si>
  <si>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</si>
  <si>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</si>
  <si>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</si>
  <si>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</si>
  <si>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</si>
  <si>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</si>
  <si>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</si>
  <si>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</si>
  <si>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</si>
  <si>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</si>
  <si>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</si>
  <si>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</si>
  <si>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</si>
  <si>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</si>
  <si>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</si>
  <si>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</si>
  <si>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</si>
  <si>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</si>
  <si>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</si>
  <si>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</si>
  <si>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</si>
  <si>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</si>
  <si>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</si>
  <si>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</si>
  <si>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</si>
  <si>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</si>
  <si>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</si>
  <si>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</si>
  <si>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</si>
  <si>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</si>
  <si>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</si>
  <si>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</si>
  <si>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</si>
  <si>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</si>
  <si>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</si>
  <si>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</si>
  <si>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</si>
  <si>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</si>
  <si>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</si>
  <si>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</si>
  <si>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</si>
  <si>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</si>
  <si>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</si>
  <si>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</si>
  <si>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</si>
  <si>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</si>
  <si>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</si>
  <si>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</si>
  <si>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</si>
  <si>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</si>
  <si>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</si>
  <si>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</si>
  <si>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</si>
  <si>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</si>
  <si>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</si>
  <si>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</si>
  <si>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</si>
  <si>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</si>
  <si>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</si>
  <si>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</si>
  <si>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</si>
  <si>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</si>
  <si>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</si>
  <si>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</si>
  <si>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</si>
  <si>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</si>
  <si>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</si>
  <si>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</si>
  <si>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</si>
  <si>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</si>
  <si>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</si>
  <si>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</si>
  <si>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</si>
  <si>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</si>
  <si>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</si>
  <si>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</si>
  <si>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</si>
  <si>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</si>
  <si>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</si>
  <si>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</si>
  <si>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</si>
  <si>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</si>
  <si>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</si>
  <si>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</si>
  <si>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</si>
  <si>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</si>
  <si>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</si>
  <si>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</si>
  <si>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</si>
  <si>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</si>
  <si>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</si>
  <si>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</si>
  <si>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</si>
  <si>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</si>
  <si>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</si>
  <si>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</si>
  <si>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</si>
  <si>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</si>
  <si>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</si>
  <si>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</si>
  <si>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</si>
  <si>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</si>
  <si>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</si>
  <si>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</si>
  <si>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</si>
  <si>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</si>
  <si>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</si>
  <si>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</si>
  <si>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</si>
  <si>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</si>
  <si>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</si>
  <si>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</si>
  <si>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</si>
  <si>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</si>
  <si>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</si>
  <si>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</si>
  <si>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</si>
  <si>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</si>
  <si>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</si>
  <si>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</si>
  <si>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</si>
  <si>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</si>
  <si>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</si>
  <si>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</si>
  <si>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</si>
  <si>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</si>
  <si>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</si>
  <si>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</si>
  <si>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</si>
  <si>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</si>
  <si>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</si>
  <si>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</si>
  <si>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</si>
  <si>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</si>
  <si>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</si>
  <si>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</si>
  <si>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</si>
  <si>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</si>
  <si>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</si>
  <si>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</si>
  <si>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</si>
  <si>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</si>
  <si>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</si>
  <si>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</si>
  <si>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</si>
  <si>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</si>
  <si>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</si>
  <si>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</si>
  <si>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</si>
  <si>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</si>
  <si>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</si>
  <si>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</si>
  <si>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</si>
  <si>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</si>
  <si>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</si>
  <si>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</si>
  <si>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</si>
  <si>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</si>
  <si>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</si>
  <si>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</si>
  <si>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</si>
  <si>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</si>
  <si>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</si>
  <si>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</si>
  <si>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</si>
  <si>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</si>
  <si>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</si>
  <si>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</si>
  <si>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</si>
  <si>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</si>
  <si>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</si>
  <si>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</si>
  <si>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</si>
  <si>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</si>
  <si>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</si>
  <si>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</si>
  <si>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</si>
  <si>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</si>
  <si>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</si>
  <si>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</si>
  <si>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</si>
  <si>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</si>
  <si>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</si>
  <si>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</si>
  <si>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</si>
  <si>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</si>
  <si>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</si>
  <si>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</si>
  <si>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</si>
  <si>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</si>
  <si>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</si>
  <si>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</si>
  <si>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</si>
  <si>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</si>
  <si>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</si>
  <si>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</si>
  <si>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</si>
  <si>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</si>
  <si>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</si>
  <si>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</si>
  <si>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</si>
  <si>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</si>
  <si>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</si>
  <si>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</si>
  <si>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</si>
  <si>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</si>
  <si>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</si>
  <si>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</si>
  <si>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</si>
  <si>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</si>
  <si>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</si>
  <si>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</si>
  <si>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</si>
  <si>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</si>
  <si>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</si>
  <si>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</si>
  <si>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</si>
  <si>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</si>
  <si>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</si>
  <si>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</si>
  <si>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</si>
  <si>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</si>
  <si>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</si>
  <si>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</si>
  <si>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</si>
  <si>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</si>
  <si>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</si>
  <si>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</si>
  <si>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</si>
  <si>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</si>
  <si>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</si>
  <si>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</si>
  <si>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</si>
  <si>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</si>
  <si>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</si>
  <si>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</si>
  <si>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</si>
  <si>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</si>
  <si>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</si>
  <si>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</si>
  <si>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</si>
  <si>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</si>
  <si>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</si>
  <si>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</si>
  <si>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</si>
  <si>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</si>
  <si>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</si>
  <si>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</si>
  <si>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</si>
  <si>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</si>
  <si>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</si>
  <si>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</si>
  <si>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</si>
  <si>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</si>
  <si>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</si>
  <si>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</si>
  <si>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</si>
  <si>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</si>
  <si>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</si>
  <si>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</si>
  <si>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</si>
  <si>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</si>
  <si>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</si>
  <si>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</si>
  <si>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</si>
  <si>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</si>
  <si>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</si>
  <si>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</si>
  <si>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</si>
  <si>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</si>
  <si>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</si>
  <si>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</si>
  <si>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</si>
  <si>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</si>
  <si>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</si>
  <si>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</si>
  <si>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</si>
  <si>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</si>
  <si>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</si>
  <si>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</si>
  <si>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</si>
  <si>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</si>
  <si>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</si>
  <si>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</si>
  <si>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</si>
  <si>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</si>
  <si>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</si>
  <si>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</si>
  <si>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</si>
  <si>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</si>
  <si>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</si>
  <si>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</si>
  <si>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</si>
  <si>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</si>
  <si>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</si>
  <si>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</si>
  <si>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</si>
  <si>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</si>
  <si>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</si>
  <si>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</si>
  <si>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</si>
  <si>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</si>
  <si>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</si>
  <si>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</si>
  <si>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</si>
  <si>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</si>
  <si>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</si>
  <si>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</si>
  <si>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</si>
  <si>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</si>
  <si>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</si>
  <si>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</si>
  <si>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</si>
  <si>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</si>
  <si>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</si>
  <si>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</si>
  <si>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</si>
  <si>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</si>
  <si>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</si>
  <si>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</si>
  <si>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</si>
  <si>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</si>
  <si>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</si>
  <si>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</si>
  <si>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</si>
  <si>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</si>
  <si>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</si>
  <si>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</si>
  <si>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</si>
  <si>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</si>
  <si>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</si>
  <si>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</si>
  <si>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</si>
  <si>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</si>
  <si>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</si>
  <si>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</si>
  <si>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</si>
  <si>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</si>
  <si>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</si>
  <si>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</si>
  <si>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</si>
  <si>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</si>
  <si>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</si>
  <si>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</si>
  <si>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</si>
  <si>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</si>
  <si>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</si>
  <si>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</si>
  <si>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</si>
  <si>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</si>
  <si>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</si>
  <si>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</si>
  <si>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</si>
  <si>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</si>
  <si>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</si>
  <si>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</si>
  <si>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</si>
  <si>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</si>
  <si>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</si>
  <si>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</si>
  <si>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</si>
  <si>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</si>
  <si>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</si>
  <si>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</si>
  <si>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</si>
  <si>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</si>
  <si>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</si>
  <si>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</si>
  <si>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</si>
  <si>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</si>
  <si>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</si>
  <si>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</si>
  <si>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</si>
  <si>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</si>
  <si>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</si>
  <si>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</si>
  <si>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</si>
  <si>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</si>
  <si>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</si>
  <si>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</si>
  <si>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</si>
  <si>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</si>
  <si>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</si>
  <si>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</si>
  <si>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</si>
  <si>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</si>
  <si>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</si>
  <si>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</si>
  <si>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</si>
  <si>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</si>
  <si>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</si>
  <si>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</si>
  <si>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</si>
  <si>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</si>
  <si>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</si>
  <si>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</si>
  <si>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</si>
  <si>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</si>
  <si>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</si>
  <si>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</si>
  <si>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</si>
  <si>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</si>
  <si>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</si>
  <si>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</si>
  <si>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</si>
  <si>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</si>
  <si>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</si>
  <si>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</si>
  <si>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</si>
  <si>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</si>
  <si>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</si>
  <si>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</si>
  <si>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</si>
  <si>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</si>
  <si>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</si>
  <si>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</si>
  <si>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</si>
  <si>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</si>
  <si>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</si>
  <si>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</si>
  <si>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</si>
  <si>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</si>
  <si>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</si>
  <si>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</si>
  <si>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</si>
  <si>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</si>
  <si>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</si>
  <si>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</si>
  <si>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</si>
  <si>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</si>
  <si>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</si>
  <si>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</si>
  <si>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</si>
  <si>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</si>
  <si>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</si>
  <si>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</si>
  <si>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</si>
  <si>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</si>
  <si>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</si>
  <si>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</si>
  <si>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</si>
  <si>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</si>
  <si>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</si>
  <si>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</si>
  <si>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</si>
  <si>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</si>
  <si>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</si>
  <si>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</si>
  <si>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</si>
  <si>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</si>
  <si>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</si>
  <si>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</si>
  <si>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</si>
  <si>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</si>
  <si>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</si>
  <si>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</si>
  <si>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</si>
  <si>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</si>
  <si>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</si>
  <si>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</si>
  <si>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</si>
  <si>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</si>
  <si>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</si>
  <si>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</si>
  <si>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</si>
  <si>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</si>
  <si>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</si>
  <si>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</si>
  <si>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</si>
  <si>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</si>
  <si>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</si>
  <si>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</si>
  <si>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</si>
  <si>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</si>
  <si>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</si>
  <si>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</si>
  <si>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</si>
  <si>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</si>
  <si>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</si>
  <si>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</si>
  <si>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</si>
  <si>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</si>
  <si>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</si>
  <si>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</si>
  <si>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</si>
  <si>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</si>
  <si>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</si>
  <si>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</si>
  <si>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</si>
  <si>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</si>
  <si>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</si>
  <si>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</si>
  <si>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</si>
  <si>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</si>
  <si>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</si>
  <si>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</si>
  <si>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</si>
  <si>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</si>
  <si>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</si>
  <si>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</si>
  <si>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</si>
  <si>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</si>
  <si>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</si>
  <si>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</si>
  <si>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</si>
  <si>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</si>
  <si>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</si>
  <si>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</si>
  <si>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</si>
  <si>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</si>
  <si>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</si>
  <si>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</si>
  <si>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</si>
  <si>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</si>
  <si>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</si>
  <si>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</si>
  <si>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</si>
  <si>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</si>
  <si>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</si>
  <si>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</si>
  <si>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</si>
  <si>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</si>
  <si>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</si>
  <si>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</si>
  <si>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</si>
  <si>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</si>
  <si>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</si>
  <si>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</si>
  <si>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</si>
  <si>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</si>
  <si>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</si>
  <si>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</si>
  <si>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</si>
  <si>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</si>
  <si>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</si>
  <si>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</si>
  <si>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</si>
  <si>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</si>
  <si>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</si>
  <si>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</si>
  <si>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</si>
  <si>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</si>
  <si>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</si>
  <si>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</si>
  <si>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</si>
  <si>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</si>
  <si>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</si>
  <si>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</si>
  <si>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</si>
  <si>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</si>
  <si>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</si>
  <si>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</si>
  <si>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</si>
  <si>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</si>
  <si>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</si>
  <si>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</si>
  <si>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</si>
  <si>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</si>
  <si>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</si>
  <si>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</si>
  <si>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</si>
  <si>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</si>
  <si>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</si>
  <si>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</si>
  <si>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</si>
  <si>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</si>
  <si>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</si>
  <si>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</si>
  <si>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</si>
  <si>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</si>
  <si>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</si>
  <si>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</si>
  <si>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</si>
  <si>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</si>
  <si>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</si>
  <si>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</si>
  <si>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</si>
  <si>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</si>
  <si>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</si>
  <si>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</si>
  <si>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</si>
  <si>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</si>
  <si>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</si>
  <si>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</si>
  <si>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</si>
  <si>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</si>
  <si>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</si>
  <si>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</si>
  <si>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</si>
  <si>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</si>
  <si>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</si>
  <si>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</si>
  <si>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</si>
  <si>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</si>
  <si>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</si>
  <si>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</si>
  <si>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</si>
  <si>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</si>
  <si>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</si>
  <si>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</si>
  <si>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</si>
  <si>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</si>
  <si>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</si>
  <si>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</si>
  <si>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</si>
  <si>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</si>
  <si>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</si>
  <si>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</si>
  <si>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</si>
  <si>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</si>
  <si>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</si>
  <si>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</si>
  <si>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</si>
  <si>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</si>
  <si>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</si>
  <si>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</si>
  <si>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</si>
  <si>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</si>
  <si>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</si>
  <si>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</si>
  <si>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</si>
  <si>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</si>
  <si>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</si>
  <si>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</si>
  <si>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</si>
  <si>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</si>
  <si>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</si>
  <si>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</si>
  <si>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</si>
  <si>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</si>
  <si>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</si>
  <si>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</si>
  <si>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</si>
  <si>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</si>
  <si>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</si>
  <si>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</si>
  <si>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</si>
  <si>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</si>
  <si>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</si>
  <si>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</si>
  <si>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</si>
  <si>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</si>
  <si>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</si>
  <si>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</si>
  <si>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</si>
  <si>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</si>
  <si>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</si>
  <si>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</si>
  <si>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</si>
  <si>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</si>
  <si>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</si>
  <si>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</si>
  <si>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</si>
  <si>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</si>
  <si>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</si>
  <si>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</si>
  <si>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</si>
  <si>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</si>
  <si>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</si>
  <si>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</si>
  <si>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</si>
  <si>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</si>
  <si>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</si>
  <si>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</si>
  <si>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</si>
  <si>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</si>
  <si>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</si>
  <si>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</si>
  <si>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</si>
  <si>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</si>
  <si>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</si>
  <si>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</si>
  <si>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</si>
  <si>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</si>
  <si>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</si>
  <si>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</si>
  <si>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</si>
  <si>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</si>
  <si>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</si>
  <si>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</si>
  <si>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</si>
  <si>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</si>
  <si>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</si>
  <si>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</si>
  <si>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</si>
  <si>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</si>
  <si>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</si>
  <si>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</si>
  <si>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</si>
  <si>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</si>
  <si>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</si>
  <si>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</si>
  <si>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</si>
  <si>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</si>
  <si>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</si>
  <si>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</si>
  <si>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</si>
  <si>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</si>
  <si>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</si>
  <si>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</si>
  <si>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</si>
  <si>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</si>
  <si>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</si>
  <si>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</si>
  <si>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</si>
  <si>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</si>
  <si>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</si>
  <si>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</si>
  <si>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</si>
  <si>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</si>
  <si>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</si>
  <si>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</si>
  <si>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</si>
  <si>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</si>
  <si>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</si>
  <si>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</si>
  <si>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</si>
  <si>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</si>
  <si>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</si>
  <si>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</si>
  <si>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</si>
  <si>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</si>
  <si>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</si>
  <si>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</si>
  <si>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</si>
  <si>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</si>
  <si>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</si>
  <si>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</si>
  <si>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</si>
  <si>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</si>
  <si>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</si>
  <si>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</si>
  <si>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</si>
  <si>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</si>
  <si>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</si>
  <si>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</si>
  <si>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</si>
  <si>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</si>
  <si>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</si>
  <si>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</si>
  <si>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</si>
  <si>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</si>
  <si>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</si>
  <si>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</si>
  <si>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</si>
  <si>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</si>
  <si>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</si>
  <si>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</si>
  <si>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</si>
  <si>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</si>
  <si>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</si>
  <si>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</si>
  <si>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</si>
  <si>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</si>
  <si>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</si>
  <si>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</si>
  <si>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</si>
  <si>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</si>
  <si>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</si>
  <si>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</si>
  <si>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</si>
  <si>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</si>
  <si>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</si>
  <si>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</si>
  <si>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</si>
  <si>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</si>
  <si>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</si>
  <si>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</si>
  <si>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</si>
  <si>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</si>
  <si>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</si>
  <si>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</si>
  <si>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</si>
  <si>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</si>
  <si>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</si>
  <si>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</si>
  <si>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</si>
  <si>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</si>
  <si>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</si>
  <si>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</si>
  <si>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</si>
  <si>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</si>
  <si>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</si>
  <si>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</si>
  <si>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</si>
  <si>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</si>
  <si>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</si>
  <si>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</si>
  <si>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</si>
  <si>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</si>
  <si>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</si>
  <si>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</si>
  <si>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</si>
  <si>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</si>
  <si>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</si>
  <si>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</si>
  <si>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</si>
  <si>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</si>
  <si>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</si>
  <si>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</si>
  <si>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</si>
  <si>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</si>
  <si>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</si>
  <si>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</si>
  <si>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</si>
  <si>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</si>
  <si>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</si>
  <si>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</si>
  <si>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</si>
  <si>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</si>
  <si>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</si>
  <si>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</si>
  <si>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</si>
  <si>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</si>
  <si>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</si>
  <si>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</si>
  <si>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</si>
  <si>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</si>
  <si>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</si>
  <si>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</si>
  <si>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</si>
  <si>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</si>
  <si>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</si>
  <si>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</si>
  <si>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</si>
  <si>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</si>
  <si>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</si>
  <si>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</si>
  <si>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</si>
  <si>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</si>
  <si>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</si>
  <si>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</si>
  <si>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</si>
  <si>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</si>
  <si>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</si>
  <si>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</si>
  <si>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</si>
  <si>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</si>
  <si>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</si>
  <si>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</si>
  <si>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</si>
  <si>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</si>
  <si>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</si>
  <si>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</si>
  <si>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</si>
  <si>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</si>
  <si>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</si>
  <si>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</si>
  <si>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</si>
  <si>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</si>
  <si>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</si>
  <si>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</si>
  <si>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</si>
  <si>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</si>
  <si>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</si>
  <si>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</si>
  <si>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</si>
  <si>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</si>
  <si>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</si>
  <si>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</si>
  <si>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</si>
  <si>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</si>
  <si>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</si>
  <si>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</si>
  <si>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</si>
  <si>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</si>
  <si>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</si>
  <si>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</si>
  <si>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</si>
  <si>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</si>
  <si>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</si>
  <si>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</si>
  <si>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</si>
  <si>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</si>
  <si>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</si>
  <si>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</si>
  <si>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</si>
  <si>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</si>
  <si>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</si>
  <si>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</si>
  <si>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</si>
  <si>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</si>
  <si>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</si>
  <si>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</si>
  <si>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</si>
  <si>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</si>
  <si>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</si>
  <si>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</si>
  <si>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</si>
  <si>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</si>
  <si>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</si>
  <si>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</si>
  <si>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</si>
  <si>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</si>
  <si>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</si>
  <si>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</si>
  <si>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</si>
  <si>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</si>
  <si>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</si>
  <si>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</si>
  <si>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</si>
  <si>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</si>
  <si>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</si>
  <si>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</si>
  <si>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</si>
  <si>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</si>
  <si>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</si>
  <si>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</si>
  <si>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</si>
  <si>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</si>
  <si>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</si>
  <si>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</si>
  <si>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</si>
  <si>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</si>
  <si>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</si>
  <si>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</si>
  <si>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</si>
  <si>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</si>
  <si>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</si>
  <si>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</si>
  <si>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</si>
  <si>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</si>
  <si>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</si>
  <si>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</si>
  <si>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</si>
  <si>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</si>
  <si>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</si>
  <si>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</si>
  <si>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</si>
  <si>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</si>
  <si>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</si>
  <si>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</si>
  <si>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</si>
  <si>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</si>
  <si>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</si>
  <si>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</si>
  <si>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</si>
  <si>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</si>
  <si>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</si>
  <si>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</si>
  <si>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</si>
  <si>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</si>
  <si>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</si>
  <si>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</si>
  <si>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</si>
  <si>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</si>
  <si>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</si>
  <si>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</si>
  <si>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</si>
  <si>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</si>
  <si>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</si>
  <si>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</si>
  <si>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</si>
  <si>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</si>
  <si>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</si>
  <si>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</si>
  <si>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</si>
  <si>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</si>
  <si>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</si>
  <si>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</si>
  <si>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</si>
  <si>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</si>
  <si>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</si>
  <si>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</si>
  <si>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</si>
  <si>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</si>
  <si>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</si>
  <si>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</si>
  <si>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</si>
  <si>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</si>
  <si>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</si>
  <si>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</si>
  <si>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</si>
  <si>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</si>
  <si>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</si>
  <si>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</si>
  <si>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</si>
  <si>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</si>
  <si>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</si>
  <si>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</si>
  <si>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</si>
  <si>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</si>
  <si>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</si>
  <si>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</si>
  <si>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</si>
  <si>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</si>
  <si>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</si>
  <si>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</si>
  <si>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</si>
  <si>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</si>
  <si>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</si>
  <si>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</si>
  <si>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</si>
  <si>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</si>
  <si>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</si>
  <si>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</si>
  <si>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</si>
  <si>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</si>
  <si>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</si>
  <si>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</si>
  <si>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</si>
  <si>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</si>
  <si>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</si>
  <si>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</si>
  <si>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</si>
  <si>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</si>
  <si>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</si>
  <si>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</si>
  <si>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</si>
  <si>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</si>
  <si>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</si>
  <si>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</si>
  <si>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</si>
  <si>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</si>
  <si>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</si>
  <si>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</si>
  <si>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</si>
  <si>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</si>
  <si>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</si>
  <si>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</si>
  <si>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</si>
  <si>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</si>
  <si>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</si>
  <si>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</si>
  <si>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</si>
  <si>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</si>
  <si>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</si>
  <si>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</si>
  <si>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</si>
  <si>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</si>
  <si>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</si>
  <si>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</si>
  <si>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</si>
  <si>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</si>
  <si>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</si>
  <si>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</si>
  <si>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</si>
  <si>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</si>
  <si>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</si>
  <si>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</si>
  <si>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</si>
  <si>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</si>
  <si>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</si>
  <si>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</si>
  <si>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</si>
  <si>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</si>
  <si>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</si>
  <si>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</si>
  <si>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</si>
  <si>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</si>
  <si>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</si>
  <si>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</si>
  <si>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</si>
  <si>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</si>
  <si>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</si>
  <si>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</si>
  <si>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</si>
  <si>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</si>
  <si>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</si>
  <si>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</si>
  <si>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</si>
  <si>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</si>
  <si>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</si>
  <si>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</si>
  <si>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</si>
  <si>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</si>
  <si>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</si>
  <si>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</si>
  <si>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</si>
  <si>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</si>
  <si>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</si>
  <si>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</si>
  <si>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</si>
  <si>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</si>
  <si>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</si>
  <si>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</si>
  <si>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</si>
  <si>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</si>
  <si>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</si>
  <si>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</si>
  <si>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</si>
  <si>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</si>
  <si>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</si>
  <si>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</si>
  <si>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</si>
  <si>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</si>
  <si>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</si>
  <si>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</si>
  <si>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</si>
  <si>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</si>
  <si>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</si>
  <si>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</si>
  <si>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</si>
  <si>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</si>
  <si>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</si>
  <si>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</si>
  <si>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</si>
  <si>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</si>
  <si>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</si>
  <si>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</si>
  <si>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</si>
  <si>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</si>
  <si>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</si>
  <si>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</si>
  <si>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</si>
  <si>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</si>
  <si>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</si>
  <si>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</si>
  <si>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</si>
  <si>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</si>
  <si>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</si>
  <si>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</si>
  <si>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</si>
  <si>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</si>
  <si>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</si>
  <si>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</si>
  <si>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</si>
  <si>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</si>
  <si>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</si>
  <si>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</si>
  <si>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</si>
  <si>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</si>
  <si>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</si>
  <si>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</si>
  <si>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</si>
  <si>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</si>
  <si>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</si>
  <si>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</si>
  <si>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</si>
  <si>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</si>
  <si>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</si>
  <si>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</si>
  <si>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</si>
  <si>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</si>
  <si>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</si>
  <si>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</si>
  <si>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</si>
  <si>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</si>
  <si>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</si>
  <si>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</si>
  <si>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</si>
  <si>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</si>
  <si>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</si>
  <si>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</si>
  <si>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</si>
  <si>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</si>
  <si>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</si>
  <si>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</si>
  <si>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</si>
  <si>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</si>
  <si>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</si>
  <si>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</si>
  <si>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</si>
  <si>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</si>
  <si>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</si>
  <si>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</si>
  <si>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</si>
  <si>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</si>
  <si>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</si>
  <si>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</si>
  <si>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</si>
  <si>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</si>
  <si>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</si>
  <si>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</si>
  <si>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</si>
  <si>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</si>
  <si>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</si>
  <si>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</si>
  <si>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</si>
  <si>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</si>
  <si>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</si>
  <si>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</si>
  <si>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</si>
  <si>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</si>
  <si>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</si>
  <si>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</si>
  <si>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</si>
  <si>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</si>
  <si>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</si>
  <si>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</si>
  <si>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</si>
  <si>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</si>
  <si>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</si>
  <si>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</si>
  <si>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</si>
  <si>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</si>
  <si>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</si>
  <si>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</si>
  <si>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</si>
  <si>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</si>
  <si>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</si>
  <si>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</si>
  <si>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</si>
  <si>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</si>
  <si>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</si>
  <si>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</si>
  <si>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</si>
  <si>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</si>
  <si>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</si>
  <si>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</si>
  <si>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</si>
  <si>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</si>
  <si>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</si>
  <si>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</si>
  <si>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</si>
  <si>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</si>
  <si>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</si>
  <si>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</si>
  <si>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</si>
  <si>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</si>
  <si>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</si>
  <si>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</si>
  <si>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</si>
  <si>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</si>
  <si>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</si>
  <si>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</si>
  <si>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</si>
  <si>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</si>
  <si>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</si>
  <si>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</si>
  <si>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</si>
  <si>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</si>
  <si>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</si>
  <si>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</si>
  <si>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</si>
  <si>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</si>
  <si>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</si>
  <si>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</si>
  <si>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</si>
  <si>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</si>
  <si>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</si>
  <si>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</si>
  <si>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</si>
  <si>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</si>
  <si>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</si>
  <si>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</si>
  <si>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</si>
  <si>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</si>
  <si>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</si>
  <si>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</si>
  <si>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</si>
  <si>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</si>
  <si>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</si>
  <si>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</si>
  <si>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</si>
  <si>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</si>
  <si>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</si>
  <si>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</si>
  <si>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</si>
  <si>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</si>
  <si>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</si>
  <si>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</si>
  <si>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</si>
  <si>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</si>
  <si>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</si>
  <si>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</si>
  <si>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</si>
  <si>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</si>
  <si>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</si>
  <si>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</si>
  <si>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</si>
  <si>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</si>
  <si>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</si>
  <si>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</si>
  <si>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</si>
  <si>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</si>
  <si>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</si>
  <si>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</si>
  <si>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</si>
  <si>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</si>
  <si>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</si>
  <si>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</si>
  <si>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</si>
  <si>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</si>
  <si>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</si>
  <si>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</si>
  <si>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</si>
  <si>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</si>
  <si>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</si>
  <si>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</si>
  <si>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</si>
  <si>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</si>
  <si>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</si>
  <si>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</si>
  <si>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</si>
  <si>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</si>
  <si>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</si>
  <si>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</si>
  <si>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</si>
  <si>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</si>
  <si>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</si>
  <si>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</si>
  <si>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</si>
  <si>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</si>
  <si>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</si>
  <si>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</si>
  <si>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</si>
  <si>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</si>
  <si>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</si>
  <si>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</si>
  <si>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</si>
  <si>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</si>
  <si>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</si>
  <si>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</si>
  <si>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</si>
  <si>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</si>
  <si>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</si>
  <si>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</si>
  <si>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</si>
  <si>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</si>
  <si>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</si>
  <si>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</si>
  <si>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</si>
  <si>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</si>
  <si>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</si>
  <si>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</si>
  <si>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</si>
  <si>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</si>
  <si>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</si>
  <si>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</si>
  <si>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</si>
  <si>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</si>
  <si>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</si>
  <si>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</si>
  <si>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</si>
  <si>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</si>
  <si>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</si>
  <si>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</si>
  <si>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</si>
  <si>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</si>
  <si>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</si>
  <si>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</si>
  <si>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</si>
  <si>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</si>
  <si>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</si>
  <si>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</si>
  <si>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</si>
  <si>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</si>
  <si>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</si>
  <si>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</si>
  <si>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</si>
  <si>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</si>
  <si>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</si>
  <si>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</si>
  <si>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</si>
  <si>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</si>
  <si>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</si>
  <si>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</si>
  <si>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</si>
  <si>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</si>
  <si>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</si>
  <si>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</si>
  <si>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</si>
  <si>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</si>
  <si>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</si>
  <si>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</si>
  <si>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</si>
  <si>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</si>
  <si>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</si>
  <si>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</si>
  <si>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</si>
  <si>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</si>
  <si>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</si>
  <si>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</si>
  <si>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</si>
  <si>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</si>
  <si>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</si>
  <si>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</si>
  <si>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</si>
  <si>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</si>
  <si>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</si>
  <si>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</si>
  <si>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</si>
  <si>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</si>
  <si>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</si>
  <si>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</si>
  <si>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</si>
  <si>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</si>
  <si>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</si>
  <si>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</si>
  <si>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</si>
  <si>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</si>
  <si>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</si>
  <si>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</si>
  <si>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</si>
  <si>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</si>
  <si>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</si>
  <si>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</si>
  <si>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</si>
  <si>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</si>
  <si>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</si>
  <si>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</si>
  <si>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</si>
  <si>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</si>
  <si>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</si>
  <si>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</si>
  <si>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</si>
  <si>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</si>
  <si>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</si>
  <si>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</si>
  <si>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</si>
  <si>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</si>
  <si>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</si>
  <si>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</si>
  <si>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</si>
  <si>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</si>
  <si>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</si>
  <si>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</si>
  <si>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</si>
  <si>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</si>
  <si>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</si>
  <si>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</si>
  <si>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</si>
  <si>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</si>
  <si>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</si>
  <si>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</si>
  <si>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</si>
  <si>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</si>
  <si>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</si>
  <si>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</si>
  <si>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</si>
  <si>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</si>
  <si>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</si>
  <si>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</si>
  <si>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</si>
  <si>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</si>
  <si>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</si>
  <si>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</si>
  <si>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</si>
  <si>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</si>
  <si>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</si>
  <si>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</si>
  <si>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</si>
  <si>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</si>
  <si>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</si>
  <si>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</si>
  <si>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</si>
  <si>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</si>
  <si>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</si>
  <si>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</si>
  <si>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</si>
  <si>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</si>
  <si>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</si>
  <si>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</si>
  <si>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</si>
  <si>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</si>
  <si>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</si>
  <si>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</si>
  <si>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</si>
  <si>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</si>
  <si>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</si>
  <si>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</si>
  <si>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</si>
  <si>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</si>
  <si>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</si>
  <si>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</si>
  <si>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</si>
  <si>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</si>
  <si>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</si>
  <si>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</si>
  <si>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</si>
  <si>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</si>
  <si>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</si>
  <si>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</si>
  <si>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</si>
  <si>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</si>
  <si>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</si>
  <si>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</si>
  <si>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</si>
  <si>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</si>
  <si>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</si>
  <si>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</si>
  <si>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</si>
  <si>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</si>
  <si>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</si>
  <si>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</si>
  <si>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</si>
  <si>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</si>
  <si>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</si>
  <si>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</si>
  <si>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</si>
  <si>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</si>
  <si>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</si>
  <si>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</si>
  <si>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</si>
  <si>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</si>
  <si>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</si>
  <si>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</si>
  <si>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</si>
  <si>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</si>
  <si>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</si>
  <si>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</si>
  <si>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</si>
  <si>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</si>
  <si>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</si>
  <si>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</si>
  <si>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</si>
  <si>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</si>
  <si>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</si>
  <si>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</si>
  <si>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</si>
  <si>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</si>
  <si>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</si>
  <si>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</si>
  <si>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</si>
  <si>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</si>
  <si>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</si>
  <si>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</si>
  <si>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</si>
  <si>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</si>
  <si>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</si>
  <si>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</si>
  <si>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</si>
  <si>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</si>
  <si>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</si>
  <si>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</si>
  <si>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</si>
  <si>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</si>
  <si>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</si>
  <si>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</si>
  <si>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</si>
  <si>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</si>
  <si>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</si>
  <si>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</si>
  <si>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</si>
  <si>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</si>
  <si>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</si>
  <si>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</si>
  <si>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</si>
  <si>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</si>
  <si>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</si>
  <si>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</si>
  <si>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</si>
  <si>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</si>
  <si>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</si>
  <si>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</si>
  <si>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</si>
  <si>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</si>
  <si>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</si>
  <si>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</si>
  <si>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</si>
  <si>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</si>
  <si>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</si>
  <si>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</si>
  <si>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</si>
  <si>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</si>
  <si>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</si>
  <si>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</si>
  <si>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</si>
  <si>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</si>
  <si>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</si>
  <si>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</si>
  <si>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</si>
  <si>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</si>
  <si>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</si>
  <si>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</si>
  <si>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</si>
  <si>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</si>
  <si>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</si>
  <si>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</si>
  <si>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</si>
  <si>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</si>
  <si>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</si>
  <si>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</si>
  <si>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</si>
  <si>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</si>
  <si>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</si>
  <si>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</si>
  <si>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</si>
  <si>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</si>
  <si>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</si>
  <si>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</si>
  <si>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</si>
  <si>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</si>
  <si>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</si>
  <si>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</si>
  <si>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</si>
  <si>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</si>
  <si>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</si>
  <si>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</si>
  <si>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</si>
  <si>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</si>
  <si>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</si>
  <si>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</si>
  <si>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</si>
  <si>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</si>
  <si>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</si>
  <si>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</si>
  <si>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</si>
  <si>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</si>
  <si>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</si>
  <si>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</si>
  <si>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</si>
  <si>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</si>
  <si>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</si>
  <si>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</si>
  <si>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</si>
  <si>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</si>
  <si>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</si>
  <si>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</si>
  <si>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</si>
  <si>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</si>
  <si>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</si>
  <si>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</si>
  <si>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</si>
  <si>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</si>
  <si>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</si>
  <si>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</si>
  <si>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</si>
  <si>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</si>
  <si>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</si>
  <si>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</si>
  <si>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</si>
  <si>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</si>
  <si>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</si>
  <si>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</si>
  <si>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</si>
  <si>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</si>
  <si>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</si>
  <si>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</si>
  <si>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</si>
  <si>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</si>
  <si>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</si>
  <si>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</si>
  <si>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</si>
  <si>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</si>
  <si>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</si>
  <si>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</si>
  <si>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</si>
  <si>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</si>
  <si>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</si>
  <si>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</si>
  <si>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</si>
  <si>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</si>
  <si>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</si>
  <si>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</si>
  <si>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</si>
  <si>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</si>
  <si>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</si>
  <si>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</si>
  <si>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</si>
  <si>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</si>
  <si>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</si>
  <si>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</si>
  <si>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</si>
  <si>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</si>
  <si>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</si>
  <si>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</si>
  <si>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</si>
  <si>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</si>
  <si>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</si>
  <si>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</si>
  <si>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</si>
  <si>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</si>
  <si>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</si>
  <si>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</si>
  <si>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</si>
  <si>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</si>
  <si>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</si>
  <si>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</si>
  <si>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</si>
  <si>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</si>
  <si>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</si>
  <si>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</si>
  <si>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</si>
  <si>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</si>
  <si>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</si>
  <si>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</si>
  <si>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</si>
  <si>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</si>
  <si>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</si>
  <si>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</si>
  <si>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</si>
  <si>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</si>
  <si>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</si>
  <si>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</si>
  <si>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</si>
  <si>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</si>
  <si>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</si>
  <si>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</si>
  <si>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</si>
  <si>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</si>
  <si>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</si>
  <si>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</si>
  <si>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</si>
  <si>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</si>
  <si>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</si>
  <si>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</si>
  <si>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</si>
  <si>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</si>
  <si>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</si>
  <si>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</si>
  <si>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</si>
  <si>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</si>
  <si>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</si>
  <si>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</si>
  <si>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</si>
  <si>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</si>
  <si>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</si>
  <si>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</si>
  <si>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</si>
  <si>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</si>
  <si>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</si>
  <si>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</si>
  <si>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</si>
  <si>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</si>
  <si>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</si>
  <si>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</si>
  <si>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</si>
  <si>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</si>
  <si>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</si>
  <si>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</si>
  <si>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</si>
  <si>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</si>
  <si>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</si>
  <si>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</si>
  <si>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</si>
  <si>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</si>
  <si>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</si>
  <si>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</si>
  <si>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</si>
  <si>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</si>
  <si>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</si>
  <si>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</si>
  <si>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</si>
  <si>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</si>
  <si>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</si>
  <si>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</si>
  <si>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</si>
  <si>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</si>
  <si>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</si>
  <si>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</si>
  <si>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</si>
  <si>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</si>
  <si>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</si>
  <si>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</si>
  <si>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</si>
  <si>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</si>
  <si>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</si>
  <si>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</si>
  <si>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</si>
  <si>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</si>
  <si>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</si>
  <si>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</si>
  <si>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</si>
  <si>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</si>
  <si>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</si>
  <si>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</si>
  <si>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</si>
  <si>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</si>
  <si>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</si>
  <si>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</si>
  <si>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</si>
  <si>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</si>
  <si>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</si>
  <si>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</si>
  <si>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</si>
  <si>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</si>
  <si>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</si>
  <si>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</si>
  <si>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</si>
  <si>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</si>
  <si>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</si>
  <si>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</si>
  <si>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</si>
  <si>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</si>
  <si>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</si>
  <si>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</si>
  <si>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</si>
  <si>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</si>
  <si>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</si>
  <si>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</si>
  <si>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</si>
  <si>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</si>
  <si>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</si>
  <si>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</si>
  <si>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</si>
  <si>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</si>
  <si>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</si>
  <si>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</si>
  <si>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</si>
  <si>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</si>
  <si>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</si>
  <si>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</si>
  <si>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</si>
  <si>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</si>
  <si>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</si>
  <si>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</si>
  <si>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</si>
  <si>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</si>
  <si>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</si>
  <si>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</si>
  <si>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</si>
  <si>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</si>
  <si>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</si>
  <si>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</si>
  <si>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</si>
  <si>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</si>
  <si>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</si>
  <si>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</si>
  <si>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</si>
  <si>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</si>
  <si>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</si>
  <si>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</si>
  <si>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</si>
  <si>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</si>
  <si>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</si>
  <si>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</si>
  <si>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</si>
  <si>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</si>
  <si>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</si>
  <si>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</si>
  <si>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</si>
  <si>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</si>
  <si>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</si>
  <si>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</si>
  <si>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</si>
  <si>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</si>
  <si>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</si>
  <si>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</si>
  <si>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</si>
  <si>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</si>
  <si>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</si>
  <si>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</si>
  <si>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</si>
  <si>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</si>
  <si>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</si>
  <si>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</si>
  <si>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</si>
  <si>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</si>
  <si>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</si>
  <si>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</si>
  <si>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</si>
  <si>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</si>
  <si>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</si>
  <si>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</si>
  <si>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</si>
  <si>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</si>
  <si>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</si>
  <si>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</si>
  <si>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</si>
  <si>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</si>
  <si>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</si>
  <si>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</si>
  <si>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</si>
  <si>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</si>
  <si>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</si>
  <si>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</si>
  <si>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</si>
  <si>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</si>
  <si>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</si>
  <si>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</si>
  <si>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</si>
  <si>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</si>
  <si>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</si>
  <si>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</si>
  <si>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</si>
  <si>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</si>
  <si>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</si>
  <si>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</si>
  <si>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</si>
  <si>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</si>
  <si>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</si>
  <si>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</si>
  <si>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</si>
  <si>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</si>
  <si>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</si>
  <si>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</si>
  <si>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</si>
  <si>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</si>
  <si>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</si>
  <si>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</si>
  <si>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</si>
  <si>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</si>
  <si>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</si>
  <si>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</si>
  <si>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</si>
  <si>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</si>
  <si>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</si>
  <si>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</si>
  <si>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</si>
  <si>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</si>
  <si>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</si>
  <si>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</si>
  <si>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</si>
  <si>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</si>
  <si>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</si>
  <si>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</si>
  <si>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</si>
  <si>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</si>
  <si>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</si>
  <si>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</si>
  <si>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</si>
  <si>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</si>
  <si>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</si>
  <si>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</si>
  <si>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</si>
  <si>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</si>
  <si>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</si>
  <si>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</si>
  <si>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</si>
  <si>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</si>
  <si>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</si>
  <si>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</si>
  <si>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</si>
  <si>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</si>
  <si>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</si>
  <si>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</si>
  <si>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</si>
  <si>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</si>
  <si>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</si>
  <si>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</si>
  <si>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</si>
  <si>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</si>
  <si>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</si>
  <si>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</si>
  <si>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</si>
  <si>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</si>
  <si>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</si>
  <si>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</si>
  <si>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</si>
  <si>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</si>
  <si>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</si>
  <si>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</si>
  <si>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</si>
  <si>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</si>
  <si>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</si>
  <si>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</si>
  <si>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</si>
  <si>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</si>
  <si>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</si>
  <si>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</si>
  <si>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</si>
  <si>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</si>
  <si>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</si>
  <si>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</si>
  <si>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</si>
  <si>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</si>
  <si>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</si>
  <si>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</si>
  <si>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</si>
  <si>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</si>
  <si>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</si>
  <si>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</si>
  <si>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</si>
  <si>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</si>
  <si>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</si>
  <si>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</si>
  <si>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</si>
  <si>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</si>
  <si>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</si>
  <si>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</si>
  <si>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</si>
  <si>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</si>
  <si>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</si>
  <si>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</si>
  <si>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</si>
  <si>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</si>
  <si>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</si>
  <si>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</si>
  <si>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</si>
  <si>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</si>
  <si>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</si>
  <si>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</si>
  <si>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</si>
  <si>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</si>
  <si>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</si>
  <si>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</si>
  <si>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</si>
  <si>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</si>
  <si>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</si>
  <si>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</si>
  <si>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</si>
  <si>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</si>
  <si>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</si>
  <si>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</si>
  <si>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</si>
  <si>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</si>
  <si>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</si>
  <si>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</si>
  <si>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</si>
  <si>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</si>
  <si>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</si>
  <si>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</si>
  <si>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</si>
  <si>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</si>
  <si>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</si>
  <si>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</si>
  <si>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</si>
  <si>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</si>
  <si>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</si>
  <si>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</si>
  <si>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</si>
  <si>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</si>
  <si>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</si>
  <si>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</si>
  <si>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</si>
  <si>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</si>
  <si>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</si>
  <si>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</si>
  <si>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</si>
  <si>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</si>
  <si>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</si>
  <si>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</si>
  <si>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</si>
  <si>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</si>
  <si>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</si>
  <si>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</si>
  <si>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</si>
  <si>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</si>
  <si>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</si>
  <si>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</si>
  <si>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</si>
  <si>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</si>
  <si>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</si>
  <si>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</si>
  <si>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</si>
  <si>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</si>
  <si>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</si>
  <si>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</si>
  <si>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</si>
  <si>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</si>
  <si>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</si>
  <si>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</si>
  <si>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</si>
  <si>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</si>
  <si>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</si>
  <si>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</si>
  <si>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</si>
  <si>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</si>
  <si>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</si>
  <si>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</si>
  <si>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</si>
  <si>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</si>
  <si>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</si>
  <si>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</si>
  <si>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</si>
  <si>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</si>
  <si>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</si>
  <si>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</si>
  <si>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</si>
  <si>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</si>
  <si>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</si>
  <si>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</si>
  <si>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</si>
  <si>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</si>
  <si>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</si>
  <si>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</si>
  <si>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</si>
  <si>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</si>
  <si>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</si>
  <si>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</si>
  <si>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</si>
  <si>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</si>
  <si>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</si>
  <si>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</si>
  <si>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</si>
  <si>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</si>
  <si>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</si>
  <si>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</si>
  <si>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</si>
  <si>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</si>
  <si>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</si>
  <si>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</si>
  <si>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</si>
  <si>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</si>
  <si>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</si>
  <si>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</si>
  <si>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</si>
  <si>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</si>
  <si>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</si>
  <si>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</si>
  <si>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</si>
  <si>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</si>
  <si>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</si>
  <si>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</si>
  <si>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</si>
  <si>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</si>
  <si>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</si>
  <si>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</si>
  <si>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</si>
  <si>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</si>
  <si>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</si>
  <si>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</si>
  <si>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</si>
  <si>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</si>
  <si>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</si>
  <si>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</si>
  <si>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</si>
  <si>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</si>
  <si>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</si>
  <si>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</si>
  <si>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</si>
  <si>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</si>
  <si>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</si>
  <si>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</si>
  <si>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</si>
  <si>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</si>
  <si>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</si>
  <si>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</si>
  <si>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</si>
  <si>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</si>
  <si>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</si>
  <si>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</si>
  <si>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</si>
  <si>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</si>
  <si>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</si>
  <si>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</si>
  <si>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</si>
  <si>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</si>
  <si>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</si>
  <si>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</si>
  <si>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</si>
  <si>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</si>
  <si>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</si>
  <si>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</si>
  <si>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</si>
  <si>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</si>
  <si>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</si>
  <si>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</si>
  <si>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</si>
  <si>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</si>
  <si>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</si>
  <si>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</si>
  <si>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</si>
  <si>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</si>
  <si>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</si>
  <si>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</si>
  <si>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</si>
  <si>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</si>
  <si>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</si>
  <si>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</si>
  <si>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</si>
  <si>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</si>
  <si>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</si>
  <si>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</si>
  <si>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</si>
  <si>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</si>
  <si>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</si>
  <si>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</si>
  <si>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</si>
  <si>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</si>
  <si>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</si>
  <si>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</si>
  <si>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</si>
  <si>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</si>
  <si>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</si>
  <si>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</si>
  <si>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</si>
  <si>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</si>
  <si>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</si>
  <si>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</si>
  <si>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</si>
  <si>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</si>
  <si>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</si>
  <si>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</si>
  <si>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</si>
  <si>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</si>
  <si>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</si>
  <si>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</si>
  <si>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</si>
  <si>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</si>
  <si>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</si>
  <si>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</si>
  <si>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</si>
  <si>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</si>
  <si>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</si>
  <si>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</si>
  <si>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</si>
  <si>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</si>
  <si>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</si>
  <si>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</si>
  <si>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</si>
  <si>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</si>
  <si>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</si>
  <si>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</si>
  <si>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</si>
  <si>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</si>
  <si>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</si>
  <si>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</si>
  <si>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</si>
  <si>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</si>
  <si>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</si>
  <si>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</si>
  <si>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</si>
  <si>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</si>
  <si>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</si>
  <si>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</si>
  <si>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</si>
  <si>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</si>
  <si>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</si>
  <si>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</si>
  <si>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</si>
  <si>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</si>
  <si>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</si>
  <si>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</si>
  <si>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</si>
  <si>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</si>
  <si>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</si>
  <si>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</si>
  <si>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</si>
  <si>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</si>
  <si>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</si>
  <si>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</si>
  <si>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</si>
  <si>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</si>
  <si>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</si>
  <si>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</si>
  <si>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</si>
  <si>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</si>
  <si>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</si>
  <si>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</si>
  <si>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</si>
  <si>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</si>
  <si>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</si>
  <si>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</si>
  <si>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</si>
  <si>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</si>
  <si>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</si>
  <si>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</si>
  <si>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</si>
  <si>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</si>
  <si>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</si>
  <si>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</si>
  <si>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</si>
  <si>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</si>
  <si>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</si>
  <si>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</si>
  <si>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</si>
  <si>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</si>
  <si>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</si>
  <si>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</si>
  <si>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</si>
  <si>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</si>
  <si>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</si>
  <si>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</si>
  <si>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</si>
  <si>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</si>
  <si>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</si>
  <si>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</si>
  <si>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</si>
  <si>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</si>
  <si>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</si>
  <si>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</si>
  <si>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</si>
  <si>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</si>
  <si>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</si>
  <si>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</si>
  <si>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</si>
  <si>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</si>
  <si>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</si>
  <si>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</si>
  <si>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</si>
  <si>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</si>
  <si>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</si>
  <si>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</si>
  <si>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</si>
  <si>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</si>
  <si>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</si>
  <si>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</si>
  <si>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</si>
  <si>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</si>
  <si>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</si>
  <si>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</si>
  <si>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</si>
  <si>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</si>
  <si>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</si>
  <si>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</si>
  <si>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</si>
  <si>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</si>
  <si>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</si>
  <si>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</si>
  <si>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</si>
  <si>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</si>
  <si>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</si>
  <si>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</si>
  <si>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</si>
  <si>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</si>
  <si>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</si>
  <si>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</si>
  <si>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</si>
  <si>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</si>
  <si>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</si>
  <si>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</si>
  <si>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</si>
  <si>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</si>
  <si>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</si>
  <si>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</si>
  <si>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</si>
  <si>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</si>
  <si>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</si>
  <si>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</si>
  <si>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</si>
  <si>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</si>
  <si>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</si>
  <si>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</si>
  <si>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</si>
  <si>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</si>
  <si>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</si>
  <si>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</si>
  <si>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</si>
  <si>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</si>
  <si>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</si>
  <si>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</si>
  <si>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</si>
  <si>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</si>
  <si>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</si>
  <si>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</si>
  <si>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</si>
  <si>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</si>
  <si>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</si>
  <si>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</si>
  <si>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</si>
  <si>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</si>
  <si>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</si>
  <si>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</si>
  <si>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</si>
  <si>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</si>
  <si>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</si>
  <si>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</si>
  <si>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</si>
  <si>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</si>
  <si>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</si>
  <si>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</si>
  <si>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</si>
  <si>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</si>
  <si>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</si>
  <si>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</si>
  <si>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</si>
  <si>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</si>
  <si>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</si>
  <si>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</si>
  <si>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</si>
  <si>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</si>
  <si>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</si>
  <si>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</si>
  <si>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</si>
  <si>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</si>
  <si>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</si>
  <si>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</si>
  <si>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</si>
  <si>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</si>
  <si>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</si>
  <si>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</si>
  <si>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</si>
  <si>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</si>
  <si>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</si>
  <si>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</si>
  <si>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</si>
  <si>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</si>
  <si>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</si>
  <si>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</si>
  <si>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</si>
  <si>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</si>
  <si>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</si>
  <si>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</si>
  <si>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</si>
  <si>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</si>
  <si>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</si>
  <si>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</si>
  <si>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</si>
  <si>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</si>
  <si>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</si>
  <si>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</si>
  <si>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</si>
  <si>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</si>
  <si>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</si>
  <si>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</si>
  <si>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</si>
  <si>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</si>
  <si>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</si>
  <si>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</si>
  <si>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</si>
  <si>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</si>
  <si>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</si>
  <si>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</si>
  <si>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</si>
  <si>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</si>
  <si>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</si>
  <si>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</si>
  <si>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</si>
  <si>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</si>
  <si>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</si>
  <si>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</si>
  <si>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</si>
  <si>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</si>
  <si>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</si>
  <si>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</si>
  <si>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</si>
  <si>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</si>
  <si>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</si>
  <si>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</si>
  <si>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</si>
  <si>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</si>
  <si>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</si>
  <si>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</si>
  <si>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</si>
  <si>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</si>
  <si>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</si>
  <si>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</si>
  <si>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</si>
  <si>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</si>
  <si>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</si>
  <si>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</si>
  <si>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</si>
  <si>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</si>
  <si>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</si>
  <si>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</si>
  <si>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</si>
  <si>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</si>
  <si>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</si>
  <si>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</si>
  <si>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</si>
  <si>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</si>
  <si>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</si>
  <si>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</si>
  <si>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</si>
  <si>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</si>
  <si>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</si>
  <si>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</si>
  <si>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</si>
  <si>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</si>
  <si>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</si>
  <si>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</si>
  <si>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</si>
  <si>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</si>
  <si>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</si>
  <si>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</si>
  <si>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</si>
  <si>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</si>
  <si>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</si>
  <si>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</si>
  <si>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住宅</t>
  </si>
  <si>
    <t>元</t>
  </si>
  <si>
    <t>楼面单价</t>
  </si>
  <si>
    <t>白景生</t>
  </si>
  <si>
    <t>核定资产</t>
  </si>
  <si>
    <t>房地产市场价值</t>
  </si>
  <si>
    <t>北京市</t>
  </si>
  <si>
    <t>自然人</t>
  </si>
  <si>
    <r>
      <rPr>
        <sz val="10"/>
        <color indexed="8"/>
        <rFont val="宋体"/>
        <family val="3"/>
        <charset val="134"/>
      </rPr>
      <t>朝阳区夏家园</t>
    </r>
    <r>
      <rPr>
        <sz val="10"/>
        <color indexed="8"/>
        <rFont val="Arial"/>
        <family val="2"/>
      </rPr>
      <t>16</t>
    </r>
    <r>
      <rPr>
        <sz val="10"/>
        <color indexed="8"/>
        <rFont val="宋体"/>
        <family val="3"/>
        <charset val="134"/>
      </rPr>
      <t>号楼</t>
    </r>
    <r>
      <rPr>
        <sz val="10"/>
        <color indexed="8"/>
        <rFont val="Arial"/>
        <family val="2"/>
      </rPr>
      <t>3</t>
    </r>
    <r>
      <rPr>
        <sz val="10"/>
        <color indexed="8"/>
        <rFont val="宋体"/>
        <family val="3"/>
        <charset val="134"/>
      </rPr>
      <t>单元</t>
    </r>
    <r>
      <rPr>
        <sz val="10"/>
        <color indexed="8"/>
        <rFont val="Arial"/>
        <family val="2"/>
      </rPr>
      <t>301</t>
    </r>
    <r>
      <rPr>
        <sz val="10"/>
        <color indexed="8"/>
        <rFont val="宋体"/>
        <family val="3"/>
        <charset val="134"/>
      </rPr>
      <t>号</t>
    </r>
    <phoneticPr fontId="7" type="noConversion"/>
  </si>
  <si>
    <t>与房产证证载一致</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</si>
  <si>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</si>
  <si>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</si>
  <si>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</si>
  <si>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</si>
  <si>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</si>
  <si>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</si>
  <si>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</si>
  <si>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</si>
  <si>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</si>
  <si>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</si>
  <si>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</si>
  <si>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</si>
  <si>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</si>
  <si>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</si>
  <si>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</si>
  <si>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</si>
  <si>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</si>
  <si>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估价对象1（结果表）</t>
  </si>
  <si>
    <t>收益法</t>
  </si>
  <si>
    <t>比较法-住宅</t>
  </si>
  <si>
    <t>估价对象</t>
  </si>
  <si>
    <t>设定收益年期(n)</t>
  </si>
  <si>
    <t>钢混</t>
  </si>
  <si>
    <t>非生产用房</t>
  </si>
  <si>
    <t>售价</t>
  </si>
  <si>
    <t>估价方法</t>
  </si>
  <si>
    <t>杨红英</t>
  </si>
  <si>
    <t>住宅</t>
    <phoneticPr fontId="7" type="noConversion"/>
  </si>
  <si>
    <t>12</t>
    <phoneticPr fontId="4" type="noConversion"/>
  </si>
  <si>
    <t>60</t>
    <phoneticPr fontId="4" type="noConversion"/>
  </si>
  <si>
    <t>朝阳区夏家园16号楼3单元301</t>
    <phoneticPr fontId="4" type="noConversion"/>
  </si>
  <si>
    <t>住宅</t>
    <phoneticPr fontId="20" type="noConversion"/>
  </si>
  <si>
    <t>50-60（含）</t>
  </si>
  <si>
    <t>估价对象周边有万方景轩、新纪家园、曙光里、凤凰城、西坝河东里，综合评价居住社区成熟度较好。</t>
    <phoneticPr fontId="3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</si>
  <si>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</si>
  <si>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估价对象紧邻城市主干道—曙光西路，有132路、467路、515路等多条公交线路及地铁10号线太阳宫站通过，交通便捷度较好。</t>
    <phoneticPr fontId="4" type="noConversion"/>
  </si>
  <si>
    <t>估价对象所在区域公共配套设施较好</t>
    <phoneticPr fontId="4" type="noConversion"/>
  </si>
  <si>
    <t>七通一平</t>
    <phoneticPr fontId="4" type="noConversion"/>
  </si>
  <si>
    <r>
      <t>自然环境：太阳宫公园、金隅南湖公园、坝河等；人文环境：北京中医药大学、中央美术学院、园林科技研究所</t>
    </r>
    <r>
      <rPr>
        <sz val="11"/>
        <rFont val="楷体_GB2312"/>
        <family val="3"/>
        <charset val="134"/>
      </rPr>
      <t>等；综合</t>
    </r>
    <r>
      <rPr>
        <sz val="11"/>
        <color theme="1"/>
        <rFont val="楷体_GB2312"/>
        <family val="3"/>
        <charset val="134"/>
      </rPr>
      <t>评价环境状况较好。</t>
    </r>
    <phoneticPr fontId="4" type="noConversion"/>
  </si>
  <si>
    <t>城市主干道—曙光西路</t>
    <phoneticPr fontId="4" type="noConversion"/>
  </si>
  <si>
    <t>七通</t>
  </si>
  <si>
    <t>南北</t>
    <phoneticPr fontId="20" type="noConversion"/>
  </si>
  <si>
    <t>城市主干道——曙光西路</t>
    <phoneticPr fontId="20" type="noConversion"/>
  </si>
  <si>
    <t>楼层</t>
    <phoneticPr fontId="20" type="noConversion"/>
  </si>
  <si>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</si>
  <si>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</si>
  <si>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</si>
  <si>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</si>
  <si>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</si>
  <si>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</si>
  <si>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</si>
  <si>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</si>
  <si>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</si>
  <si>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</si>
  <si>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</si>
  <si>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</si>
  <si>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</si>
  <si>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</si>
  <si>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</si>
  <si>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</si>
  <si>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</si>
  <si>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</si>
  <si>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</si>
  <si>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</si>
  <si>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</si>
  <si>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</si>
  <si>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</si>
  <si>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</si>
  <si>
    <t>平层</t>
    <phoneticPr fontId="20" type="noConversion"/>
  </si>
  <si>
    <t>高层板楼</t>
  </si>
  <si>
    <t>普通装修</t>
  </si>
  <si>
    <t>普通物业公司管理</t>
  </si>
  <si>
    <t>水星园</t>
    <phoneticPr fontId="4" type="noConversion"/>
  </si>
  <si>
    <t>东南</t>
    <phoneticPr fontId="20" type="noConversion"/>
  </si>
  <si>
    <t>西南</t>
    <phoneticPr fontId="20" type="noConversion"/>
  </si>
  <si>
    <r>
      <rPr>
        <sz val="11"/>
        <rFont val="宋体"/>
        <family val="3"/>
        <charset val="134"/>
      </rPr>
      <t>低楼层</t>
    </r>
    <r>
      <rPr>
        <sz val="11"/>
        <rFont val="Arial"/>
        <family val="2"/>
      </rPr>
      <t>/23</t>
    </r>
    <phoneticPr fontId="20" type="noConversion"/>
  </si>
  <si>
    <r>
      <rPr>
        <sz val="11"/>
        <rFont val="宋体"/>
        <family val="3"/>
        <charset val="134"/>
      </rPr>
      <t>中楼层</t>
    </r>
    <r>
      <rPr>
        <sz val="11"/>
        <rFont val="Arial"/>
        <family val="2"/>
      </rPr>
      <t>/23</t>
    </r>
    <phoneticPr fontId="20" type="noConversion"/>
  </si>
  <si>
    <t>3/14</t>
    <phoneticPr fontId="20" type="noConversion"/>
  </si>
  <si>
    <t>板塔结合</t>
  </si>
  <si>
    <t>建成年代</t>
    <phoneticPr fontId="20" type="noConversion"/>
  </si>
  <si>
    <r>
      <rPr>
        <sz val="11"/>
        <rFont val="宋体"/>
        <family val="3"/>
        <charset val="134"/>
      </rPr>
      <t>高楼层</t>
    </r>
    <r>
      <rPr>
        <sz val="11"/>
        <rFont val="Arial"/>
        <family val="2"/>
      </rPr>
      <t>/23</t>
    </r>
    <phoneticPr fontId="20" type="noConversion"/>
  </si>
  <si>
    <t>西南</t>
    <phoneticPr fontId="20"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</si>
</sst>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49" fontId="245" fillId="0" borderId="1" xfId="0" applyNumberFormat="1" applyFont="1" applyFill="1" applyBorder="1" applyAlignment="1" applyProtection="1">
      <alignment horizontal="center" vertical="center" wrapText="1" shrinkToFi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2" fillId="2" borderId="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12</xdr:col>
      <xdr:colOff>589448</xdr:colOff>
      <xdr:row>39</xdr:row>
      <xdr:rowOff>151974</xdr:rowOff>
    </xdr:to>
    <xdr:pic>
      <xdr:nvPicPr>
        <xdr:cNvPr id="4" name="图片 3"/>
        <xdr:cNvPicPr>
          <a:picLocks noChangeAspect="1"/>
        </xdr:cNvPicPr>
      </xdr:nvPicPr>
      <xdr:blipFill>
        <a:blip xmlns:r="http://schemas.openxmlformats.org/officeDocument/2006/relationships" r:embed="rId1" cstate="print"/>
        <a:stretch>
          <a:fillRect/>
        </a:stretch>
      </xdr:blipFill>
      <xdr:spPr>
        <a:xfrm>
          <a:off x="0" y="3429000"/>
          <a:ext cx="8819048" cy="3409524"/>
        </a:xfrm>
        <a:prstGeom prst="rect">
          <a:avLst/>
        </a:prstGeom>
      </xdr:spPr>
    </xdr:pic>
    <xdr:clientData/>
  </xdr:twoCellAnchor>
  <xdr:twoCellAnchor editAs="oneCell">
    <xdr:from>
      <xdr:col>0</xdr:col>
      <xdr:colOff>0</xdr:colOff>
      <xdr:row>0</xdr:row>
      <xdr:rowOff>0</xdr:rowOff>
    </xdr:from>
    <xdr:to>
      <xdr:col>12</xdr:col>
      <xdr:colOff>408496</xdr:colOff>
      <xdr:row>9</xdr:row>
      <xdr:rowOff>123617</xdr:rowOff>
    </xdr:to>
    <xdr:pic>
      <xdr:nvPicPr>
        <xdr:cNvPr id="5" name="图片 4"/>
        <xdr:cNvPicPr>
          <a:picLocks noChangeAspect="1"/>
        </xdr:cNvPicPr>
      </xdr:nvPicPr>
      <xdr:blipFill>
        <a:blip xmlns:r="http://schemas.openxmlformats.org/officeDocument/2006/relationships" r:embed="rId2" cstate="print"/>
        <a:stretch>
          <a:fillRect/>
        </a:stretch>
      </xdr:blipFill>
      <xdr:spPr>
        <a:xfrm>
          <a:off x="0" y="0"/>
          <a:ext cx="8638096" cy="1666667"/>
        </a:xfrm>
        <a:prstGeom prst="rect">
          <a:avLst/>
        </a:prstGeom>
      </xdr:spPr>
    </xdr:pic>
    <xdr:clientData/>
  </xdr:twoCellAnchor>
  <xdr:twoCellAnchor editAs="oneCell">
    <xdr:from>
      <xdr:col>0</xdr:col>
      <xdr:colOff>0</xdr:colOff>
      <xdr:row>10</xdr:row>
      <xdr:rowOff>0</xdr:rowOff>
    </xdr:from>
    <xdr:to>
      <xdr:col>12</xdr:col>
      <xdr:colOff>360877</xdr:colOff>
      <xdr:row>19</xdr:row>
      <xdr:rowOff>161712</xdr:rowOff>
    </xdr:to>
    <xdr:pic>
      <xdr:nvPicPr>
        <xdr:cNvPr id="6" name="图片 5"/>
        <xdr:cNvPicPr>
          <a:picLocks noChangeAspect="1"/>
        </xdr:cNvPicPr>
      </xdr:nvPicPr>
      <xdr:blipFill>
        <a:blip xmlns:r="http://schemas.openxmlformats.org/officeDocument/2006/relationships" r:embed="rId3" cstate="print"/>
        <a:stretch>
          <a:fillRect/>
        </a:stretch>
      </xdr:blipFill>
      <xdr:spPr>
        <a:xfrm>
          <a:off x="0" y="1714500"/>
          <a:ext cx="8590477" cy="17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561976</xdr:colOff>
      <xdr:row>0</xdr:row>
      <xdr:rowOff>1</xdr:rowOff>
    </xdr:from>
    <xdr:to>
      <xdr:col>9</xdr:col>
      <xdr:colOff>400050</xdr:colOff>
      <xdr:row>27</xdr:row>
      <xdr:rowOff>38101</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305176" y="1"/>
          <a:ext cx="3267074" cy="4667250"/>
        </a:xfrm>
        <a:prstGeom prst="rect">
          <a:avLst/>
        </a:prstGeom>
      </xdr:spPr>
    </xdr:pic>
    <xdr:clientData/>
  </xdr:twoCellAnchor>
  <xdr:twoCellAnchor editAs="oneCell">
    <xdr:from>
      <xdr:col>9</xdr:col>
      <xdr:colOff>386180</xdr:colOff>
      <xdr:row>0</xdr:row>
      <xdr:rowOff>1</xdr:rowOff>
    </xdr:from>
    <xdr:to>
      <xdr:col>14</xdr:col>
      <xdr:colOff>295097</xdr:colOff>
      <xdr:row>27</xdr:row>
      <xdr:rowOff>76201</xdr:rowOff>
    </xdr:to>
    <xdr:pic>
      <xdr:nvPicPr>
        <xdr:cNvPr id="3" name="图片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6558380" y="1"/>
          <a:ext cx="3337917" cy="4705350"/>
        </a:xfrm>
        <a:prstGeom prst="rect">
          <a:avLst/>
        </a:prstGeom>
      </xdr:spPr>
    </xdr:pic>
    <xdr:clientData/>
  </xdr:twoCellAnchor>
  <xdr:twoCellAnchor editAs="oneCell">
    <xdr:from>
      <xdr:col>0</xdr:col>
      <xdr:colOff>0</xdr:colOff>
      <xdr:row>0</xdr:row>
      <xdr:rowOff>0</xdr:rowOff>
    </xdr:from>
    <xdr:to>
      <xdr:col>4</xdr:col>
      <xdr:colOff>554513</xdr:colOff>
      <xdr:row>27</xdr:row>
      <xdr:rowOff>123825</xdr:rowOff>
    </xdr:to>
    <xdr:pic>
      <xdr:nvPicPr>
        <xdr:cNvPr id="4" name="图片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0" y="0"/>
          <a:ext cx="3297713" cy="4752975"/>
        </a:xfrm>
        <a:prstGeom prst="rect">
          <a:avLst/>
        </a:prstGeom>
      </xdr:spPr>
    </xdr:pic>
    <xdr:clientData/>
  </xdr:twoCellAnchor>
  <xdr:twoCellAnchor editAs="oneCell">
    <xdr:from>
      <xdr:col>0</xdr:col>
      <xdr:colOff>0</xdr:colOff>
      <xdr:row>27</xdr:row>
      <xdr:rowOff>57150</xdr:rowOff>
    </xdr:from>
    <xdr:to>
      <xdr:col>13</xdr:col>
      <xdr:colOff>66675</xdr:colOff>
      <xdr:row>40</xdr:row>
      <xdr:rowOff>0</xdr:rowOff>
    </xdr:to>
    <xdr:pic>
      <xdr:nvPicPr>
        <xdr:cNvPr id="64513"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0" y="4686300"/>
          <a:ext cx="8982075" cy="21717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'预评函-封皮'!B18</f>
        <v>杨红英（注册号:1120070085）、白景生（注册号:1120110054)</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估价对象为北京市房地产，为所有。根据《不动产权证书》[]，估价对象建筑面积为187.16平方米，（分摊）出让国有建设用地使用权面积为平方米。估价对象用途为住宅。</v>
      </c>
    </row>
    <row r="8" spans="1:2">
      <c r="A8" s="1702" t="s">
        <v>1114</v>
      </c>
      <c r="B8" s="1689" t="str">
        <f>'预评函-1'!A8</f>
        <v>为估价委托人了解估价对象房地产市场价值提供参考依据。</v>
      </c>
    </row>
    <row r="9" spans="1:2">
      <c r="A9" s="1702" t="s">
        <v>1115</v>
      </c>
      <c r="B9" s="1689" t="str">
        <f>'预评函-1'!A10</f>
        <v>2018年6月21日（评估专业人员实地查勘之日）</v>
      </c>
    </row>
    <row r="10" spans="1:2">
      <c r="A10" s="1702" t="s">
        <v>1116</v>
      </c>
      <c r="B10" s="1689" t="str">
        <f>'预评函-1'!A13</f>
        <v>本次估价的“房地产价值”是指在正常市场情况下，在价值时点2018年6月21日，估价对象规划用途为住宅，假定未设立法定优先受偿款下的房地产市场价值。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187.16</v>
      </c>
    </row>
    <row r="19" spans="1:2">
      <c r="A19" s="1702" t="s">
        <v>1125</v>
      </c>
      <c r="B19" s="1689">
        <f ca="1">'预评函-2（1）'!D7</f>
        <v>15969427</v>
      </c>
    </row>
    <row r="20" spans="1:2">
      <c r="A20" s="1702" t="s">
        <v>1163</v>
      </c>
      <c r="B20" s="1689" t="str">
        <f>'预评函-2（1）'!C7</f>
        <v>总价（元）</v>
      </c>
    </row>
    <row r="21" spans="1:2">
      <c r="A21" s="1702" t="s">
        <v>1126</v>
      </c>
      <c r="B21" s="1689">
        <f ca="1">'预评函-2（1）'!D9</f>
        <v>85325</v>
      </c>
    </row>
    <row r="22" spans="1:2">
      <c r="A22" s="1702" t="s">
        <v>1127</v>
      </c>
      <c r="B22" s="1689" t="str">
        <f ca="1">'预评函-2（1）'!D8</f>
        <v>壹仟伍佰玖拾陆万玖仟肆佰贰拾柒元整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15969427</v>
      </c>
    </row>
    <row r="30" spans="1:2">
      <c r="A30" s="1702" t="s">
        <v>1133</v>
      </c>
      <c r="B30" s="1689" t="str">
        <f ca="1">'预评函-2（1）'!D16</f>
        <v>壹仟伍佰玖拾陆万玖仟肆佰贰拾柒元整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14883525</v>
      </c>
    </row>
    <row r="38" spans="1:2">
      <c r="A38" s="1702" t="s">
        <v>1141</v>
      </c>
      <c r="B38" s="1689">
        <f ca="1">'预评函-2（2）'!E4</f>
        <v>79523</v>
      </c>
    </row>
    <row r="39" spans="1:2">
      <c r="A39" s="1702" t="s">
        <v>1142</v>
      </c>
      <c r="B39" s="1689" t="str">
        <f ca="1">'预评函-2（2）'!D5</f>
        <v>壹仟肆佰捌拾捌万叁仟伍佰贰拾伍元整</v>
      </c>
    </row>
    <row r="40" spans="1:2">
      <c r="A40" s="1702" t="s">
        <v>1143</v>
      </c>
      <c r="B40" s="1689">
        <f ca="1">'预评函-2（2）'!F4</f>
        <v>1085902</v>
      </c>
    </row>
    <row r="41" spans="1:2">
      <c r="A41" s="1702" t="s">
        <v>1144</v>
      </c>
      <c r="B41" s="1689">
        <f ca="1">'预评函-2（2）'!G4</f>
        <v>5802</v>
      </c>
    </row>
    <row r="42" spans="1:2" s="1699" customFormat="1" ht="15.75" thickBot="1">
      <c r="A42" s="1703" t="s">
        <v>1145</v>
      </c>
      <c r="B42" s="1691" t="str">
        <f ca="1">'预评函-2（2）'!F5</f>
        <v>壹佰零捌万伍仟玖佰零贰元整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白景生</v>
      </c>
    </row>
    <row r="55" spans="1:2" s="1699" customFormat="1" ht="15.75" thickBot="1">
      <c r="A55" s="1703" t="s">
        <v>1157</v>
      </c>
      <c r="B55" s="1691">
        <f>'预评函-3'!B5</f>
        <v>1120110054</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85325</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4" sqref="C14"/>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43272</v>
      </c>
      <c r="C2" s="1999" t="s">
        <v>1546</v>
      </c>
      <c r="D2" s="1088">
        <v>43272</v>
      </c>
      <c r="E2" s="1064"/>
      <c r="F2" s="1064"/>
      <c r="G2" s="1683"/>
      <c r="H2" s="1020"/>
    </row>
    <row r="3" spans="1:10" ht="13.5" thickBot="1">
      <c r="A3" s="2000" t="s">
        <v>1547</v>
      </c>
      <c r="B3" s="2001" t="s">
        <v>2853</v>
      </c>
      <c r="C3" s="1065">
        <f>SUMIF(注册房地产估价师,B3,估价师及机构信息!B3:B24)</f>
        <v>1120070085</v>
      </c>
      <c r="D3" s="2001" t="s">
        <v>2820</v>
      </c>
      <c r="E3" s="1066">
        <f>SUMIF(注册房地产估价师,D3,估价师及机构信息!B3:B24)</f>
        <v>1120110054</v>
      </c>
      <c r="F3" s="1067"/>
      <c r="G3" s="1684"/>
      <c r="H3" s="1020"/>
    </row>
    <row r="4" spans="1:10" ht="13.5" customHeight="1" thickTop="1">
      <c r="A4" s="2002" t="s">
        <v>1548</v>
      </c>
      <c r="B4" s="2003"/>
      <c r="C4" s="2004" t="s">
        <v>1549</v>
      </c>
      <c r="D4" s="2005" t="s">
        <v>2821</v>
      </c>
      <c r="E4" s="1064"/>
      <c r="F4" s="1064"/>
      <c r="G4" s="1683"/>
    </row>
    <row r="5" spans="1:10">
      <c r="A5" s="2006" t="s">
        <v>1550</v>
      </c>
      <c r="B5" s="2007"/>
      <c r="C5" s="2008" t="s">
        <v>1551</v>
      </c>
      <c r="D5" s="2009" t="s">
        <v>2822</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015"/>
      <c r="D6" s="2016" t="s">
        <v>1554</v>
      </c>
      <c r="E6" s="1022"/>
      <c r="F6" s="1021"/>
      <c r="G6" s="1074"/>
      <c r="I6" s="1070" t="str">
        <f>IF(COUNTIF(B5,"*上海银行*"),"上海银行","")</f>
        <v/>
      </c>
    </row>
    <row r="7" spans="1:10" ht="13.5" thickBot="1">
      <c r="A7" s="2000" t="s">
        <v>1555</v>
      </c>
      <c r="B7" s="2017" t="s">
        <v>2824</v>
      </c>
      <c r="C7" s="2018" t="str">
        <f>IF(B7="自然人","姓名","名称")</f>
        <v>姓名</v>
      </c>
      <c r="D7" s="2019"/>
      <c r="E7" s="1068"/>
      <c r="F7" s="1067"/>
      <c r="G7" s="1684"/>
    </row>
    <row r="8" spans="1:10" ht="13.5" thickTop="1">
      <c r="A8" s="2819" t="s">
        <v>1556</v>
      </c>
      <c r="B8" s="2020" t="s">
        <v>1557</v>
      </c>
      <c r="C8" s="2831" t="s">
        <v>2825</v>
      </c>
      <c r="D8" s="2832"/>
      <c r="E8" s="2021" t="s">
        <v>1558</v>
      </c>
      <c r="F8" s="2022" t="s">
        <v>1559</v>
      </c>
      <c r="G8" s="690">
        <f>C6</f>
        <v>0</v>
      </c>
    </row>
    <row r="9" spans="1:10" ht="25.5">
      <c r="A9" s="2819"/>
      <c r="B9" s="344" t="s">
        <v>1560</v>
      </c>
      <c r="C9" s="2007"/>
      <c r="D9" s="2023" t="s">
        <v>2826</v>
      </c>
      <c r="E9" s="1010" t="s">
        <v>1561</v>
      </c>
      <c r="F9" s="996" t="s">
        <v>399</v>
      </c>
      <c r="G9" s="1012"/>
    </row>
    <row r="10" spans="1:10" ht="13.5" thickBot="1">
      <c r="A10" s="2819"/>
      <c r="B10" s="344" t="s">
        <v>1562</v>
      </c>
      <c r="C10" s="2833"/>
      <c r="D10" s="2834"/>
      <c r="E10" s="2024" t="s">
        <v>1563</v>
      </c>
      <c r="F10" s="1013" t="s">
        <v>321</v>
      </c>
      <c r="G10" s="1014"/>
    </row>
    <row r="11" spans="1:10" ht="13.5" thickBot="1">
      <c r="A11" s="2819"/>
      <c r="B11" s="2025" t="s">
        <v>1564</v>
      </c>
      <c r="C11" s="2835"/>
      <c r="D11" s="2836"/>
      <c r="E11" s="1022"/>
      <c r="F11" s="1021"/>
      <c r="G11" s="1074"/>
    </row>
    <row r="12" spans="1:10" ht="24.75" thickBot="1">
      <c r="A12" s="2822" t="s">
        <v>1565</v>
      </c>
      <c r="B12" s="2026" t="s">
        <v>1566</v>
      </c>
      <c r="C12" s="1016">
        <v>187.16</v>
      </c>
      <c r="D12" s="2026" t="s">
        <v>1567</v>
      </c>
      <c r="E12" s="2027" t="s">
        <v>1568</v>
      </c>
      <c r="F12" s="2028" t="s">
        <v>1569</v>
      </c>
      <c r="G12" s="1074"/>
    </row>
    <row r="13" spans="1:10" ht="21" customHeight="1" thickBot="1">
      <c r="A13" s="2823"/>
      <c r="B13" s="2029" t="s">
        <v>1570</v>
      </c>
      <c r="C13" s="1017"/>
      <c r="D13" s="2029" t="s">
        <v>1571</v>
      </c>
      <c r="E13" s="2030" t="s">
        <v>1568</v>
      </c>
      <c r="F13" s="1021"/>
      <c r="G13" s="1074"/>
      <c r="I13" s="2809"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753" t="s">
        <v>2854</v>
      </c>
      <c r="D14" s="1021"/>
      <c r="E14" s="1021"/>
      <c r="F14" s="1021"/>
      <c r="G14" s="1074"/>
      <c r="I14" s="2809"/>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09"/>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37" t="s">
        <v>1579</v>
      </c>
      <c r="C17" s="2838"/>
      <c r="D17" s="2839" t="s">
        <v>1580</v>
      </c>
      <c r="E17" s="2840"/>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30"/>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5" t="s">
        <v>1596</v>
      </c>
      <c r="D27" s="2826"/>
      <c r="E27" s="1004"/>
      <c r="F27" s="1011" t="s">
        <v>1596</v>
      </c>
      <c r="G27" s="1004"/>
      <c r="I27" s="1071"/>
      <c r="K27" s="1071"/>
    </row>
    <row r="28" spans="1:15">
      <c r="A28" s="1008" t="s">
        <v>1597</v>
      </c>
      <c r="B28" s="978"/>
      <c r="C28" s="2827" t="s">
        <v>1598</v>
      </c>
      <c r="D28" s="2828"/>
      <c r="E28" s="978"/>
      <c r="F28" s="1894" t="s">
        <v>1598</v>
      </c>
      <c r="G28" s="978"/>
      <c r="I28" s="1071"/>
      <c r="K28" s="1071"/>
    </row>
    <row r="29" spans="1:15">
      <c r="A29" s="1008" t="s">
        <v>1599</v>
      </c>
      <c r="B29" s="978"/>
      <c r="C29" s="2827" t="s">
        <v>1599</v>
      </c>
      <c r="D29" s="2828"/>
      <c r="E29" s="978"/>
      <c r="F29" s="1894" t="s">
        <v>1600</v>
      </c>
      <c r="G29" s="978"/>
      <c r="I29" s="1071"/>
      <c r="K29" s="1071"/>
    </row>
    <row r="30" spans="1:15">
      <c r="A30" s="1008" t="s">
        <v>1601</v>
      </c>
      <c r="B30" s="978"/>
      <c r="C30" s="2816" t="s">
        <v>1602</v>
      </c>
      <c r="D30" s="2067"/>
      <c r="E30" s="1023" t="str">
        <f>E31&amp;" "&amp;E32&amp;" "&amp;E33&amp;" "&amp;E34</f>
        <v xml:space="preserve">   </v>
      </c>
      <c r="F30" s="1894" t="s">
        <v>1603</v>
      </c>
      <c r="G30" s="978"/>
    </row>
    <row r="31" spans="1:15">
      <c r="A31" s="1008" t="s">
        <v>1604</v>
      </c>
      <c r="B31" s="978"/>
      <c r="C31" s="2817"/>
      <c r="D31" s="1893" t="s">
        <v>1605</v>
      </c>
      <c r="E31" s="978"/>
      <c r="F31" s="1894" t="s">
        <v>1606</v>
      </c>
      <c r="G31" s="978"/>
    </row>
    <row r="32" spans="1:15" ht="24.75" thickBot="1">
      <c r="A32" s="1009" t="s">
        <v>1607</v>
      </c>
      <c r="B32" s="1005"/>
      <c r="C32" s="2817"/>
      <c r="D32" s="1893" t="s">
        <v>1608</v>
      </c>
      <c r="E32" s="978"/>
      <c r="F32" s="1894" t="s">
        <v>1609</v>
      </c>
      <c r="G32" s="978"/>
    </row>
    <row r="33" spans="1:7">
      <c r="A33" s="1007" t="s">
        <v>1610</v>
      </c>
      <c r="B33" s="1004"/>
      <c r="C33" s="2817"/>
      <c r="D33" s="1893" t="s">
        <v>1611</v>
      </c>
      <c r="E33" s="978"/>
      <c r="F33" s="1894" t="s">
        <v>1612</v>
      </c>
      <c r="G33" s="978"/>
    </row>
    <row r="34" spans="1:7" ht="13.5" thickBot="1">
      <c r="A34" s="1008" t="s">
        <v>1613</v>
      </c>
      <c r="B34" s="978"/>
      <c r="C34" s="2818"/>
      <c r="D34" s="1893" t="s">
        <v>1614</v>
      </c>
      <c r="E34" s="978"/>
      <c r="F34" s="1895" t="s">
        <v>1615</v>
      </c>
      <c r="G34" s="1006"/>
    </row>
    <row r="35" spans="1:7">
      <c r="A35" s="1008" t="s">
        <v>1566</v>
      </c>
      <c r="B35" s="978"/>
      <c r="C35" s="2827" t="s">
        <v>1616</v>
      </c>
      <c r="D35" s="2828"/>
      <c r="E35" s="978"/>
      <c r="F35" s="1019" t="s">
        <v>1617</v>
      </c>
      <c r="G35" s="1004"/>
    </row>
    <row r="36" spans="1:7" ht="13.5" thickBot="1">
      <c r="A36" s="1008" t="s">
        <v>1618</v>
      </c>
      <c r="B36" s="978"/>
      <c r="C36" s="2829" t="s">
        <v>1619</v>
      </c>
      <c r="D36" s="2830"/>
      <c r="E36" s="1005"/>
      <c r="F36" s="1891" t="s">
        <v>1620</v>
      </c>
      <c r="G36" s="978"/>
    </row>
    <row r="37" spans="1:7" ht="13.5" thickBot="1">
      <c r="A37" s="1008" t="s">
        <v>1621</v>
      </c>
      <c r="B37" s="978"/>
      <c r="C37" s="2814" t="s">
        <v>1622</v>
      </c>
      <c r="D37" s="2068" t="s">
        <v>1606</v>
      </c>
      <c r="E37" s="1004"/>
      <c r="F37" s="1895" t="s">
        <v>1623</v>
      </c>
      <c r="G37" s="1005"/>
    </row>
    <row r="38" spans="1:7">
      <c r="A38" s="1008" t="s">
        <v>1624</v>
      </c>
      <c r="B38" s="978"/>
      <c r="C38" s="2820"/>
      <c r="D38" s="1893" t="s">
        <v>1613</v>
      </c>
      <c r="E38" s="978"/>
      <c r="F38" s="1011" t="s">
        <v>1625</v>
      </c>
      <c r="G38" s="1004"/>
    </row>
    <row r="39" spans="1:7">
      <c r="A39" s="1008" t="s">
        <v>1626</v>
      </c>
      <c r="B39" s="978"/>
      <c r="C39" s="2820" t="s">
        <v>1627</v>
      </c>
      <c r="D39" s="1893" t="s">
        <v>1566</v>
      </c>
      <c r="E39" s="978"/>
      <c r="F39" s="1894" t="s">
        <v>1628</v>
      </c>
      <c r="G39" s="978"/>
    </row>
    <row r="40" spans="1:7" ht="24.75" customHeight="1" thickBot="1">
      <c r="A40" s="1009" t="s">
        <v>1629</v>
      </c>
      <c r="B40" s="1005"/>
      <c r="C40" s="2821"/>
      <c r="D40" s="1896" t="s">
        <v>1570</v>
      </c>
      <c r="E40" s="1005"/>
      <c r="F40" s="1895" t="s">
        <v>1630</v>
      </c>
      <c r="G40" s="1005"/>
    </row>
    <row r="41" spans="1:7">
      <c r="A41" s="1010" t="s">
        <v>1631</v>
      </c>
      <c r="B41" s="1060"/>
      <c r="C41" s="2810" t="s">
        <v>1631</v>
      </c>
      <c r="D41" s="2811"/>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12" t="s">
        <v>1634</v>
      </c>
      <c r="D48" s="2813"/>
      <c r="E48" s="1055"/>
      <c r="F48" s="1895" t="s">
        <v>1635</v>
      </c>
      <c r="G48" s="1005"/>
    </row>
    <row r="49" spans="1:15">
      <c r="A49" s="1008" t="s">
        <v>1636</v>
      </c>
      <c r="B49" s="1054"/>
      <c r="C49" s="2814" t="s">
        <v>1637</v>
      </c>
      <c r="D49" s="2815"/>
      <c r="E49" s="1056"/>
      <c r="F49" s="1084"/>
      <c r="G49" s="1085"/>
    </row>
    <row r="50" spans="1:15" ht="13.5" thickBot="1">
      <c r="A50" s="1008" t="s">
        <v>1638</v>
      </c>
      <c r="B50" s="1054"/>
      <c r="C50" s="2821" t="s">
        <v>1639</v>
      </c>
      <c r="D50" s="2824"/>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43" sqref="D4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43272</v>
      </c>
      <c r="C2" s="1855"/>
      <c r="D2" s="2843"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2818</v>
      </c>
      <c r="C3" s="1855"/>
      <c r="D3" s="2844"/>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2819</v>
      </c>
      <c r="C4" s="1855"/>
      <c r="D4" s="2844"/>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187.16</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2817</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c r="C12" s="1855"/>
      <c r="D12" s="2093"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1660</v>
      </c>
      <c r="B13" s="991">
        <f>IF(B12="",B11-(YEAR($B$2)-B26+B23),ROUNDDOWN(MIN((B12-$B$2)/365,B11),2))</f>
        <v>56.5</v>
      </c>
      <c r="C13" s="2095"/>
      <c r="D13" s="2096"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1663</v>
      </c>
      <c r="B14" s="992">
        <f>IF(ISERROR(ROUND(POWER(1+B15,B11-B13)*(POWER(1+B15,B13)-1)/(POWER(1+B15,B11)-1),3)),0,ROUND(POWER(1+B15,B11-B13)*(POWER(1+B15,B13)-1)/(POWER(1+B15,B11)-1),3))</f>
        <v>0.95199999999999996</v>
      </c>
      <c r="C14" s="1855"/>
      <c r="D14" s="2097" t="s">
        <v>1664</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1665</v>
      </c>
      <c r="B15" s="30">
        <v>0.04</v>
      </c>
      <c r="C15" s="1855"/>
      <c r="D15" s="2093" t="s">
        <v>1666</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4.4999999999999998E-2</v>
      </c>
      <c r="C16" s="1855"/>
      <c r="D16" s="2098"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c r="C17" s="1855"/>
      <c r="D17" s="2084" t="s">
        <v>1670</v>
      </c>
      <c r="E17" s="985">
        <f>2220+500</f>
        <v>2720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509075</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c r="C20" s="1855"/>
      <c r="D20" s="2102" t="str">
        <f>IF(B25=0,"成新率","工程进度")</f>
        <v>成新率</v>
      </c>
      <c r="E20" s="987">
        <f>N29</f>
        <v>0.83</v>
      </c>
      <c r="F20" s="1237"/>
      <c r="G20" s="1855"/>
      <c r="H20" s="2845" t="s">
        <v>2828</v>
      </c>
      <c r="I20" s="2846"/>
      <c r="J20" s="2732"/>
      <c r="K20" s="2733"/>
      <c r="L20" s="2733"/>
      <c r="M20" s="2734"/>
      <c r="N20" s="2734"/>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24">
      <c r="A21" s="2103" t="s">
        <v>1673</v>
      </c>
      <c r="B21" s="32">
        <v>1.5</v>
      </c>
      <c r="C21" s="1855"/>
      <c r="D21" s="2093" t="s">
        <v>1674</v>
      </c>
      <c r="E21" s="711">
        <v>0.03</v>
      </c>
      <c r="F21" s="1852" t="s">
        <v>1675</v>
      </c>
      <c r="G21" s="1855"/>
      <c r="H21" s="2735" t="s">
        <v>2829</v>
      </c>
      <c r="I21" s="2736">
        <v>0</v>
      </c>
      <c r="J21" s="2732"/>
      <c r="K21" s="2737"/>
      <c r="L21" s="2737"/>
      <c r="M21" s="2734"/>
      <c r="N21" s="2734"/>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24">
      <c r="A22" s="2104" t="s">
        <v>1676</v>
      </c>
      <c r="B22" s="1454">
        <v>1.5</v>
      </c>
      <c r="C22" s="1855"/>
      <c r="D22" s="2093" t="s">
        <v>1677</v>
      </c>
      <c r="E22" s="40">
        <v>0.04</v>
      </c>
      <c r="F22" s="1852" t="s">
        <v>1678</v>
      </c>
      <c r="G22" s="1855"/>
      <c r="H22" s="2735" t="s">
        <v>2830</v>
      </c>
      <c r="I22" s="2738" t="s">
        <v>2855</v>
      </c>
      <c r="J22" s="2732"/>
      <c r="K22" s="2737"/>
      <c r="L22" s="2739"/>
      <c r="M22" s="2734"/>
      <c r="N22" s="2734"/>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24.75" thickBot="1">
      <c r="A23" s="2105" t="s">
        <v>1679</v>
      </c>
      <c r="B23" s="33">
        <f>B20+B21</f>
        <v>1.5</v>
      </c>
      <c r="C23" s="1855"/>
      <c r="D23" s="2093" t="s">
        <v>1680</v>
      </c>
      <c r="E23" s="37">
        <v>200</v>
      </c>
      <c r="F23" s="1852" t="s">
        <v>1681</v>
      </c>
      <c r="G23" s="1855"/>
      <c r="H23" s="2735" t="s">
        <v>2831</v>
      </c>
      <c r="I23" s="2740" t="s">
        <v>2856</v>
      </c>
      <c r="J23" s="2732"/>
      <c r="K23" s="2737"/>
      <c r="L23" s="2737"/>
      <c r="M23" s="2734"/>
      <c r="N23" s="2734"/>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1.5</v>
      </c>
      <c r="C24" s="1855"/>
      <c r="D24" s="2098" t="s">
        <v>1683</v>
      </c>
      <c r="E24" s="1818">
        <v>1.4999999999999999E-2</v>
      </c>
      <c r="F24" s="1852" t="s">
        <v>1684</v>
      </c>
      <c r="G24" s="1855"/>
      <c r="H24" s="2735" t="s">
        <v>2832</v>
      </c>
      <c r="I24" s="2741">
        <f>ROUND(1-(1-I21)*I22/I23,2)</f>
        <v>0.8</v>
      </c>
      <c r="J24" s="2732"/>
      <c r="K24" s="2737"/>
      <c r="L24" s="2737"/>
      <c r="M24" s="2734"/>
      <c r="N24" s="2734"/>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0.01</v>
      </c>
      <c r="F25" s="1852" t="s">
        <v>1687</v>
      </c>
      <c r="H25" s="2742" t="s">
        <v>2833</v>
      </c>
      <c r="I25" s="2743">
        <v>0.5</v>
      </c>
      <c r="J25" s="2732"/>
      <c r="K25" s="2737"/>
      <c r="L25" s="2737"/>
      <c r="M25" s="2734"/>
      <c r="N25" s="2734"/>
      <c r="AE25" s="1237"/>
      <c r="AF25" s="1237"/>
      <c r="AG25" s="1237"/>
      <c r="AH25" s="1237"/>
      <c r="AI25" s="1237"/>
      <c r="AJ25" s="1237"/>
      <c r="AK25" s="1237"/>
      <c r="AL25" s="1237"/>
      <c r="AM25" s="1237"/>
      <c r="AN25" s="1237"/>
      <c r="AO25" s="1237"/>
    </row>
    <row r="26" spans="1:41" ht="15.75" thickBot="1">
      <c r="A26" s="2107" t="s">
        <v>1688</v>
      </c>
      <c r="B26" s="1094">
        <v>2006</v>
      </c>
      <c r="C26" s="1855"/>
      <c r="D26" s="2093" t="s">
        <v>1689</v>
      </c>
      <c r="E26" s="40">
        <v>0.01</v>
      </c>
      <c r="F26" s="1852" t="s">
        <v>1687</v>
      </c>
      <c r="G26" s="2076"/>
      <c r="H26" s="2847" t="s">
        <v>2834</v>
      </c>
      <c r="I26" s="2848"/>
      <c r="J26" s="2848"/>
      <c r="K26" s="2848"/>
      <c r="L26" s="2849"/>
      <c r="M26" s="2734"/>
      <c r="N26" s="2734"/>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2" t="s">
        <v>1691</v>
      </c>
      <c r="G27" s="2076"/>
      <c r="H27" s="2744" t="s">
        <v>2835</v>
      </c>
      <c r="I27" s="2745" t="s">
        <v>2836</v>
      </c>
      <c r="J27" s="2745" t="s">
        <v>2837</v>
      </c>
      <c r="K27" s="2745" t="s">
        <v>2838</v>
      </c>
      <c r="L27" s="2745" t="s">
        <v>2839</v>
      </c>
      <c r="M27" s="2734"/>
      <c r="N27" s="2734"/>
      <c r="AE27" s="1237"/>
      <c r="AF27" s="1237"/>
      <c r="AG27" s="1237"/>
      <c r="AH27" s="1237"/>
      <c r="AI27" s="1237"/>
      <c r="AJ27" s="1237"/>
      <c r="AK27" s="1237"/>
      <c r="AL27" s="1237"/>
      <c r="AM27" s="1237"/>
      <c r="AN27" s="1237"/>
      <c r="AO27" s="1237"/>
    </row>
    <row r="28" spans="1:41" ht="15" thickBot="1">
      <c r="A28" s="2108" t="s">
        <v>1692</v>
      </c>
      <c r="B28" s="2109" t="s">
        <v>2827</v>
      </c>
      <c r="C28" s="1237"/>
      <c r="D28" s="2110" t="s">
        <v>1693</v>
      </c>
      <c r="E28" s="989">
        <v>0.2</v>
      </c>
      <c r="G28" s="2076"/>
      <c r="H28" s="2744" t="s">
        <v>2840</v>
      </c>
      <c r="I28" s="2745">
        <v>100</v>
      </c>
      <c r="J28" s="2746" t="s">
        <v>2841</v>
      </c>
      <c r="K28" s="2745">
        <v>85</v>
      </c>
      <c r="L28" s="2747">
        <v>0.3</v>
      </c>
      <c r="M28" s="2734"/>
      <c r="N28" s="2734"/>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20000</v>
      </c>
      <c r="C29" s="1237"/>
      <c r="D29" s="2097" t="s">
        <v>1694</v>
      </c>
      <c r="E29" s="988">
        <f>E30+E31</f>
        <v>5.6000000000000001E-2</v>
      </c>
      <c r="F29" s="1849"/>
      <c r="G29" s="2076"/>
      <c r="H29" s="2744" t="s">
        <v>2842</v>
      </c>
      <c r="I29" s="2745">
        <v>100</v>
      </c>
      <c r="J29" s="2746" t="s">
        <v>2841</v>
      </c>
      <c r="K29" s="2745">
        <v>85</v>
      </c>
      <c r="L29" s="2747">
        <v>0.5</v>
      </c>
      <c r="M29" s="2734"/>
      <c r="N29" s="2748">
        <f>ROUND(I24*I25+K31*I31,2)</f>
        <v>0.83</v>
      </c>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744" t="s">
        <v>2843</v>
      </c>
      <c r="I30" s="2745">
        <v>100</v>
      </c>
      <c r="J30" s="2746" t="s">
        <v>2841</v>
      </c>
      <c r="K30" s="2745">
        <v>85</v>
      </c>
      <c r="L30" s="2747">
        <f>1-L28-L29</f>
        <v>0.19999999999999996</v>
      </c>
      <c r="M30" s="2734"/>
      <c r="N30" s="2734"/>
      <c r="AE30" s="1237"/>
      <c r="AF30" s="1237"/>
      <c r="AG30" s="1237"/>
      <c r="AH30" s="1237"/>
      <c r="AI30" s="1237"/>
      <c r="AJ30" s="1237"/>
      <c r="AK30" s="1237"/>
      <c r="AL30" s="1237"/>
      <c r="AM30" s="1237"/>
      <c r="AN30" s="1237"/>
      <c r="AO30" s="1237"/>
    </row>
    <row r="31" spans="1:41" ht="14.25">
      <c r="A31" s="2091" t="s">
        <v>1697</v>
      </c>
      <c r="B31" s="30">
        <v>0.04</v>
      </c>
      <c r="C31" s="1237"/>
      <c r="D31" s="2111" t="s">
        <v>1698</v>
      </c>
      <c r="E31" s="42">
        <f>E30*(E32+E33+E34)+E35</f>
        <v>6.000000000000001E-3</v>
      </c>
      <c r="F31" s="1849"/>
      <c r="G31" s="2076"/>
      <c r="H31" s="2749" t="s">
        <v>2833</v>
      </c>
      <c r="I31" s="2750">
        <f>1-I25</f>
        <v>0.5</v>
      </c>
      <c r="J31" s="2745" t="s">
        <v>2832</v>
      </c>
      <c r="K31" s="2751">
        <f>ROUND((K28*L28+K29*L29+K30*L30)/100,2)</f>
        <v>0.85</v>
      </c>
      <c r="L31" s="2752"/>
      <c r="M31" s="2734"/>
      <c r="N31" s="2734"/>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48</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v>0</v>
      </c>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0" t="s">
        <v>1735</v>
      </c>
      <c r="B1" s="2851"/>
      <c r="C1" s="2851"/>
      <c r="D1" s="2851"/>
      <c r="E1" s="2851"/>
      <c r="F1" s="2851"/>
      <c r="G1" s="285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55" t="s">
        <v>2860</v>
      </c>
      <c r="D3" s="2144"/>
      <c r="E3" s="411" t="s">
        <v>1738</v>
      </c>
      <c r="F3" s="2145" t="s">
        <v>1740</v>
      </c>
      <c r="G3" s="2146" t="s">
        <v>1741</v>
      </c>
      <c r="H3" s="2141"/>
      <c r="I3" s="2141"/>
      <c r="J3" s="2141"/>
      <c r="K3" s="2141"/>
      <c r="L3" s="2141"/>
      <c r="M3" s="2141"/>
      <c r="N3" s="2141"/>
      <c r="O3" s="2141"/>
      <c r="P3" s="2141"/>
      <c r="Q3" s="2141"/>
      <c r="R3" s="2141"/>
    </row>
    <row r="4" spans="1:29" ht="41.25" hidden="1">
      <c r="A4" s="411"/>
      <c r="B4" s="1887" t="s">
        <v>1742</v>
      </c>
      <c r="C4" s="2147" t="s">
        <v>2861</v>
      </c>
      <c r="D4" s="2144"/>
      <c r="E4" s="2148"/>
      <c r="F4" s="2149" t="s">
        <v>1743</v>
      </c>
      <c r="G4" s="2150" t="s">
        <v>1744</v>
      </c>
      <c r="H4" s="2141"/>
      <c r="I4" s="2141"/>
      <c r="J4" s="2141"/>
      <c r="K4" s="2141"/>
      <c r="L4" s="2141"/>
      <c r="M4" s="2141"/>
      <c r="N4" s="2141"/>
      <c r="O4" s="2141"/>
      <c r="P4" s="2141"/>
      <c r="Q4" s="2141"/>
      <c r="R4" s="2141"/>
    </row>
    <row r="5" spans="1:29" ht="41.25" hidden="1">
      <c r="A5" s="411"/>
      <c r="B5" s="1887" t="s">
        <v>1745</v>
      </c>
      <c r="C5" s="2147" t="s">
        <v>1746</v>
      </c>
      <c r="D5" s="2144"/>
      <c r="E5" s="2148"/>
      <c r="F5" s="1887" t="s">
        <v>1747</v>
      </c>
      <c r="G5" s="2150" t="s">
        <v>1748</v>
      </c>
      <c r="H5" s="2141"/>
      <c r="I5" s="2141"/>
      <c r="J5" s="2141"/>
      <c r="K5" s="2141"/>
      <c r="L5" s="2141"/>
      <c r="M5" s="2141"/>
      <c r="N5" s="2141"/>
      <c r="O5" s="2141"/>
      <c r="P5" s="2141"/>
      <c r="Q5" s="2141"/>
      <c r="R5" s="2141"/>
    </row>
    <row r="6" spans="1:29" ht="81">
      <c r="A6" s="411"/>
      <c r="B6" s="1887" t="s">
        <v>1749</v>
      </c>
      <c r="C6" s="2756" t="s">
        <v>2862</v>
      </c>
      <c r="D6" s="2144"/>
      <c r="E6" s="2148"/>
      <c r="F6" s="1887" t="s">
        <v>1750</v>
      </c>
      <c r="G6" s="2150" t="s">
        <v>1751</v>
      </c>
      <c r="H6" s="2141"/>
      <c r="I6" s="2141"/>
      <c r="J6" s="2141"/>
      <c r="K6" s="2141"/>
      <c r="L6" s="2141"/>
      <c r="M6" s="2141"/>
      <c r="N6" s="2141"/>
      <c r="O6" s="2141"/>
      <c r="P6" s="2141"/>
      <c r="Q6" s="2141"/>
      <c r="R6" s="2141"/>
    </row>
    <row r="7" spans="1:29" ht="41.25" thickBot="1">
      <c r="A7" s="411"/>
      <c r="B7" s="1887" t="s">
        <v>1747</v>
      </c>
      <c r="C7" s="2756" t="s">
        <v>2863</v>
      </c>
      <c r="D7" s="2151"/>
      <c r="E7" s="2152"/>
      <c r="F7" s="2153" t="s">
        <v>1752</v>
      </c>
      <c r="G7" s="2154" t="s">
        <v>1753</v>
      </c>
      <c r="H7" s="2141"/>
      <c r="I7" s="2141"/>
      <c r="J7" s="2141"/>
      <c r="K7" s="2141"/>
      <c r="L7" s="2141"/>
      <c r="M7" s="2141"/>
      <c r="N7" s="2141"/>
      <c r="O7" s="2141"/>
      <c r="P7" s="2141"/>
      <c r="Q7" s="2141"/>
      <c r="R7" s="2141"/>
    </row>
    <row r="8" spans="1:29" ht="15">
      <c r="A8" s="411"/>
      <c r="B8" s="1887" t="s">
        <v>1750</v>
      </c>
      <c r="C8" s="2756" t="s">
        <v>2864</v>
      </c>
      <c r="D8" s="2151"/>
      <c r="E8" s="2151"/>
      <c r="F8" s="1246"/>
      <c r="G8" s="1246"/>
      <c r="H8" s="2141"/>
      <c r="I8" s="2141"/>
      <c r="J8" s="2141"/>
      <c r="K8" s="2141"/>
      <c r="L8" s="2141"/>
      <c r="M8" s="2141"/>
      <c r="N8" s="2141"/>
      <c r="O8" s="2141"/>
      <c r="P8" s="2141"/>
      <c r="Q8" s="2141"/>
      <c r="R8" s="2141"/>
    </row>
    <row r="9" spans="1:29" ht="81">
      <c r="A9" s="411"/>
      <c r="B9" s="1887" t="s">
        <v>1754</v>
      </c>
      <c r="C9" s="2757" t="s">
        <v>2865</v>
      </c>
      <c r="D9" s="2144"/>
      <c r="E9" s="2151"/>
      <c r="F9" s="1246"/>
      <c r="G9" s="1246"/>
      <c r="H9" s="2141"/>
      <c r="I9" s="2141"/>
      <c r="J9" s="2141"/>
      <c r="K9" s="2141"/>
      <c r="L9" s="2141"/>
      <c r="M9" s="2141"/>
      <c r="N9" s="2141"/>
      <c r="O9" s="2141"/>
      <c r="P9" s="2141"/>
      <c r="Q9" s="2141"/>
      <c r="R9" s="2141"/>
    </row>
    <row r="10" spans="1:29" s="35" customFormat="1" ht="15.75" thickBot="1">
      <c r="A10" s="2155"/>
      <c r="B10" s="2156" t="s">
        <v>1755</v>
      </c>
      <c r="C10" s="2758" t="s">
        <v>2866</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57">
      <c r="A15" s="25" t="s">
        <v>1759</v>
      </c>
      <c r="B15" s="2175" t="s">
        <v>1739</v>
      </c>
      <c r="C15" s="2176" t="str">
        <f>C3</f>
        <v>估价对象周边有万方景轩、新纪家园、曙光里、凤凰城、西坝河东里，综合评价居住社区成熟度较好。</v>
      </c>
      <c r="D15" s="2144"/>
      <c r="E15" s="2177" t="s">
        <v>1760</v>
      </c>
      <c r="F15" s="2175" t="s">
        <v>1761</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1743</v>
      </c>
      <c r="G16" s="52" t="str">
        <f>G4</f>
        <v>估价对象周边道路状况、公共交通通达情况、停车便捷程度，综合评价交通便捷度较好</v>
      </c>
    </row>
    <row r="17" spans="1:18" ht="42.75">
      <c r="A17" s="629"/>
      <c r="B17" s="1493" t="s">
        <v>1745</v>
      </c>
      <c r="C17" s="2178" t="str">
        <f>C5</f>
        <v>估价对象位于XX商圈，周边办公楼项目较多，入驻率高，办公集聚程度较好</v>
      </c>
      <c r="D17" s="2151"/>
      <c r="E17" s="2179"/>
      <c r="F17" s="2180" t="s">
        <v>1762</v>
      </c>
      <c r="G17" s="2181"/>
    </row>
    <row r="18" spans="1:18" ht="71.25">
      <c r="A18" s="629"/>
      <c r="B18" s="2180" t="s">
        <v>1749</v>
      </c>
      <c r="C18" s="52" t="str">
        <f>C6</f>
        <v>估价对象紧邻城市主干道—曙光西路，有132路、467路、515路等多条公交线路及地铁10号线太阳宫站通过，交通便捷度较好。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7" t="s">
        <v>1747</v>
      </c>
      <c r="G19" s="52" t="str">
        <f>G5</f>
        <v>估价对象所在区域公共配套设施齐备情况</v>
      </c>
    </row>
    <row r="20" spans="1:18" ht="85.5">
      <c r="A20" s="629"/>
      <c r="B20" s="2180" t="s">
        <v>1764</v>
      </c>
      <c r="C20" s="2178" t="str">
        <f>C9</f>
        <v>自然环境：太阳宫公园、金隅南湖公园、坝河等；人文环境：北京中医药大学、中央美术学院、园林科技研究所等；综合评价环境状况较好。</v>
      </c>
      <c r="D20" s="2151"/>
      <c r="E20" s="2179"/>
      <c r="F20" s="1887" t="s">
        <v>1765</v>
      </c>
      <c r="G20" s="52" t="str">
        <f>G6</f>
        <v>估价对象所在区域基础设施水平</v>
      </c>
    </row>
    <row r="21" spans="1:18" ht="28.5">
      <c r="A21" s="629"/>
      <c r="B21" s="1887" t="s">
        <v>1747</v>
      </c>
      <c r="C21" s="52" t="str">
        <f>C7</f>
        <v>估价对象所在区域公共配套设施较好</v>
      </c>
      <c r="D21" s="2144"/>
      <c r="E21" s="2179"/>
      <c r="F21" s="2180" t="s">
        <v>1766</v>
      </c>
      <c r="G21" s="2182"/>
    </row>
    <row r="22" spans="1:18" ht="15">
      <c r="A22" s="629"/>
      <c r="B22" s="1887" t="s">
        <v>1750</v>
      </c>
      <c r="C22" s="52" t="str">
        <f>C8</f>
        <v>七通一平</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城市主干道—曙光西路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30" t="s">
        <v>1225</v>
      </c>
      <c r="B1" s="1830">
        <f>SUM(B14:B23)</f>
        <v>187.16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1596.9427000000001</v>
      </c>
      <c r="C5" s="1830">
        <f ca="1">ROUND(B5*10000/$B$1,0)</f>
        <v>85325</v>
      </c>
      <c r="D5" s="1830" t="e">
        <f ca="1">ROUND(B5*10000/$B$2,0)</f>
        <v>#DIV/0!</v>
      </c>
      <c r="E5" s="1831"/>
      <c r="F5" s="1835"/>
      <c r="G5" s="1835"/>
    </row>
    <row r="6" spans="1:9" ht="16.5">
      <c r="A6" s="1830" t="s">
        <v>1233</v>
      </c>
      <c r="B6" s="1830">
        <f ca="1">SUM(G14:G23)</f>
        <v>1596.9427000000001</v>
      </c>
      <c r="C6" s="1830">
        <f t="shared" ref="C6:C8" ca="1" si="0">ROUND(B6*10000/$B$1,0)</f>
        <v>85325</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2844</v>
      </c>
      <c r="B14" s="1834">
        <f>项目基本情况!C12</f>
        <v>187.16</v>
      </c>
      <c r="C14" s="1834">
        <f>项目基本情况!C13</f>
        <v>0</v>
      </c>
      <c r="D14" s="1834">
        <f ca="1">IF('数据-取费表'!B3="万元",IF(A14="估价对象1（结果表）",结果表!H121,'结果表 (1修多)'!H124),IF(A14="估价对象1（结果表）",结果表!H121,'结果表 (1修多)'!H124)/10000)</f>
        <v>1596.9427000000001</v>
      </c>
      <c r="E14" s="1834">
        <f ca="1">ROUND(D14*10000/B14,0)</f>
        <v>85325</v>
      </c>
      <c r="F14" s="1834" t="e">
        <f ca="1">ROUND(D14*10000/C14,0)</f>
        <v>#DIV/0!</v>
      </c>
      <c r="G14" s="1834">
        <f ca="1">IF('数据-取费表'!B3="万元",IF(A14="估价对象1（结果表）",结果表!D125,'结果表 (1修多)'!D128),IF(A14="估价对象1（结果表）",结果表!D125,'结果表 (1修多)'!D128)/10000)</f>
        <v>1596.9427000000001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22" zoomScaleNormal="100" zoomScaleSheetLayoutView="100" zoomScalePageLayoutView="80" workbookViewId="0">
      <selection activeCell="F27" sqref="F27"/>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16" t="str">
        <f>项目基本情况!B1</f>
        <v>北京市房地产市场价值预评估</v>
      </c>
      <c r="B2" s="2916"/>
      <c r="C2" s="2916"/>
      <c r="D2" s="2916"/>
      <c r="E2" s="2916"/>
      <c r="F2" s="2916"/>
      <c r="G2" s="2916"/>
      <c r="H2" s="2916"/>
      <c r="I2" s="2916"/>
    </row>
    <row r="3" spans="1:12" ht="12.75">
      <c r="A3" s="2919" t="s">
        <v>1770</v>
      </c>
      <c r="B3" s="2920"/>
      <c r="C3" s="2920"/>
      <c r="D3" s="2920"/>
      <c r="E3" s="2920"/>
      <c r="F3" s="2920"/>
      <c r="G3" s="2920"/>
      <c r="H3" s="2920"/>
      <c r="I3" s="2920"/>
    </row>
    <row r="4" spans="1:12" ht="14.25">
      <c r="A4" s="2196" t="s">
        <v>1771</v>
      </c>
      <c r="B4" s="2197" t="s">
        <v>1772</v>
      </c>
      <c r="C4" s="2198" t="s">
        <v>2846</v>
      </c>
      <c r="D4" s="2198" t="s">
        <v>2845</v>
      </c>
      <c r="E4" s="2900" t="s">
        <v>1773</v>
      </c>
      <c r="F4" s="2901"/>
      <c r="G4" s="2901"/>
      <c r="H4" s="2901"/>
      <c r="I4" s="291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3" t="s">
        <v>1774</v>
      </c>
      <c r="B5" s="2855">
        <v>25</v>
      </c>
      <c r="C5" s="2904">
        <v>8</v>
      </c>
      <c r="D5" s="2918">
        <v>2</v>
      </c>
      <c r="E5" s="56" t="s">
        <v>1775</v>
      </c>
      <c r="F5" s="2199"/>
      <c r="G5" s="2199"/>
      <c r="H5" s="2199"/>
      <c r="I5" s="2200"/>
    </row>
    <row r="6" spans="1:12" ht="12.75">
      <c r="A6" s="2893"/>
      <c r="B6" s="2855"/>
      <c r="C6" s="2921"/>
      <c r="D6" s="2918"/>
      <c r="E6" s="56" t="s">
        <v>1776</v>
      </c>
      <c r="F6" s="2199"/>
      <c r="G6" s="2199"/>
      <c r="H6" s="2199"/>
      <c r="I6" s="2200"/>
    </row>
    <row r="7" spans="1:12" ht="12.75">
      <c r="A7" s="2893"/>
      <c r="B7" s="2855"/>
      <c r="C7" s="2905"/>
      <c r="D7" s="2918"/>
      <c r="E7" s="56" t="s">
        <v>1777</v>
      </c>
      <c r="F7" s="2199"/>
      <c r="G7" s="2199"/>
      <c r="H7" s="2199"/>
      <c r="I7" s="2200"/>
    </row>
    <row r="8" spans="1:12" ht="12.75">
      <c r="A8" s="2893" t="s">
        <v>1778</v>
      </c>
      <c r="B8" s="2855">
        <v>15</v>
      </c>
      <c r="C8" s="2904"/>
      <c r="D8" s="2918"/>
      <c r="E8" s="56" t="s">
        <v>1779</v>
      </c>
      <c r="F8" s="2199"/>
      <c r="G8" s="2199"/>
      <c r="H8" s="2199"/>
      <c r="I8" s="2200"/>
    </row>
    <row r="9" spans="1:12" ht="12.75">
      <c r="A9" s="2893"/>
      <c r="B9" s="2855"/>
      <c r="C9" s="2905"/>
      <c r="D9" s="2918"/>
      <c r="E9" s="56" t="s">
        <v>1780</v>
      </c>
      <c r="F9" s="2199"/>
      <c r="G9" s="2199"/>
      <c r="H9" s="2199"/>
      <c r="I9" s="2200"/>
    </row>
    <row r="10" spans="1:12" ht="12.75">
      <c r="A10" s="2893" t="s">
        <v>1781</v>
      </c>
      <c r="B10" s="2855">
        <v>15</v>
      </c>
      <c r="C10" s="2904"/>
      <c r="D10" s="2918"/>
      <c r="E10" s="56" t="s">
        <v>1782</v>
      </c>
      <c r="F10" s="2199"/>
      <c r="G10" s="2199"/>
      <c r="H10" s="2199"/>
      <c r="I10" s="2200"/>
    </row>
    <row r="11" spans="1:12" ht="12.75">
      <c r="A11" s="2893"/>
      <c r="B11" s="2855"/>
      <c r="C11" s="2905"/>
      <c r="D11" s="2918"/>
      <c r="E11" s="56" t="s">
        <v>1783</v>
      </c>
      <c r="F11" s="2199"/>
      <c r="G11" s="2199"/>
      <c r="H11" s="2199"/>
      <c r="I11" s="2200"/>
    </row>
    <row r="12" spans="1:12" ht="12.75">
      <c r="A12" s="2893" t="s">
        <v>1784</v>
      </c>
      <c r="B12" s="2855">
        <v>15</v>
      </c>
      <c r="C12" s="2904"/>
      <c r="D12" s="2918"/>
      <c r="E12" s="56" t="s">
        <v>1785</v>
      </c>
      <c r="F12" s="2199"/>
      <c r="G12" s="2199"/>
      <c r="H12" s="2199"/>
      <c r="I12" s="2200"/>
    </row>
    <row r="13" spans="1:12" ht="12.75">
      <c r="A13" s="2893"/>
      <c r="B13" s="2855"/>
      <c r="C13" s="2905"/>
      <c r="D13" s="2918"/>
      <c r="E13" s="56" t="s">
        <v>1786</v>
      </c>
      <c r="F13" s="2199"/>
      <c r="G13" s="2199"/>
      <c r="H13" s="2199"/>
      <c r="I13" s="2200"/>
    </row>
    <row r="14" spans="1:12" ht="12.75">
      <c r="A14" s="2893" t="s">
        <v>1787</v>
      </c>
      <c r="B14" s="2855">
        <v>30</v>
      </c>
      <c r="C14" s="2904"/>
      <c r="D14" s="2918"/>
      <c r="E14" s="56" t="s">
        <v>1788</v>
      </c>
      <c r="F14" s="2199"/>
      <c r="G14" s="2199"/>
      <c r="H14" s="2199"/>
      <c r="I14" s="2200"/>
    </row>
    <row r="15" spans="1:12" ht="12.75">
      <c r="A15" s="2893"/>
      <c r="B15" s="2855"/>
      <c r="C15" s="2921"/>
      <c r="D15" s="2918"/>
      <c r="E15" s="56" t="s">
        <v>1789</v>
      </c>
      <c r="F15" s="2199"/>
      <c r="G15" s="2199"/>
      <c r="H15" s="2199"/>
      <c r="I15" s="2200"/>
    </row>
    <row r="16" spans="1:12" ht="12.75">
      <c r="A16" s="2893"/>
      <c r="B16" s="2855"/>
      <c r="C16" s="2905"/>
      <c r="D16" s="2918"/>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17566838</v>
      </c>
      <c r="D19" s="60">
        <f ca="1">SUMIF(INDIRECT("'"&amp;D4&amp;"'"&amp;"!A:A"),结果表!B19,INDIRECT("'"&amp;D4&amp;"'"&amp;"!B:B"))</f>
        <v>9579918</v>
      </c>
      <c r="E19" s="2205" t="s">
        <v>1795</v>
      </c>
      <c r="F19" s="2206" t="s">
        <v>1794</v>
      </c>
      <c r="G19" s="61">
        <f ca="1">ROUND(C19*$C$18+D19*$D$18,0)</f>
        <v>15969454</v>
      </c>
      <c r="H19" s="2207" t="str">
        <f>'数据-取费表'!B3</f>
        <v>元</v>
      </c>
      <c r="I19" s="2194"/>
    </row>
    <row r="20" spans="1:35" ht="15">
      <c r="A20" s="2208"/>
      <c r="B20" s="2209" t="s">
        <v>1796</v>
      </c>
      <c r="C20" s="62">
        <f ca="1">SUMIF(INDIRECT("'"&amp;C4&amp;"'"&amp;"!A:A"),结果表!B20,INDIRECT("'"&amp;C4&amp;"'"&amp;"!B:B"))</f>
        <v>93860</v>
      </c>
      <c r="D20" s="63">
        <f ca="1">SUMIF(INDIRECT("'"&amp;D4&amp;"'"&amp;"!A:A"),结果表!B20,INDIRECT("'"&amp;D4&amp;"'"&amp;"!B:B"))</f>
        <v>51186</v>
      </c>
      <c r="E20" s="2208"/>
      <c r="F20" s="2209" t="s">
        <v>1796</v>
      </c>
      <c r="G20" s="64">
        <f ca="1">ROUND(C20*$C$18+D20*$D$18,0)</f>
        <v>85325</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0.83371486060736633</v>
      </c>
      <c r="E22" s="2194"/>
      <c r="F22" s="2194"/>
      <c r="G22" s="2194"/>
      <c r="H22" s="2194"/>
      <c r="I22" s="2194"/>
    </row>
    <row r="23" spans="1:35" ht="13.5" thickBot="1">
      <c r="A23" s="2194"/>
      <c r="B23" s="2194"/>
      <c r="C23" s="2194"/>
      <c r="D23" s="2194"/>
      <c r="E23" s="2194"/>
      <c r="F23" s="2194"/>
      <c r="G23" s="2194"/>
      <c r="H23" s="2194"/>
      <c r="I23" s="2194"/>
    </row>
    <row r="24" spans="1:35" ht="21.75" customHeight="1">
      <c r="A24" s="2924" t="s">
        <v>1799</v>
      </c>
      <c r="B24" s="2206" t="s">
        <v>1794</v>
      </c>
      <c r="C24" s="61">
        <f>D30</f>
        <v>0</v>
      </c>
      <c r="D24" s="994"/>
      <c r="E24" s="2194"/>
      <c r="F24" s="2194"/>
      <c r="G24" s="2194"/>
      <c r="H24" s="2194"/>
      <c r="I24" s="2194"/>
    </row>
    <row r="25" spans="1:35" ht="21.75" customHeight="1">
      <c r="A25" s="2925"/>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2807</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楼面单价</v>
      </c>
      <c r="C32" s="1145">
        <f ca="1">IF(B32="总价",G19-C24,G20-C25)</f>
        <v>85325</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79523</v>
      </c>
      <c r="D34" s="1091">
        <f ca="1">IF(D33="自定义",ROUND(C34/C32,3),1-D35)</f>
        <v>0.93199999999999994</v>
      </c>
      <c r="E34" s="2232" t="s">
        <v>1809</v>
      </c>
      <c r="F34" s="1828">
        <v>2000</v>
      </c>
      <c r="G34" s="2194"/>
      <c r="H34" s="2194"/>
      <c r="I34" s="2194"/>
    </row>
    <row r="35" spans="1:16" ht="15.75" thickBot="1">
      <c r="A35" s="2233"/>
      <c r="B35" s="2234" t="s">
        <v>1810</v>
      </c>
      <c r="C35" s="73">
        <f ca="1">IF(D33="自定义",F35,ROUND(C32*D35,0))</f>
        <v>5802</v>
      </c>
      <c r="D35" s="1090">
        <f ca="1">IF(D33="自定义",ROUND(C35/C32,3),IF(D33="成本法成本比率",成本法!C56,IF(D33="收益法收益比率",收益法!J38,收益法!J41)))</f>
        <v>6.8000000000000005E-2</v>
      </c>
      <c r="E35" s="2235" t="s">
        <v>1811</v>
      </c>
      <c r="F35" s="79">
        <v>4460</v>
      </c>
      <c r="G35" s="2194"/>
      <c r="H35" s="2194"/>
      <c r="I35" s="2194"/>
    </row>
    <row r="36" spans="1:16" ht="15.75" thickBot="1">
      <c r="A36" s="2906" t="s">
        <v>1812</v>
      </c>
      <c r="B36" s="2236" t="s">
        <v>1813</v>
      </c>
      <c r="C36" s="69">
        <v>0</v>
      </c>
      <c r="D36" s="2237"/>
      <c r="E36" s="2238"/>
      <c r="F36" s="2238"/>
      <c r="G36" s="2194"/>
      <c r="H36" s="2194"/>
      <c r="I36" s="2194"/>
    </row>
    <row r="37" spans="1:16" ht="15.75" thickBot="1">
      <c r="A37" s="2907"/>
      <c r="B37" s="2239" t="s">
        <v>1814</v>
      </c>
      <c r="C37" s="71">
        <v>0</v>
      </c>
      <c r="D37" s="2204"/>
      <c r="E37" s="2204"/>
      <c r="F37" s="2238"/>
      <c r="G37" s="2204"/>
      <c r="H37" s="2204"/>
      <c r="I37" s="2204"/>
    </row>
    <row r="38" spans="1:16" ht="15.75" thickBot="1">
      <c r="A38" s="2908"/>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12" t="s">
        <v>1823</v>
      </c>
      <c r="B45" s="2913"/>
      <c r="C45" s="2914"/>
      <c r="D45" s="80">
        <f ca="1">ROUND(I102*F45,0)</f>
        <v>15969427</v>
      </c>
      <c r="E45" s="81" t="s">
        <v>1824</v>
      </c>
      <c r="F45" s="82">
        <v>1</v>
      </c>
      <c r="G45" s="83" t="s">
        <v>1825</v>
      </c>
      <c r="H45" s="2194"/>
      <c r="I45" s="2194"/>
      <c r="J45" s="2974" t="s">
        <v>1826</v>
      </c>
      <c r="K45" s="2974"/>
      <c r="L45" s="2974"/>
      <c r="M45" s="2974"/>
      <c r="N45" s="2974"/>
      <c r="O45" s="2974"/>
      <c r="P45" s="1845"/>
    </row>
    <row r="46" spans="1:16" ht="14.25" customHeight="1">
      <c r="A46" s="2897" t="s">
        <v>1827</v>
      </c>
      <c r="B46" s="2898"/>
      <c r="C46" s="2898"/>
      <c r="D46" s="2898"/>
      <c r="E46" s="2898"/>
      <c r="F46" s="2898"/>
      <c r="G46" s="2899"/>
      <c r="H46" s="2256"/>
      <c r="I46" s="1144"/>
      <c r="J46" s="1883">
        <v>1</v>
      </c>
      <c r="K46" s="2974" t="s">
        <v>1828</v>
      </c>
      <c r="L46" s="2974"/>
      <c r="M46" s="2975" t="str">
        <f>项目基本情况!B1</f>
        <v>北京市房地产市场价值预评估</v>
      </c>
      <c r="N46" s="2975"/>
      <c r="O46" s="2975"/>
      <c r="P46" s="1845"/>
    </row>
    <row r="47" spans="1:16" ht="12" customHeight="1">
      <c r="A47" s="85" t="s">
        <v>1829</v>
      </c>
      <c r="B47" s="86"/>
      <c r="C47" s="87"/>
      <c r="D47" s="88" t="s">
        <v>1830</v>
      </c>
      <c r="E47" s="14" t="s">
        <v>1831</v>
      </c>
      <c r="F47" s="89" t="s">
        <v>1832</v>
      </c>
      <c r="G47" s="90" t="s">
        <v>1833</v>
      </c>
      <c r="H47" s="2256"/>
      <c r="I47" s="1144"/>
      <c r="J47" s="1883">
        <v>2</v>
      </c>
      <c r="K47" s="2974" t="s">
        <v>1834</v>
      </c>
      <c r="L47" s="2974"/>
      <c r="M47" s="2976">
        <f>'数据-取费表'!B2</f>
        <v>43272</v>
      </c>
      <c r="N47" s="2976"/>
      <c r="O47" s="2976"/>
      <c r="P47" s="1845"/>
    </row>
    <row r="48" spans="1:16" ht="25.5">
      <c r="A48" s="2909" t="s">
        <v>1835</v>
      </c>
      <c r="B48" s="2910"/>
      <c r="C48" s="2910"/>
      <c r="D48" s="56">
        <f ca="1">IF(H48="情况1",0,IF(H48="情况2",D52,IF(H48="情况3",D53,IF(H48="情况4",D54))))</f>
        <v>851703</v>
      </c>
      <c r="E48" s="1893" t="str">
        <f>IF(H48="情况4","(销售额-原购置价)×税（费）率","销售额×税（费）率")</f>
        <v>销售额×税（费）率</v>
      </c>
      <c r="F48" s="91">
        <f>IF(H48="情况1","免征",'数据-取费表'!E29)</f>
        <v>5.6000000000000001E-2</v>
      </c>
      <c r="G48" s="2257" t="s">
        <v>1836</v>
      </c>
      <c r="H48" s="2258" t="s">
        <v>1837</v>
      </c>
      <c r="I48" s="2256"/>
      <c r="J48" s="1883">
        <v>3</v>
      </c>
      <c r="K48" s="2974" t="s">
        <v>1838</v>
      </c>
      <c r="L48" s="2974"/>
      <c r="M48" s="2975">
        <f ca="1">I102</f>
        <v>15969427</v>
      </c>
      <c r="N48" s="2975"/>
      <c r="O48" s="2975"/>
      <c r="P48" s="1845"/>
    </row>
    <row r="49" spans="1:16" ht="25.5" customHeight="1">
      <c r="A49" s="92" t="s">
        <v>1839</v>
      </c>
      <c r="B49" s="2902" t="s">
        <v>1840</v>
      </c>
      <c r="C49" s="2902"/>
      <c r="D49" s="93">
        <v>0</v>
      </c>
      <c r="E49" s="13" t="s">
        <v>1841</v>
      </c>
      <c r="F49" s="18" t="s">
        <v>48</v>
      </c>
      <c r="G49" s="2967"/>
      <c r="H49" s="2194"/>
      <c r="I49" s="2259"/>
      <c r="J49" s="1883">
        <v>4</v>
      </c>
      <c r="K49" s="2974" t="str">
        <f>IF(项目基本情况!F5="房地产抵押价值","房地产抵押价值","抵押担保权已注销时的房地产抵押价值")</f>
        <v>抵押担保权已注销时的房地产抵押价值</v>
      </c>
      <c r="L49" s="2974"/>
      <c r="M49" s="2975" t="str">
        <f>IF(项目基本情况!F5="房地产抵押价值",I110,I112)</f>
        <v>——</v>
      </c>
      <c r="N49" s="2975"/>
      <c r="O49" s="2975"/>
      <c r="P49" s="1845"/>
    </row>
    <row r="50" spans="1:16" ht="25.5" customHeight="1">
      <c r="A50" s="94"/>
      <c r="B50" s="2902" t="s">
        <v>1842</v>
      </c>
      <c r="C50" s="2902"/>
      <c r="D50" s="95"/>
      <c r="E50" s="21"/>
      <c r="F50" s="96"/>
      <c r="G50" s="2968"/>
      <c r="H50" s="2194"/>
      <c r="I50" s="2259"/>
      <c r="J50" s="2974" t="s">
        <v>1843</v>
      </c>
      <c r="K50" s="2974"/>
      <c r="L50" s="2974"/>
      <c r="M50" s="2974"/>
      <c r="N50" s="2974"/>
      <c r="O50" s="2974"/>
      <c r="P50" s="1845"/>
    </row>
    <row r="51" spans="1:16" ht="12" customHeight="1">
      <c r="A51" s="97"/>
      <c r="B51" s="2902" t="s">
        <v>1844</v>
      </c>
      <c r="C51" s="2902"/>
      <c r="D51" s="98"/>
      <c r="E51" s="20"/>
      <c r="F51" s="96"/>
      <c r="G51" s="2969"/>
      <c r="H51" s="2194"/>
      <c r="I51" s="2259"/>
      <c r="J51" s="2260" t="s">
        <v>1845</v>
      </c>
      <c r="K51" s="2974" t="s">
        <v>1846</v>
      </c>
      <c r="L51" s="2974"/>
      <c r="M51" s="2260" t="s">
        <v>1847</v>
      </c>
      <c r="N51" s="2260" t="s">
        <v>1848</v>
      </c>
      <c r="O51" s="2260" t="s">
        <v>1849</v>
      </c>
      <c r="P51" s="1845"/>
    </row>
    <row r="52" spans="1:16" ht="24" customHeight="1">
      <c r="A52" s="99" t="s">
        <v>1850</v>
      </c>
      <c r="B52" s="2902" t="s">
        <v>1851</v>
      </c>
      <c r="C52" s="2902"/>
      <c r="D52" s="98">
        <f ca="1">ROUND(D45*'数据-取费表'!E29/(1+'数据-取费表'!F30),0)</f>
        <v>851703</v>
      </c>
      <c r="E52" s="10" t="s">
        <v>1852</v>
      </c>
      <c r="F52" s="100">
        <f>'数据-取费表'!E29</f>
        <v>5.6000000000000001E-2</v>
      </c>
      <c r="G52" s="2261"/>
      <c r="H52" s="2194"/>
      <c r="I52" s="2259"/>
      <c r="J52" s="1883">
        <v>1</v>
      </c>
      <c r="K52" s="2934" t="s">
        <v>1853</v>
      </c>
      <c r="L52" s="2934"/>
      <c r="M52" s="778">
        <f ca="1">D48</f>
        <v>851703</v>
      </c>
      <c r="N52" s="1883" t="str">
        <f>E48</f>
        <v>销售额×税（费）率</v>
      </c>
      <c r="O52" s="779">
        <f>F48</f>
        <v>5.6000000000000001E-2</v>
      </c>
      <c r="P52" s="1845"/>
    </row>
    <row r="53" spans="1:16" ht="12" customHeight="1">
      <c r="A53" s="99" t="s">
        <v>1854</v>
      </c>
      <c r="B53" s="2903" t="s">
        <v>1855</v>
      </c>
      <c r="C53" s="2828"/>
      <c r="D53" s="98">
        <f ca="1">ROUND(D45*'数据-取费表'!E29/(1+'数据-取费表'!F30),0)</f>
        <v>851703</v>
      </c>
      <c r="E53" s="10" t="s">
        <v>1852</v>
      </c>
      <c r="F53" s="100">
        <f>'数据-取费表'!E29</f>
        <v>5.6000000000000001E-2</v>
      </c>
      <c r="G53" s="2261"/>
      <c r="H53" s="2194"/>
      <c r="I53" s="2259"/>
      <c r="J53" s="1883">
        <v>2</v>
      </c>
      <c r="K53" s="2934" t="s">
        <v>1856</v>
      </c>
      <c r="L53" s="2934"/>
      <c r="M53" s="778">
        <f t="shared" ref="M53:O54" ca="1" si="1">D55</f>
        <v>7985</v>
      </c>
      <c r="N53" s="1883" t="str">
        <f t="shared" si="1"/>
        <v>销售额×税（费）率</v>
      </c>
      <c r="O53" s="779">
        <f t="shared" si="1"/>
        <v>5.0000000000000001E-4</v>
      </c>
      <c r="P53" s="1845"/>
    </row>
    <row r="54" spans="1:16" ht="12" customHeight="1">
      <c r="A54" s="99" t="s">
        <v>1857</v>
      </c>
      <c r="B54" s="2903" t="s">
        <v>1858</v>
      </c>
      <c r="C54" s="2828"/>
      <c r="D54" s="98">
        <f ca="1">C68</f>
        <v>851703</v>
      </c>
      <c r="E54" s="20" t="s">
        <v>1859</v>
      </c>
      <c r="F54" s="100">
        <f>'数据-取费表'!E29</f>
        <v>5.6000000000000001E-2</v>
      </c>
      <c r="G54" s="2261"/>
      <c r="H54" s="2262"/>
      <c r="I54" s="2259"/>
      <c r="J54" s="1883">
        <v>3</v>
      </c>
      <c r="K54" s="2934" t="s">
        <v>1860</v>
      </c>
      <c r="L54" s="2934"/>
      <c r="M54" s="778">
        <f t="shared" ca="1" si="1"/>
        <v>9038696</v>
      </c>
      <c r="N54" s="1883" t="str">
        <f t="shared" si="1"/>
        <v>增值额×税（费）率</v>
      </c>
      <c r="O54" s="780" t="str">
        <f t="shared" si="1"/>
        <v>——</v>
      </c>
      <c r="P54" s="1845"/>
    </row>
    <row r="55" spans="1:16" ht="24" customHeight="1">
      <c r="A55" s="2820" t="s">
        <v>1861</v>
      </c>
      <c r="B55" s="2910"/>
      <c r="C55" s="2910"/>
      <c r="D55" s="101">
        <f ca="1">IF(H55="个人住宅",0,ROUND(D45*I55,0))</f>
        <v>7985</v>
      </c>
      <c r="E55" s="10" t="s">
        <v>1862</v>
      </c>
      <c r="F55" s="100">
        <f>IF(H55="正常",I55,"免征")</f>
        <v>5.0000000000000001E-4</v>
      </c>
      <c r="G55" s="2261"/>
      <c r="H55" s="2258" t="s">
        <v>1863</v>
      </c>
      <c r="I55" s="102">
        <f>'数据-取费表'!E37</f>
        <v>5.0000000000000001E-4</v>
      </c>
      <c r="J55" s="1883">
        <f>IF(H59="非个人房产","",4)</f>
        <v>4</v>
      </c>
      <c r="K55" s="2934" t="str">
        <f>IF(H59="非个人房产","——","个人所得税")</f>
        <v>个人所得税</v>
      </c>
      <c r="L55" s="2934"/>
      <c r="M55" s="781">
        <f ca="1">D59</f>
        <v>159694</v>
      </c>
      <c r="N55" s="1886" t="str">
        <f>E59</f>
        <v>销售额×税（费）率</v>
      </c>
      <c r="O55" s="782">
        <f>F59</f>
        <v>0.01</v>
      </c>
      <c r="P55" s="1845"/>
    </row>
    <row r="56" spans="1:16" ht="24.75">
      <c r="A56" s="2820" t="s">
        <v>1864</v>
      </c>
      <c r="B56" s="2910"/>
      <c r="C56" s="2910"/>
      <c r="D56" s="101">
        <f ca="1">IF(H56="个人住宅",D57,D58)</f>
        <v>9038696</v>
      </c>
      <c r="E56" s="10" t="s">
        <v>1865</v>
      </c>
      <c r="F56" s="100" t="str">
        <f>IF(H56="正常",F58,"免征")</f>
        <v>——</v>
      </c>
      <c r="G56" s="2263" t="s">
        <v>1866</v>
      </c>
      <c r="H56" s="2264" t="s">
        <v>1863</v>
      </c>
      <c r="I56" s="1022"/>
      <c r="J56" s="1883" t="str">
        <f>IF(项目基本情况!I6="上海银行",IF(J55="",4,J55+1),"")</f>
        <v/>
      </c>
      <c r="K56" s="2952" t="str">
        <f>IF(项目基本情况!I6="上海银行","其他处置费用","")</f>
        <v/>
      </c>
      <c r="L56" s="2953"/>
      <c r="M56" s="778" t="str">
        <f>IF(项目基本情况!I6="上海银行",M69,"")</f>
        <v/>
      </c>
      <c r="N56" s="2965" t="str">
        <f>IF(项目基本情况!I6="上海银行","包含处置中涉及的律师、诉讼、拍卖、评估等费用","")</f>
        <v/>
      </c>
      <c r="O56" s="2966"/>
      <c r="P56" s="1845"/>
    </row>
    <row r="57" spans="1:16" ht="12.75">
      <c r="A57" s="99" t="s">
        <v>1839</v>
      </c>
      <c r="B57" s="2900" t="s">
        <v>1867</v>
      </c>
      <c r="C57" s="2911"/>
      <c r="D57" s="103">
        <v>0</v>
      </c>
      <c r="E57" s="13" t="s">
        <v>1841</v>
      </c>
      <c r="F57" s="70"/>
      <c r="G57" s="2261"/>
      <c r="H57" s="1022"/>
      <c r="I57" s="1022"/>
      <c r="J57" s="2934">
        <f>IF(AND(J55="",J56=""),4,IF(项目基本情况!I6="上海银行",J56+1,J55+1))</f>
        <v>5</v>
      </c>
      <c r="K57" s="2934" t="s">
        <v>1868</v>
      </c>
      <c r="L57" s="2265" t="s">
        <v>1869</v>
      </c>
      <c r="M57" s="783"/>
      <c r="N57" s="784">
        <f ca="1">SUMIF(M52:M56,"&lt;9e307")</f>
        <v>10058078</v>
      </c>
      <c r="O57" s="2266"/>
      <c r="P57" s="1841" t="e">
        <f ca="1">N57/M49</f>
        <v>#VALUE!</v>
      </c>
    </row>
    <row r="58" spans="1:16" ht="24.75">
      <c r="A58" s="99" t="s">
        <v>1850</v>
      </c>
      <c r="B58" s="2900" t="s">
        <v>1870</v>
      </c>
      <c r="C58" s="2901"/>
      <c r="D58" s="101">
        <f ca="1">IF(H58="转让取得",C81,C97)</f>
        <v>9038696</v>
      </c>
      <c r="E58" s="10" t="s">
        <v>1865</v>
      </c>
      <c r="F58" s="14" t="s">
        <v>48</v>
      </c>
      <c r="G58" s="2261"/>
      <c r="H58" s="2264" t="s">
        <v>1871</v>
      </c>
      <c r="I58" s="1022"/>
      <c r="J58" s="2934"/>
      <c r="K58" s="2934"/>
      <c r="L58" s="2265" t="s">
        <v>1872</v>
      </c>
      <c r="M58" s="785"/>
      <c r="N58" s="2267" t="str">
        <f ca="1">IF(H19="元",NUMBERSTRING(INT(N57),2)&amp;"元整",NUMBERSTRING(INT(N57*10000),2)&amp;"元整")</f>
        <v>壹仟零伍万捌仟零柒拾捌元整</v>
      </c>
      <c r="O58" s="2268"/>
      <c r="P58" s="1845"/>
    </row>
    <row r="59" spans="1:16" ht="26.25" thickBot="1">
      <c r="A59" s="2821" t="s">
        <v>1873</v>
      </c>
      <c r="B59" s="2824"/>
      <c r="C59" s="2824"/>
      <c r="D59" s="104">
        <f ca="1">IF(H59="非个人房产","——",IF(H59="个人住宅",0,ROUND(D45*I59,0)))</f>
        <v>159694</v>
      </c>
      <c r="E59" s="105" t="str">
        <f>IF(H59="非个人房产","——","销售额×税（费）率")</f>
        <v>销售额×税（费）率</v>
      </c>
      <c r="F59" s="106">
        <f>IF(H59="非个人房产","——",IF(H59="个人住宅","免征",I59))</f>
        <v>0.01</v>
      </c>
      <c r="G59" s="2269" t="s">
        <v>1866</v>
      </c>
      <c r="H59" s="2264" t="s">
        <v>1874</v>
      </c>
      <c r="I59" s="107">
        <v>0.01</v>
      </c>
      <c r="J59" s="2932">
        <f>J57+1</f>
        <v>6</v>
      </c>
      <c r="K59" s="2934" t="s">
        <v>1875</v>
      </c>
      <c r="L59" s="1883" t="s">
        <v>1869</v>
      </c>
      <c r="M59" s="786"/>
      <c r="N59" s="787" t="e">
        <f ca="1">M49-N57</f>
        <v>#VALUE!</v>
      </c>
      <c r="O59" s="2270"/>
      <c r="P59" s="1845"/>
    </row>
    <row r="60" spans="1:16" ht="12" customHeight="1">
      <c r="A60" s="2067"/>
      <c r="B60" s="2194"/>
      <c r="C60" s="2194"/>
      <c r="D60" s="2194"/>
      <c r="E60" s="1022"/>
      <c r="F60" s="1022"/>
      <c r="G60" s="1022"/>
      <c r="H60" s="2247"/>
      <c r="I60" s="2194"/>
      <c r="J60" s="2933"/>
      <c r="K60" s="2934"/>
      <c r="L60" s="2265" t="s">
        <v>1872</v>
      </c>
      <c r="M60" s="785"/>
      <c r="N60" s="2267" t="e">
        <f ca="1">IF(H19="元",NUMBERSTRING(INT(N59),2)&amp;"元整",NUMBERSTRING(INT(N59*10000),2)&amp;"元整")</f>
        <v>#VALUE!</v>
      </c>
      <c r="O60" s="2268"/>
      <c r="P60" s="1845"/>
    </row>
    <row r="61" spans="1:16" ht="13.5" thickBot="1">
      <c r="A61" s="2915" t="s">
        <v>1876</v>
      </c>
      <c r="B61" s="2915"/>
      <c r="C61" s="2915"/>
      <c r="D61" s="2915"/>
      <c r="E61" s="2915"/>
      <c r="F61" s="1022"/>
      <c r="G61" s="1022"/>
      <c r="H61" s="2247"/>
      <c r="I61" s="2194"/>
      <c r="J61" s="1883">
        <f>J59+1</f>
        <v>7</v>
      </c>
      <c r="K61" s="2934" t="s">
        <v>1877</v>
      </c>
      <c r="L61" s="2934"/>
      <c r="M61" s="788"/>
      <c r="N61" s="789" t="e">
        <f ca="1">IF(H19="元",ROUND(N59/项目基本情况!C12,0),ROUND(N59*10000/项目基本情况!C12,0))</f>
        <v>#VALUE!</v>
      </c>
      <c r="O61" s="2271"/>
      <c r="P61" s="1845"/>
    </row>
    <row r="62" spans="1:16" ht="12.75">
      <c r="A62" s="2922" t="s">
        <v>1878</v>
      </c>
      <c r="B62" s="2923"/>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15208978</v>
      </c>
      <c r="D63" s="112"/>
      <c r="E63" s="113"/>
      <c r="F63" s="1022"/>
      <c r="G63" s="1022"/>
      <c r="H63" s="2247"/>
      <c r="I63" s="2194"/>
      <c r="J63" s="2954"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15969427</v>
      </c>
      <c r="D64" s="117" t="s">
        <v>41</v>
      </c>
      <c r="E64" s="118"/>
      <c r="F64" s="1022"/>
      <c r="G64" s="1022"/>
      <c r="H64" s="2247"/>
      <c r="I64" s="2194"/>
      <c r="J64" s="2954"/>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954"/>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954"/>
      <c r="K66" s="2272" t="s">
        <v>1891</v>
      </c>
      <c r="L66" s="1844" t="e">
        <f>M49*0.5%</f>
        <v>#VALUE!</v>
      </c>
      <c r="M66" s="14" t="e">
        <f>IF(L66&gt;0.5,0.5,ROUND(L66,0))</f>
        <v>#VALUE!</v>
      </c>
      <c r="N66" s="1845" t="s">
        <v>1892</v>
      </c>
      <c r="O66" s="1845"/>
      <c r="P66" s="1845"/>
    </row>
    <row r="67" spans="1:35" ht="12.75">
      <c r="A67" s="120" t="s">
        <v>42</v>
      </c>
      <c r="B67" s="121" t="s">
        <v>1893</v>
      </c>
      <c r="C67" s="124">
        <f ca="1">C63-C66</f>
        <v>15208978</v>
      </c>
      <c r="D67" s="117" t="s">
        <v>41</v>
      </c>
      <c r="E67" s="118"/>
      <c r="F67" s="1022"/>
      <c r="G67" s="1022"/>
      <c r="H67" s="2247"/>
      <c r="I67" s="2194"/>
      <c r="J67" s="2954"/>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851703</v>
      </c>
      <c r="D68" s="128">
        <f>'数据-取费表'!E29</f>
        <v>5.6000000000000001E-2</v>
      </c>
      <c r="E68" s="129"/>
      <c r="F68" s="1022"/>
      <c r="G68" s="1022"/>
      <c r="H68" s="2247"/>
      <c r="I68" s="2194"/>
      <c r="J68" s="2954"/>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54"/>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26" t="s">
        <v>1898</v>
      </c>
      <c r="B70" s="2927"/>
      <c r="C70" s="2927"/>
      <c r="D70" s="2927"/>
      <c r="E70" s="2927"/>
      <c r="F70" s="2927"/>
      <c r="G70" s="2927"/>
      <c r="H70" s="2927"/>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22" t="s">
        <v>1878</v>
      </c>
      <c r="B71" s="2923"/>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15208978</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91254</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03" t="s">
        <v>1908</v>
      </c>
      <c r="F76" s="2902"/>
      <c r="G76" s="2902"/>
      <c r="H76" s="2917"/>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91254</v>
      </c>
      <c r="D78" s="145">
        <f>'数据-取费表'!E31</f>
        <v>6.000000000000001E-3</v>
      </c>
      <c r="E78" s="2894" t="s">
        <v>1913</v>
      </c>
      <c r="F78" s="2895"/>
      <c r="G78" s="2895"/>
      <c r="H78" s="2896"/>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15117724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165.66642558134438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9038696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26" t="s">
        <v>1917</v>
      </c>
      <c r="B83" s="2927"/>
      <c r="C83" s="2927"/>
      <c r="D83" s="2927"/>
      <c r="E83" s="2927"/>
      <c r="F83" s="2927"/>
      <c r="G83" s="2927"/>
      <c r="H83" s="2927"/>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22" t="s">
        <v>1878</v>
      </c>
      <c r="B84" s="2923"/>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15208978</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91254</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94" t="s">
        <v>1925</v>
      </c>
      <c r="F91" s="2895"/>
      <c r="G91" s="2895"/>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94" t="s">
        <v>1928</v>
      </c>
      <c r="F92" s="2895"/>
      <c r="G92" s="2895"/>
      <c r="H92" s="2896"/>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91254</v>
      </c>
      <c r="D93" s="145">
        <f>'数据-取费表'!E31</f>
        <v>6.000000000000001E-3</v>
      </c>
      <c r="E93" s="2894" t="s">
        <v>1913</v>
      </c>
      <c r="F93" s="2895"/>
      <c r="G93" s="2895"/>
      <c r="H93" s="289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94" t="s">
        <v>1930</v>
      </c>
      <c r="F94" s="2895"/>
      <c r="G94" s="2895"/>
      <c r="H94" s="289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15117724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165.66642558134438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9038696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949" t="s">
        <v>1932</v>
      </c>
      <c r="B99" s="2950"/>
      <c r="C99" s="2950"/>
      <c r="D99" s="2951"/>
      <c r="E99" s="2194"/>
      <c r="F99" s="2960" t="s">
        <v>1933</v>
      </c>
      <c r="G99" s="2961"/>
      <c r="H99" s="2961"/>
      <c r="I99" s="2962"/>
    </row>
    <row r="100" spans="1:35" ht="15.75">
      <c r="A100" s="2963" t="s">
        <v>1934</v>
      </c>
      <c r="B100" s="2964"/>
      <c r="C100" s="720" t="str">
        <f>C4</f>
        <v>比较法-住宅</v>
      </c>
      <c r="D100" s="721" t="str">
        <f>D4</f>
        <v>收益法</v>
      </c>
      <c r="E100" s="2194"/>
      <c r="F100" s="2859" t="s">
        <v>1935</v>
      </c>
      <c r="G100" s="2860"/>
      <c r="H100" s="2859" t="s">
        <v>1936</v>
      </c>
      <c r="I100" s="2858"/>
    </row>
    <row r="101" spans="1:35" ht="15.75">
      <c r="A101" s="2941" t="s">
        <v>1937</v>
      </c>
      <c r="B101" s="2289" t="str">
        <f>IF(H19="元","总价（元）","总价（万元）")</f>
        <v>总价（元）</v>
      </c>
      <c r="C101" s="720">
        <f ca="1">C19</f>
        <v>17566838</v>
      </c>
      <c r="D101" s="721">
        <f ca="1">D19</f>
        <v>9579918</v>
      </c>
      <c r="E101" s="2194"/>
      <c r="F101" s="2859" t="str">
        <f>项目基本情况!I1</f>
        <v>北京市房地产</v>
      </c>
      <c r="G101" s="2860"/>
      <c r="H101" s="2857">
        <f>项目基本情况!C12</f>
        <v>187.16</v>
      </c>
      <c r="I101" s="2858"/>
    </row>
    <row r="102" spans="1:35" ht="15.75">
      <c r="A102" s="2941"/>
      <c r="B102" s="2289" t="s">
        <v>1938</v>
      </c>
      <c r="C102" s="722">
        <f ca="1">C20</f>
        <v>93860</v>
      </c>
      <c r="D102" s="723">
        <f ca="1">D20</f>
        <v>51186</v>
      </c>
      <c r="E102" s="2194"/>
      <c r="F102" s="2886" t="s">
        <v>1939</v>
      </c>
      <c r="G102" s="2887"/>
      <c r="H102" s="2290" t="str">
        <f>C106</f>
        <v>总价（元）</v>
      </c>
      <c r="I102" s="1862">
        <f ca="1">H121</f>
        <v>15969427</v>
      </c>
    </row>
    <row r="103" spans="1:35" ht="15">
      <c r="A103" s="2941" t="s">
        <v>1940</v>
      </c>
      <c r="B103" s="2291" t="str">
        <f>B101</f>
        <v>总价（元）</v>
      </c>
      <c r="C103" s="724">
        <f ca="1">H121</f>
        <v>15969427</v>
      </c>
      <c r="D103" s="725"/>
      <c r="E103" s="2194"/>
      <c r="F103" s="2886"/>
      <c r="G103" s="2887"/>
      <c r="H103" s="2290" t="s">
        <v>1938</v>
      </c>
      <c r="I103" s="1050">
        <f ca="1">I121</f>
        <v>85325</v>
      </c>
    </row>
    <row r="104" spans="1:35" ht="16.5" thickBot="1">
      <c r="A104" s="2942"/>
      <c r="B104" s="2292" t="s">
        <v>1938</v>
      </c>
      <c r="C104" s="726">
        <f ca="1">I121</f>
        <v>85325</v>
      </c>
      <c r="D104" s="727"/>
      <c r="E104" s="2194"/>
      <c r="F104" s="2958"/>
      <c r="G104" s="2959"/>
      <c r="H104" s="2943"/>
      <c r="I104" s="2944"/>
    </row>
    <row r="105" spans="1:35" ht="15.75">
      <c r="A105" s="2949" t="s">
        <v>1941</v>
      </c>
      <c r="B105" s="2950"/>
      <c r="C105" s="2950"/>
      <c r="D105" s="2951"/>
      <c r="E105" s="2194"/>
      <c r="F105" s="2947" t="s">
        <v>1942</v>
      </c>
      <c r="G105" s="2948"/>
      <c r="H105" s="2293" t="str">
        <f>C108</f>
        <v>总额（元）</v>
      </c>
      <c r="I105" s="1862">
        <f>SUMIF(I106:I108,"&lt;9E307")</f>
        <v>0</v>
      </c>
    </row>
    <row r="106" spans="1:35" ht="15">
      <c r="A106" s="2873" t="s">
        <v>1943</v>
      </c>
      <c r="B106" s="2874"/>
      <c r="C106" s="2290" t="str">
        <f>B101</f>
        <v>总价（元）</v>
      </c>
      <c r="D106" s="1051">
        <f ca="1">H121</f>
        <v>15969427</v>
      </c>
      <c r="E106" s="2194"/>
      <c r="F106" s="2875" t="s">
        <v>1944</v>
      </c>
      <c r="G106" s="2876"/>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73"/>
      <c r="B107" s="2874"/>
      <c r="C107" s="2290" t="s">
        <v>1938</v>
      </c>
      <c r="D107" s="1052">
        <f ca="1">I121</f>
        <v>85325</v>
      </c>
      <c r="E107" s="2194"/>
      <c r="F107" s="2875" t="s">
        <v>1945</v>
      </c>
      <c r="G107" s="2876"/>
      <c r="H107" s="2293" t="str">
        <f>C110</f>
        <v>总额（元）</v>
      </c>
      <c r="I107" s="1050">
        <f>C37</f>
        <v>0</v>
      </c>
      <c r="K107" s="2294"/>
    </row>
    <row r="108" spans="1:35" ht="15">
      <c r="A108" s="2880" t="s">
        <v>1946</v>
      </c>
      <c r="B108" s="2881"/>
      <c r="C108" s="2293" t="str">
        <f>IF(H19="元","总额（元）","总额（万元）")</f>
        <v>总额（元）</v>
      </c>
      <c r="D108" s="1051">
        <f>IF(D36="正常操作",I106+I107+I108,I107+I108)</f>
        <v>0</v>
      </c>
      <c r="E108" s="2194"/>
      <c r="F108" s="2875" t="s">
        <v>1947</v>
      </c>
      <c r="G108" s="2876"/>
      <c r="H108" s="2293" t="str">
        <f>C111</f>
        <v>总额（元）</v>
      </c>
      <c r="I108" s="1050">
        <f>C38</f>
        <v>0</v>
      </c>
    </row>
    <row r="109" spans="1:35" ht="15.75">
      <c r="A109" s="2875" t="s">
        <v>1944</v>
      </c>
      <c r="B109" s="2876"/>
      <c r="C109" s="2293" t="str">
        <f>C108</f>
        <v>总额（元）</v>
      </c>
      <c r="D109" s="637">
        <f>IF(D36="同一抵押权人同一抵押物续贷",C36&amp;"（未扣减，详见特别提示）",C36)</f>
        <v>0</v>
      </c>
      <c r="E109" s="2194"/>
      <c r="F109" s="2958"/>
      <c r="G109" s="2959"/>
      <c r="H109" s="2945"/>
      <c r="I109" s="2946"/>
    </row>
    <row r="110" spans="1:35" ht="28.5" customHeight="1">
      <c r="A110" s="2875" t="s">
        <v>1945</v>
      </c>
      <c r="B110" s="2876"/>
      <c r="C110" s="2293" t="str">
        <f>C108</f>
        <v>总额（元）</v>
      </c>
      <c r="D110" s="637">
        <f>C37</f>
        <v>0</v>
      </c>
      <c r="E110" s="2194"/>
      <c r="F110" s="2861" t="str">
        <f>IF(项目基本情况!F5="已注销","——","3.房地产抵押价值")</f>
        <v>3.房地产抵押价值</v>
      </c>
      <c r="G110" s="2862"/>
      <c r="H110" s="2295" t="str">
        <f>C112</f>
        <v>总价（元）</v>
      </c>
      <c r="I110" s="1863">
        <f ca="1">IF(F110="——","——",I102-I105)</f>
        <v>15969427</v>
      </c>
    </row>
    <row r="111" spans="1:35" ht="15">
      <c r="A111" s="2875" t="s">
        <v>1947</v>
      </c>
      <c r="B111" s="2876"/>
      <c r="C111" s="2293" t="str">
        <f>C108</f>
        <v>总额（元）</v>
      </c>
      <c r="D111" s="637">
        <f>C38</f>
        <v>0</v>
      </c>
      <c r="E111" s="2194"/>
      <c r="F111" s="2977"/>
      <c r="G111" s="2978"/>
      <c r="H111" s="2290" t="s">
        <v>1938</v>
      </c>
      <c r="I111" s="2296">
        <f ca="1">D113</f>
        <v>85325</v>
      </c>
    </row>
    <row r="112" spans="1:35" ht="26.25" customHeight="1">
      <c r="A112" s="2873" t="str">
        <f>IF(项目基本情况!F5="已注销","——","3.房地产抵押价值")</f>
        <v>3.房地产抵押价值</v>
      </c>
      <c r="B112" s="2874"/>
      <c r="C112" s="2290" t="str">
        <f>B101</f>
        <v>总价（元）</v>
      </c>
      <c r="D112" s="1051">
        <f ca="1">IF(A112="——","——",D106-D108)</f>
        <v>15969427</v>
      </c>
      <c r="E112" s="2194"/>
      <c r="F112" s="2861" t="str">
        <f>IF(项目基本情况!F5="已注销及未注销","4.抵押担保权已注销时的房地产抵押价值",IF(项目基本情况!F5="已注销","3.抵押担保权已注销时的房地产抵押价值","——"))</f>
        <v>——</v>
      </c>
      <c r="G112" s="2862"/>
      <c r="H112" s="2295" t="str">
        <f>C114</f>
        <v>总价（元）</v>
      </c>
      <c r="I112" s="1863" t="str">
        <f>IF(F112="——","——",I102-I107-I108)</f>
        <v>——</v>
      </c>
    </row>
    <row r="113" spans="1:15" ht="15">
      <c r="A113" s="2873"/>
      <c r="B113" s="2874"/>
      <c r="C113" s="2290" t="s">
        <v>1938</v>
      </c>
      <c r="D113" s="1052">
        <f ca="1">ROUND(IF(D112=D106,D107,IF(H19="元",D112/项目基本情况!C12,D112*10000/项目基本情况!C12)),0)</f>
        <v>85325</v>
      </c>
      <c r="E113" s="2194"/>
      <c r="F113" s="2977"/>
      <c r="G113" s="2978"/>
      <c r="H113" s="2290" t="s">
        <v>1938</v>
      </c>
      <c r="I113" s="2297" t="str">
        <f>D115</f>
        <v>——</v>
      </c>
    </row>
    <row r="114" spans="1:15" ht="15.75">
      <c r="A114" s="2873" t="str">
        <f>IF(项目基本情况!F5="已注销及未注销","4.抵押担保权已注销时的房地产抵押价值",IF(项目基本情况!F5="已注销","3.抵押担保权已注销时的房地产抵押价值","——"))</f>
        <v>——</v>
      </c>
      <c r="B114" s="2874"/>
      <c r="C114" s="2290" t="str">
        <f>B101</f>
        <v>总价（元）</v>
      </c>
      <c r="D114" s="1051" t="str">
        <f>IF(A114="——","——",D106-D110-D111)</f>
        <v>——</v>
      </c>
      <c r="E114" s="2194"/>
      <c r="F114" s="2861" t="str">
        <f>IF(项目基本情况!G5="抵押净值",IF(OR(项目基本情况!F5="已注销",项目基本情况!F5="房地产抵押价值"),"4.抵押净值","5.抵押净值"),"——")</f>
        <v>——</v>
      </c>
      <c r="G114" s="2862"/>
      <c r="H114" s="2290" t="str">
        <f>C116</f>
        <v>总价（元）</v>
      </c>
      <c r="I114" s="1862" t="str">
        <f>IF(F114="——","——",N59)</f>
        <v>——</v>
      </c>
    </row>
    <row r="115" spans="1:15" ht="15.75" thickBot="1">
      <c r="A115" s="2873"/>
      <c r="B115" s="2874"/>
      <c r="C115" s="2290" t="s">
        <v>1938</v>
      </c>
      <c r="D115" s="1052" t="str">
        <f>IF(A114="——","——",ROUND(IF(D114=D106,D107,IF(H19="元",D114/项目基本情况!C12,D114*10000/项目基本情况!C12)),0))</f>
        <v>——</v>
      </c>
      <c r="E115" s="2194"/>
      <c r="F115" s="2863"/>
      <c r="G115" s="2864"/>
      <c r="H115" s="2298" t="s">
        <v>1938</v>
      </c>
      <c r="I115" s="1864" t="str">
        <f ca="1">D117</f>
        <v>——</v>
      </c>
    </row>
    <row r="116" spans="1:15" ht="15.75">
      <c r="A116" s="2873" t="str">
        <f>IF(项目基本情况!G5="抵押净值",IF(OR(项目基本情况!F5="已注销",项目基本情况!F5="房地产抵押价值"),"4.抵押净值","5.抵押净值"),"——")</f>
        <v>——</v>
      </c>
      <c r="B116" s="2874"/>
      <c r="C116" s="2290" t="str">
        <f>B101</f>
        <v>总价（元）</v>
      </c>
      <c r="D116" s="1051" t="str">
        <f>IF(A116="——","——",N59)</f>
        <v>——</v>
      </c>
      <c r="E116" s="2194"/>
      <c r="F116" s="2973"/>
      <c r="G116" s="2973"/>
      <c r="H116" s="2929"/>
      <c r="I116" s="2929"/>
      <c r="N116" s="55"/>
      <c r="O116" s="55"/>
    </row>
    <row r="117" spans="1:15" ht="15.75" thickBot="1">
      <c r="A117" s="2878"/>
      <c r="B117" s="2879"/>
      <c r="C117" s="2298" t="s">
        <v>1938</v>
      </c>
      <c r="D117" s="1053" t="str">
        <f ca="1">IF(D116=D112,D113,IF(A116="——","——",N61))</f>
        <v>——</v>
      </c>
      <c r="E117" s="2194"/>
      <c r="F117" s="2853" t="str">
        <f>IF(B32="总价","（以上估价结果中单价为总价除以建筑面积得出）","（以上估价结果中总价为楼面单价乘以建筑面积得出）")</f>
        <v>（以上估价结果中总价为楼面单价乘以建筑面积得出）</v>
      </c>
      <c r="G117" s="2853"/>
      <c r="H117" s="2853"/>
      <c r="I117" s="2853"/>
      <c r="N117" s="55"/>
      <c r="O117" s="55"/>
    </row>
    <row r="118" spans="1:15" ht="15">
      <c r="A118" s="2930" t="s">
        <v>1948</v>
      </c>
      <c r="B118" s="2931"/>
      <c r="C118" s="2931"/>
      <c r="D118" s="2931"/>
      <c r="E118" s="2931"/>
      <c r="F118" s="2931"/>
      <c r="G118" s="2931"/>
      <c r="H118" s="2931"/>
      <c r="I118" s="2931"/>
    </row>
    <row r="119" spans="1:15" ht="14.25">
      <c r="A119" s="2854" t="s">
        <v>1949</v>
      </c>
      <c r="B119" s="2884" t="s">
        <v>1950</v>
      </c>
      <c r="C119" s="2884" t="s">
        <v>1951</v>
      </c>
      <c r="D119" s="2956" t="s">
        <v>1952</v>
      </c>
      <c r="E119" s="2957"/>
      <c r="F119" s="2855" t="s">
        <v>1810</v>
      </c>
      <c r="G119" s="2855"/>
      <c r="H119" s="2855" t="s">
        <v>1953</v>
      </c>
      <c r="I119" s="2955"/>
    </row>
    <row r="120" spans="1:15" ht="14.25">
      <c r="A120" s="2854"/>
      <c r="B120" s="2885"/>
      <c r="C120" s="2885"/>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187.16</v>
      </c>
      <c r="C121" s="1887">
        <f>项目基本情况!C13</f>
        <v>0</v>
      </c>
      <c r="D121" s="1887">
        <f ca="1">ROUND(IF(B32="总价",C34,IF('数据-取费表'!B3="万元",E121*B121/10000,E121*B121)),0)</f>
        <v>14883525</v>
      </c>
      <c r="E121" s="1887">
        <f ca="1">ROUND(IF(B32="楼面单价",C34,IF(H19="元",D121/B121,D121*10000/B121)),0)</f>
        <v>79523</v>
      </c>
      <c r="F121" s="1887">
        <f ca="1">ROUND(IF(B32="总价",C35,IF('数据-取费表'!B3="万元",G121*B121/10000,G121*B121)),0)</f>
        <v>1085902</v>
      </c>
      <c r="G121" s="1887">
        <f ca="1">ROUND(IF(B32="楼面单价",C35,IF(H19="元",F121/B121,F121*10000/B121)),0)</f>
        <v>5802</v>
      </c>
      <c r="H121" s="1887">
        <f ca="1">ROUND(IF(B32="总价",C32,IF('数据-取费表'!B3="万元",I121*B121/10000,I121*B121)),0)</f>
        <v>15969427</v>
      </c>
      <c r="I121" s="637">
        <f ca="1">ROUND(IF(B32="楼面单价",C32,IF(H19="元",H121/B121,H121*10000/B121)),0)</f>
        <v>85325</v>
      </c>
    </row>
    <row r="122" spans="1:15" ht="14.25">
      <c r="A122" s="2854" t="s">
        <v>1957</v>
      </c>
      <c r="B122" s="2855"/>
      <c r="C122" s="2855"/>
      <c r="D122" s="2888" t="str">
        <f ca="1">IF(H19="元",NUMBERSTRING(INT(D121),2)&amp;"元整",NUMBERSTRING(INT(D121*10000),2)&amp;"元整")</f>
        <v>壹仟肆佰捌拾捌万叁仟伍佰贰拾伍元整</v>
      </c>
      <c r="E122" s="2935"/>
      <c r="F122" s="2888" t="str">
        <f ca="1">IF(H19="元",NUMBERSTRING(INT(F121),2)&amp;"元整",NUMBERSTRING(INT(F121*10000),2)&amp;"元整")</f>
        <v>壹佰零捌万伍仟玖佰零贰元整</v>
      </c>
      <c r="G122" s="2935"/>
      <c r="H122" s="2888" t="str">
        <f ca="1">IF(H19="元",NUMBERSTRING(INT(H121),2)&amp;"元整",NUMBERSTRING(INT(H121*10000),2)&amp;"元整")</f>
        <v>壹仟伍佰玖拾陆万玖仟肆佰贰拾柒元整</v>
      </c>
      <c r="I122" s="2889"/>
    </row>
    <row r="123" spans="1:15" ht="15">
      <c r="A123" s="2936" t="str">
        <f>IF(项目基本情况!D5="房地产市场价值","——",MID(A108,3,LEN(A108)-2))</f>
        <v>——</v>
      </c>
      <c r="B123" s="2866"/>
      <c r="C123" s="2937"/>
      <c r="D123" s="2865">
        <f>I105</f>
        <v>0</v>
      </c>
      <c r="E123" s="2866"/>
      <c r="F123" s="2866"/>
      <c r="G123" s="2866"/>
      <c r="H123" s="2866"/>
      <c r="I123" s="2867"/>
    </row>
    <row r="124" spans="1:15" ht="14.25">
      <c r="A124" s="2938" t="s">
        <v>1957</v>
      </c>
      <c r="B124" s="2939"/>
      <c r="C124" s="2940"/>
      <c r="D124" s="2868">
        <f>H109</f>
        <v>0</v>
      </c>
      <c r="E124" s="2869"/>
      <c r="F124" s="2869"/>
      <c r="G124" s="2869"/>
      <c r="H124" s="2869"/>
      <c r="I124" s="2870"/>
    </row>
    <row r="125" spans="1:15" ht="15">
      <c r="A125" s="2871" t="str">
        <f>IF(项目基本情况!D5="房地产市场价值","——",MID(A112,3,LEN(A112)-2))</f>
        <v>——</v>
      </c>
      <c r="B125" s="2872"/>
      <c r="C125" s="2872"/>
      <c r="D125" s="2865">
        <f ca="1">I110</f>
        <v>15969427</v>
      </c>
      <c r="E125" s="2866"/>
      <c r="F125" s="2866"/>
      <c r="G125" s="2866"/>
      <c r="H125" s="2866"/>
      <c r="I125" s="2867"/>
    </row>
    <row r="126" spans="1:15" ht="14.25">
      <c r="A126" s="2854" t="s">
        <v>1957</v>
      </c>
      <c r="B126" s="2855"/>
      <c r="C126" s="2855"/>
      <c r="D126" s="2868">
        <f ca="1">I111</f>
        <v>85325</v>
      </c>
      <c r="E126" s="2869"/>
      <c r="F126" s="2869"/>
      <c r="G126" s="2869"/>
      <c r="H126" s="2869"/>
      <c r="I126" s="2870"/>
    </row>
    <row r="127" spans="1:15" ht="15.75" thickBot="1">
      <c r="A127" s="2871" t="str">
        <f>IF(项目基本情况!D5="房地产市场价值","——",MID(A114,3,LEN(A114)-2))</f>
        <v>——</v>
      </c>
      <c r="B127" s="2872"/>
      <c r="C127" s="2872"/>
      <c r="D127" s="2970" t="str">
        <f>I112</f>
        <v>——</v>
      </c>
      <c r="E127" s="2971"/>
      <c r="F127" s="2971"/>
      <c r="G127" s="2971"/>
      <c r="H127" s="2971"/>
      <c r="I127" s="2972"/>
    </row>
    <row r="128" spans="1:15" ht="15.75" thickTop="1" thickBot="1">
      <c r="A128" s="2854" t="s">
        <v>1957</v>
      </c>
      <c r="B128" s="2855"/>
      <c r="C128" s="2856"/>
      <c r="D128" s="2928" t="str">
        <f>I113</f>
        <v>——</v>
      </c>
      <c r="E128" s="2928"/>
      <c r="F128" s="2928"/>
      <c r="G128" s="2928"/>
      <c r="H128" s="2928"/>
      <c r="I128" s="2928"/>
    </row>
    <row r="129" spans="1:9" ht="16.5" thickTop="1" thickBot="1">
      <c r="A129" s="2871" t="str">
        <f>IF(项目基本情况!D5="房地产市场价值","——",MID(F114,3,LEN(F114)-2))</f>
        <v>——</v>
      </c>
      <c r="B129" s="2872"/>
      <c r="C129" s="2865"/>
      <c r="D129" s="2877" t="str">
        <f>I114</f>
        <v>——</v>
      </c>
      <c r="E129" s="2877"/>
      <c r="F129" s="2877"/>
      <c r="G129" s="2877"/>
      <c r="H129" s="2877"/>
      <c r="I129" s="2877"/>
    </row>
    <row r="130" spans="1:9" ht="15.75" thickTop="1" thickBot="1">
      <c r="A130" s="2882" t="s">
        <v>1957</v>
      </c>
      <c r="B130" s="2883"/>
      <c r="C130" s="2883"/>
      <c r="D130" s="2890">
        <f>H116</f>
        <v>0</v>
      </c>
      <c r="E130" s="2891"/>
      <c r="F130" s="2891"/>
      <c r="G130" s="2891"/>
      <c r="H130" s="2891"/>
      <c r="I130" s="2892"/>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52" t="str">
        <f>IF(B32="总价","（以上估价结果中楼面单价为总价除以建筑面积得出）","（以上估价结果中总价为楼面单价乘以建筑面积得出）")</f>
        <v>（以上估价结果中总价为楼面单价乘以建筑面积得出）</v>
      </c>
      <c r="B132" s="2852"/>
      <c r="C132" s="2852"/>
      <c r="D132" s="2852"/>
      <c r="E132" s="2852"/>
      <c r="F132" s="2852"/>
      <c r="G132" s="2852"/>
      <c r="H132" s="2852"/>
      <c r="I132" s="2852"/>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89" t="s">
        <v>1966</v>
      </c>
      <c r="B2" s="2989"/>
      <c r="C2" s="2989"/>
      <c r="D2" s="2989"/>
      <c r="E2" s="2989"/>
      <c r="F2" s="2989"/>
      <c r="G2" s="2989"/>
      <c r="H2" s="2989"/>
      <c r="I2" s="2989"/>
    </row>
    <row r="3" spans="1:12" ht="12.75">
      <c r="A3" s="2919" t="s">
        <v>1770</v>
      </c>
      <c r="B3" s="2920"/>
      <c r="C3" s="2920"/>
      <c r="D3" s="2920"/>
      <c r="E3" s="2920"/>
      <c r="F3" s="2920"/>
      <c r="G3" s="2920"/>
      <c r="H3" s="2920"/>
      <c r="I3" s="2920"/>
    </row>
    <row r="4" spans="1:12" ht="14.25">
      <c r="A4" s="2196" t="s">
        <v>1771</v>
      </c>
      <c r="B4" s="2197" t="s">
        <v>1772</v>
      </c>
      <c r="C4" s="2198"/>
      <c r="D4" s="2198"/>
      <c r="E4" s="2900" t="s">
        <v>1967</v>
      </c>
      <c r="F4" s="2901"/>
      <c r="G4" s="2901"/>
      <c r="H4" s="2901"/>
      <c r="I4" s="291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3" t="s">
        <v>1774</v>
      </c>
      <c r="B5" s="2855">
        <v>25</v>
      </c>
      <c r="C5" s="2904"/>
      <c r="D5" s="2918"/>
      <c r="E5" s="56" t="s">
        <v>1775</v>
      </c>
      <c r="F5" s="2199"/>
      <c r="G5" s="2199"/>
      <c r="H5" s="2199"/>
      <c r="I5" s="2200"/>
    </row>
    <row r="6" spans="1:12" ht="12.75">
      <c r="A6" s="2893"/>
      <c r="B6" s="2855"/>
      <c r="C6" s="2921"/>
      <c r="D6" s="2918"/>
      <c r="E6" s="56" t="s">
        <v>1776</v>
      </c>
      <c r="F6" s="2199"/>
      <c r="G6" s="2199"/>
      <c r="H6" s="2199"/>
      <c r="I6" s="2200"/>
    </row>
    <row r="7" spans="1:12" ht="12.75">
      <c r="A7" s="2893"/>
      <c r="B7" s="2855"/>
      <c r="C7" s="2905"/>
      <c r="D7" s="2918"/>
      <c r="E7" s="56" t="s">
        <v>1777</v>
      </c>
      <c r="F7" s="2199"/>
      <c r="G7" s="2199"/>
      <c r="H7" s="2199"/>
      <c r="I7" s="2200"/>
    </row>
    <row r="8" spans="1:12" ht="12.75">
      <c r="A8" s="2893" t="s">
        <v>1778</v>
      </c>
      <c r="B8" s="2855">
        <v>15</v>
      </c>
      <c r="C8" s="2904"/>
      <c r="D8" s="2918"/>
      <c r="E8" s="56" t="s">
        <v>1779</v>
      </c>
      <c r="F8" s="2199"/>
      <c r="G8" s="2199"/>
      <c r="H8" s="2199"/>
      <c r="I8" s="2200"/>
    </row>
    <row r="9" spans="1:12" ht="12.75">
      <c r="A9" s="2893"/>
      <c r="B9" s="2855"/>
      <c r="C9" s="2905"/>
      <c r="D9" s="2918"/>
      <c r="E9" s="56" t="s">
        <v>1780</v>
      </c>
      <c r="F9" s="2199"/>
      <c r="G9" s="2199"/>
      <c r="H9" s="2199"/>
      <c r="I9" s="2200"/>
    </row>
    <row r="10" spans="1:12" ht="12.75">
      <c r="A10" s="2893" t="s">
        <v>1781</v>
      </c>
      <c r="B10" s="2855">
        <v>15</v>
      </c>
      <c r="C10" s="2904"/>
      <c r="D10" s="2918"/>
      <c r="E10" s="56" t="s">
        <v>1782</v>
      </c>
      <c r="F10" s="2199"/>
      <c r="G10" s="2199"/>
      <c r="H10" s="2199"/>
      <c r="I10" s="2200"/>
    </row>
    <row r="11" spans="1:12" ht="12.75">
      <c r="A11" s="2893"/>
      <c r="B11" s="2855"/>
      <c r="C11" s="2905"/>
      <c r="D11" s="2918"/>
      <c r="E11" s="56" t="s">
        <v>1783</v>
      </c>
      <c r="F11" s="2199"/>
      <c r="G11" s="2199"/>
      <c r="H11" s="2199"/>
      <c r="I11" s="2200"/>
    </row>
    <row r="12" spans="1:12" ht="12.75">
      <c r="A12" s="2893" t="s">
        <v>1784</v>
      </c>
      <c r="B12" s="2855">
        <v>15</v>
      </c>
      <c r="C12" s="2904"/>
      <c r="D12" s="2918"/>
      <c r="E12" s="56" t="s">
        <v>1785</v>
      </c>
      <c r="F12" s="2199"/>
      <c r="G12" s="2199"/>
      <c r="H12" s="2199"/>
      <c r="I12" s="2200"/>
    </row>
    <row r="13" spans="1:12" ht="12.75">
      <c r="A13" s="2893"/>
      <c r="B13" s="2855"/>
      <c r="C13" s="2905"/>
      <c r="D13" s="2918"/>
      <c r="E13" s="56" t="s">
        <v>1786</v>
      </c>
      <c r="F13" s="2199"/>
      <c r="G13" s="2199"/>
      <c r="H13" s="2199"/>
      <c r="I13" s="2200"/>
    </row>
    <row r="14" spans="1:12" ht="12.75">
      <c r="A14" s="2893" t="s">
        <v>1787</v>
      </c>
      <c r="B14" s="2855">
        <v>30</v>
      </c>
      <c r="C14" s="2904"/>
      <c r="D14" s="2918"/>
      <c r="E14" s="56" t="s">
        <v>1788</v>
      </c>
      <c r="F14" s="2199"/>
      <c r="G14" s="2199"/>
      <c r="H14" s="2199"/>
      <c r="I14" s="2200"/>
    </row>
    <row r="15" spans="1:12" ht="12.75">
      <c r="A15" s="2893"/>
      <c r="B15" s="2855"/>
      <c r="C15" s="2921"/>
      <c r="D15" s="2918"/>
      <c r="E15" s="56" t="s">
        <v>1789</v>
      </c>
      <c r="F15" s="2199"/>
      <c r="G15" s="2199"/>
      <c r="H15" s="2199"/>
      <c r="I15" s="2200"/>
    </row>
    <row r="16" spans="1:12" ht="12.75">
      <c r="A16" s="2893"/>
      <c r="B16" s="2855"/>
      <c r="C16" s="2905"/>
      <c r="D16" s="2918"/>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24" t="s">
        <v>1799</v>
      </c>
      <c r="B24" s="2206" t="s">
        <v>1794</v>
      </c>
      <c r="C24" s="61">
        <f>D30</f>
        <v>0</v>
      </c>
      <c r="D24" s="994"/>
      <c r="E24" s="2194"/>
      <c r="F24" s="2194"/>
      <c r="G24" s="2194"/>
      <c r="H24" s="2194"/>
      <c r="I24" s="2194"/>
    </row>
    <row r="25" spans="1:35" ht="21.75" customHeight="1">
      <c r="A25" s="2925"/>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2808</v>
      </c>
      <c r="F30" s="2194"/>
      <c r="G30" s="2194"/>
      <c r="H30" s="2194"/>
      <c r="I30" s="2194"/>
    </row>
    <row r="31" spans="1:35" s="2221" customFormat="1" ht="15.75" thickBot="1">
      <c r="A31" s="2980" t="s">
        <v>1970</v>
      </c>
      <c r="B31" s="2980"/>
      <c r="C31" s="2980"/>
      <c r="D31" s="2980"/>
      <c r="E31" s="2980"/>
      <c r="F31" s="2980"/>
      <c r="G31" s="2980"/>
      <c r="H31" s="2980"/>
      <c r="I31" s="298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06" t="s">
        <v>1979</v>
      </c>
      <c r="B37" s="2236" t="s">
        <v>1980</v>
      </c>
      <c r="C37" s="69"/>
      <c r="D37" s="2237"/>
      <c r="E37" s="2238"/>
      <c r="F37" s="2238"/>
      <c r="G37" s="2194"/>
      <c r="H37" s="2194"/>
      <c r="I37" s="2194"/>
    </row>
    <row r="38" spans="1:16" ht="15.75" thickBot="1">
      <c r="A38" s="2907"/>
      <c r="B38" s="2239" t="s">
        <v>1981</v>
      </c>
      <c r="C38" s="71"/>
      <c r="D38" s="2204"/>
      <c r="E38" s="2204"/>
      <c r="F38" s="2238"/>
      <c r="G38" s="2204"/>
      <c r="H38" s="2204"/>
      <c r="I38" s="2204"/>
    </row>
    <row r="39" spans="1:16" ht="15.75" thickBot="1">
      <c r="A39" s="2908"/>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12" t="s">
        <v>1992</v>
      </c>
      <c r="B46" s="2913"/>
      <c r="C46" s="2914"/>
      <c r="D46" s="80">
        <f>ROUND(I103*F46,0)</f>
        <v>0</v>
      </c>
      <c r="E46" s="81" t="s">
        <v>1993</v>
      </c>
      <c r="F46" s="82">
        <v>1</v>
      </c>
      <c r="G46" s="83" t="s">
        <v>1994</v>
      </c>
      <c r="H46" s="2194"/>
      <c r="I46" s="2194"/>
      <c r="J46" s="2974" t="s">
        <v>1826</v>
      </c>
      <c r="K46" s="2974"/>
      <c r="L46" s="2974"/>
      <c r="M46" s="2974"/>
      <c r="N46" s="2974"/>
      <c r="O46" s="2974"/>
      <c r="P46" s="1845"/>
    </row>
    <row r="47" spans="1:16" ht="14.25" customHeight="1">
      <c r="A47" s="2897" t="s">
        <v>1827</v>
      </c>
      <c r="B47" s="2898"/>
      <c r="C47" s="2898"/>
      <c r="D47" s="2898"/>
      <c r="E47" s="2898"/>
      <c r="F47" s="2898"/>
      <c r="G47" s="2899"/>
      <c r="H47" s="2256"/>
      <c r="I47" s="1144"/>
      <c r="J47" s="1883">
        <v>1</v>
      </c>
      <c r="K47" s="2974" t="s">
        <v>1828</v>
      </c>
      <c r="L47" s="2974"/>
      <c r="M47" s="2990"/>
      <c r="N47" s="2990"/>
      <c r="O47" s="2990"/>
      <c r="P47" s="1845"/>
    </row>
    <row r="48" spans="1:16" ht="12" customHeight="1">
      <c r="A48" s="85" t="s">
        <v>1829</v>
      </c>
      <c r="B48" s="86"/>
      <c r="C48" s="87"/>
      <c r="D48" s="88" t="s">
        <v>1830</v>
      </c>
      <c r="E48" s="14" t="s">
        <v>1831</v>
      </c>
      <c r="F48" s="89" t="s">
        <v>1832</v>
      </c>
      <c r="G48" s="90" t="s">
        <v>1833</v>
      </c>
      <c r="H48" s="2256"/>
      <c r="I48" s="1144"/>
      <c r="J48" s="1883">
        <v>2</v>
      </c>
      <c r="K48" s="2974" t="s">
        <v>1834</v>
      </c>
      <c r="L48" s="2974"/>
      <c r="M48" s="2976">
        <f>'数据-取费表'!B2</f>
        <v>43272</v>
      </c>
      <c r="N48" s="2976"/>
      <c r="O48" s="2976"/>
      <c r="P48" s="1845"/>
    </row>
    <row r="49" spans="1:16" ht="25.5">
      <c r="A49" s="2909" t="s">
        <v>1835</v>
      </c>
      <c r="B49" s="2910"/>
      <c r="C49" s="2910"/>
      <c r="D49" s="56">
        <f>IF(H49="情况1",0,IF(H49="情况2",D53,IF(H49="情况3",D54,IF(H49="情况4",D55))))</f>
        <v>0</v>
      </c>
      <c r="E49" s="1893" t="str">
        <f>IF(H49="情况4","(销售额-原购置价)×税（费）率","销售额×税（费）率")</f>
        <v>销售额×税（费）率</v>
      </c>
      <c r="F49" s="91">
        <f>IF(H49="情况1","免征",'数据-取费表'!E29)</f>
        <v>5.6000000000000001E-2</v>
      </c>
      <c r="G49" s="2257" t="s">
        <v>1836</v>
      </c>
      <c r="H49" s="2258" t="s">
        <v>1837</v>
      </c>
      <c r="I49" s="2256"/>
      <c r="J49" s="1883">
        <v>3</v>
      </c>
      <c r="K49" s="2974" t="s">
        <v>1838</v>
      </c>
      <c r="L49" s="2974"/>
      <c r="M49" s="2975">
        <f>I103</f>
        <v>0</v>
      </c>
      <c r="N49" s="2975"/>
      <c r="O49" s="2975"/>
      <c r="P49" s="1845"/>
    </row>
    <row r="50" spans="1:16" ht="25.5" customHeight="1">
      <c r="A50" s="92" t="s">
        <v>1839</v>
      </c>
      <c r="B50" s="2902" t="s">
        <v>1840</v>
      </c>
      <c r="C50" s="2902"/>
      <c r="D50" s="93">
        <v>0</v>
      </c>
      <c r="E50" s="13" t="s">
        <v>1841</v>
      </c>
      <c r="F50" s="18" t="s">
        <v>48</v>
      </c>
      <c r="G50" s="2967"/>
      <c r="H50" s="2194"/>
      <c r="I50" s="2259"/>
      <c r="J50" s="1883">
        <v>4</v>
      </c>
      <c r="K50" s="2974" t="str">
        <f>IF(项目基本情况!F5="房地产抵押价值","房地产抵押价值","抵押担保权已注销时的房地产抵押价值")</f>
        <v>抵押担保权已注销时的房地产抵押价值</v>
      </c>
      <c r="L50" s="2974"/>
      <c r="M50" s="2975" t="str">
        <f>IF(项目基本情况!F5="房地产抵押价值",I111,I113)</f>
        <v>——</v>
      </c>
      <c r="N50" s="2975"/>
      <c r="O50" s="2975"/>
      <c r="P50" s="1845"/>
    </row>
    <row r="51" spans="1:16" ht="25.5" customHeight="1">
      <c r="A51" s="94"/>
      <c r="B51" s="2902" t="s">
        <v>1842</v>
      </c>
      <c r="C51" s="2902"/>
      <c r="D51" s="95"/>
      <c r="E51" s="21"/>
      <c r="F51" s="96"/>
      <c r="G51" s="2968"/>
      <c r="H51" s="2194"/>
      <c r="I51" s="2259"/>
      <c r="J51" s="2974" t="s">
        <v>1843</v>
      </c>
      <c r="K51" s="2974"/>
      <c r="L51" s="2974"/>
      <c r="M51" s="2974"/>
      <c r="N51" s="2974"/>
      <c r="O51" s="2974"/>
      <c r="P51" s="1845"/>
    </row>
    <row r="52" spans="1:16" ht="12" customHeight="1">
      <c r="A52" s="97"/>
      <c r="B52" s="2902" t="s">
        <v>1844</v>
      </c>
      <c r="C52" s="2902"/>
      <c r="D52" s="98"/>
      <c r="E52" s="20"/>
      <c r="F52" s="96"/>
      <c r="G52" s="2969"/>
      <c r="H52" s="2194"/>
      <c r="I52" s="2259"/>
      <c r="J52" s="2260" t="s">
        <v>1845</v>
      </c>
      <c r="K52" s="2974" t="s">
        <v>1846</v>
      </c>
      <c r="L52" s="2974"/>
      <c r="M52" s="2260" t="s">
        <v>1847</v>
      </c>
      <c r="N52" s="2260" t="s">
        <v>1848</v>
      </c>
      <c r="O52" s="2260" t="s">
        <v>1849</v>
      </c>
      <c r="P52" s="1845"/>
    </row>
    <row r="53" spans="1:16" ht="24" customHeight="1">
      <c r="A53" s="99" t="s">
        <v>1850</v>
      </c>
      <c r="B53" s="2902" t="s">
        <v>1851</v>
      </c>
      <c r="C53" s="2902"/>
      <c r="D53" s="98">
        <f>ROUND(D46*'数据-取费表'!E29/(1+'数据-取费表'!F30),0)</f>
        <v>0</v>
      </c>
      <c r="E53" s="10" t="s">
        <v>1852</v>
      </c>
      <c r="F53" s="100">
        <f>'数据-取费表'!E29</f>
        <v>5.6000000000000001E-2</v>
      </c>
      <c r="G53" s="2261"/>
      <c r="H53" s="2194"/>
      <c r="I53" s="2259"/>
      <c r="J53" s="1883">
        <v>1</v>
      </c>
      <c r="K53" s="2934" t="s">
        <v>1853</v>
      </c>
      <c r="L53" s="2934"/>
      <c r="M53" s="778">
        <f>D49</f>
        <v>0</v>
      </c>
      <c r="N53" s="1883" t="str">
        <f>E49</f>
        <v>销售额×税（费）率</v>
      </c>
      <c r="O53" s="779">
        <f>F49</f>
        <v>5.6000000000000001E-2</v>
      </c>
      <c r="P53" s="1845"/>
    </row>
    <row r="54" spans="1:16" ht="12" customHeight="1">
      <c r="A54" s="99" t="s">
        <v>1854</v>
      </c>
      <c r="B54" s="2903" t="s">
        <v>1855</v>
      </c>
      <c r="C54" s="2828"/>
      <c r="D54" s="98">
        <f>ROUND(D46*'数据-取费表'!E29/(1+'数据-取费表'!F30),0)</f>
        <v>0</v>
      </c>
      <c r="E54" s="10" t="s">
        <v>1852</v>
      </c>
      <c r="F54" s="100">
        <f>'数据-取费表'!E29</f>
        <v>5.6000000000000001E-2</v>
      </c>
      <c r="G54" s="2261"/>
      <c r="H54" s="2194"/>
      <c r="I54" s="2259"/>
      <c r="J54" s="1883">
        <v>2</v>
      </c>
      <c r="K54" s="2934" t="s">
        <v>1856</v>
      </c>
      <c r="L54" s="2934"/>
      <c r="M54" s="778">
        <f t="shared" ref="M54:O55" si="1">D56</f>
        <v>0</v>
      </c>
      <c r="N54" s="1883" t="str">
        <f t="shared" si="1"/>
        <v>销售额×税（费）率</v>
      </c>
      <c r="O54" s="779">
        <f t="shared" si="1"/>
        <v>5.0000000000000001E-4</v>
      </c>
      <c r="P54" s="1845"/>
    </row>
    <row r="55" spans="1:16" ht="12" customHeight="1">
      <c r="A55" s="99" t="s">
        <v>1857</v>
      </c>
      <c r="B55" s="2903" t="s">
        <v>1858</v>
      </c>
      <c r="C55" s="2828"/>
      <c r="D55" s="98">
        <f>C69</f>
        <v>0</v>
      </c>
      <c r="E55" s="20" t="s">
        <v>1859</v>
      </c>
      <c r="F55" s="100">
        <f>'数据-取费表'!E29</f>
        <v>5.6000000000000001E-2</v>
      </c>
      <c r="G55" s="2261"/>
      <c r="H55" s="2262"/>
      <c r="I55" s="2259"/>
      <c r="J55" s="1883">
        <v>3</v>
      </c>
      <c r="K55" s="2934" t="s">
        <v>1860</v>
      </c>
      <c r="L55" s="2934"/>
      <c r="M55" s="778">
        <f t="shared" si="1"/>
        <v>0</v>
      </c>
      <c r="N55" s="1883" t="str">
        <f t="shared" si="1"/>
        <v>增值额×税（费）率</v>
      </c>
      <c r="O55" s="780" t="str">
        <f t="shared" si="1"/>
        <v>——</v>
      </c>
      <c r="P55" s="1845"/>
    </row>
    <row r="56" spans="1:16" ht="24" customHeight="1">
      <c r="A56" s="2820" t="s">
        <v>1861</v>
      </c>
      <c r="B56" s="2910"/>
      <c r="C56" s="2910"/>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934" t="str">
        <f>IF(H60="非个人房产","——","个人所得税")</f>
        <v>——</v>
      </c>
      <c r="L56" s="2934"/>
      <c r="M56" s="781" t="str">
        <f>D60</f>
        <v>——</v>
      </c>
      <c r="N56" s="1886" t="str">
        <f>E60</f>
        <v>——</v>
      </c>
      <c r="O56" s="782" t="str">
        <f>F60</f>
        <v>——</v>
      </c>
      <c r="P56" s="1845"/>
    </row>
    <row r="57" spans="1:16" ht="24.75">
      <c r="A57" s="2820" t="s">
        <v>1864</v>
      </c>
      <c r="B57" s="2910"/>
      <c r="C57" s="2910"/>
      <c r="D57" s="101">
        <f>IF(H57="个人住宅",D58,D59)</f>
        <v>0</v>
      </c>
      <c r="E57" s="10" t="s">
        <v>1865</v>
      </c>
      <c r="F57" s="100" t="str">
        <f>IF(H57="正常",F59,"免征")</f>
        <v>——</v>
      </c>
      <c r="G57" s="2263" t="s">
        <v>1866</v>
      </c>
      <c r="H57" s="2264" t="s">
        <v>1863</v>
      </c>
      <c r="I57" s="1022"/>
      <c r="J57" s="1883" t="str">
        <f>IF(项目基本情况!I6="上海银行",IF(J56="",4,J56+1),"")</f>
        <v/>
      </c>
      <c r="K57" s="2952" t="str">
        <f>IF(项目基本情况!I6="上海银行","其他处置费用","")</f>
        <v/>
      </c>
      <c r="L57" s="2953"/>
      <c r="M57" s="778" t="str">
        <f>IF(项目基本情况!I6="上海银行",M70,"")</f>
        <v/>
      </c>
      <c r="N57" s="2965" t="str">
        <f>IF(项目基本情况!I6="上海银行","包含处置中涉及的律师、诉讼、拍卖、评估等费用","")</f>
        <v/>
      </c>
      <c r="O57" s="2966"/>
      <c r="P57" s="1845"/>
    </row>
    <row r="58" spans="1:16" ht="12.75">
      <c r="A58" s="99" t="s">
        <v>1839</v>
      </c>
      <c r="B58" s="2900" t="s">
        <v>1867</v>
      </c>
      <c r="C58" s="2911"/>
      <c r="D58" s="103">
        <v>0</v>
      </c>
      <c r="E58" s="13" t="s">
        <v>1841</v>
      </c>
      <c r="F58" s="70"/>
      <c r="G58" s="2261"/>
      <c r="H58" s="1022"/>
      <c r="I58" s="1022"/>
      <c r="J58" s="2934">
        <f>IF(AND(J56="",J57=""),4,IF(项目基本情况!I6="上海银行",J57+1,J56+1))</f>
        <v>4</v>
      </c>
      <c r="K58" s="2934" t="s">
        <v>1868</v>
      </c>
      <c r="L58" s="2265" t="s">
        <v>1869</v>
      </c>
      <c r="M58" s="783"/>
      <c r="N58" s="784">
        <f>SUMIF(M53:M57,"&lt;9e307")</f>
        <v>0</v>
      </c>
      <c r="O58" s="2266"/>
      <c r="P58" s="1841" t="e">
        <f>N58/M50</f>
        <v>#VALUE!</v>
      </c>
    </row>
    <row r="59" spans="1:16" ht="24.75">
      <c r="A59" s="99" t="s">
        <v>1850</v>
      </c>
      <c r="B59" s="2900" t="s">
        <v>1870</v>
      </c>
      <c r="C59" s="2901"/>
      <c r="D59" s="101">
        <f>IF(H59="转让取得",C82,C98)</f>
        <v>0</v>
      </c>
      <c r="E59" s="10" t="s">
        <v>1865</v>
      </c>
      <c r="F59" s="14" t="s">
        <v>48</v>
      </c>
      <c r="G59" s="2261"/>
      <c r="H59" s="2264" t="s">
        <v>1871</v>
      </c>
      <c r="I59" s="1022"/>
      <c r="J59" s="2934"/>
      <c r="K59" s="2934"/>
      <c r="L59" s="2265" t="s">
        <v>1872</v>
      </c>
      <c r="M59" s="785"/>
      <c r="N59" s="2267" t="str">
        <f>IF(H19="元",NUMBERSTRING(INT(N58),2)&amp;"元整",NUMBERSTRING(INT(N58*10000),2)&amp;"元整")</f>
        <v>零元整</v>
      </c>
      <c r="O59" s="2268"/>
      <c r="P59" s="1845"/>
    </row>
    <row r="60" spans="1:16" ht="24.75" thickBot="1">
      <c r="A60" s="2821" t="s">
        <v>1873</v>
      </c>
      <c r="B60" s="2824"/>
      <c r="C60" s="2824"/>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32">
        <f>J58+1</f>
        <v>5</v>
      </c>
      <c r="K60" s="2934" t="s">
        <v>1875</v>
      </c>
      <c r="L60" s="1883" t="s">
        <v>1869</v>
      </c>
      <c r="M60" s="786"/>
      <c r="N60" s="787" t="e">
        <f>M50-N58</f>
        <v>#VALUE!</v>
      </c>
      <c r="O60" s="2270"/>
      <c r="P60" s="1845"/>
    </row>
    <row r="61" spans="1:16" ht="12" customHeight="1">
      <c r="A61" s="2067"/>
      <c r="B61" s="2194"/>
      <c r="C61" s="2194"/>
      <c r="D61" s="2194"/>
      <c r="E61" s="1022"/>
      <c r="F61" s="1022"/>
      <c r="G61" s="1022"/>
      <c r="H61" s="2247"/>
      <c r="I61" s="2194"/>
      <c r="J61" s="2933"/>
      <c r="K61" s="2934"/>
      <c r="L61" s="2265" t="s">
        <v>1872</v>
      </c>
      <c r="M61" s="785"/>
      <c r="N61" s="2267" t="e">
        <f>IF(H19="元",NUMBERSTRING(INT(N60),2)&amp;"元整",NUMBERSTRING(INT(N60*10000),2)&amp;"元整")</f>
        <v>#VALUE!</v>
      </c>
      <c r="O61" s="2268"/>
      <c r="P61" s="1845"/>
    </row>
    <row r="62" spans="1:16" ht="13.5" thickBot="1">
      <c r="A62" s="2915" t="s">
        <v>1876</v>
      </c>
      <c r="B62" s="2915"/>
      <c r="C62" s="2915"/>
      <c r="D62" s="2915"/>
      <c r="E62" s="2915"/>
      <c r="F62" s="1022"/>
      <c r="G62" s="1022"/>
      <c r="H62" s="2247"/>
      <c r="I62" s="2194"/>
      <c r="J62" s="1883">
        <f>J60+1</f>
        <v>6</v>
      </c>
      <c r="K62" s="2934" t="s">
        <v>1877</v>
      </c>
      <c r="L62" s="2934"/>
      <c r="M62" s="788"/>
      <c r="N62" s="789" t="e">
        <f>IF(H19="元",ROUND(N60/项目基本情况!C12,0),ROUND(N60*10000/项目基本情况!C12,0))</f>
        <v>#VALUE!</v>
      </c>
      <c r="O62" s="2271"/>
      <c r="P62" s="1845"/>
    </row>
    <row r="63" spans="1:16" ht="12.75">
      <c r="A63" s="2922" t="s">
        <v>1878</v>
      </c>
      <c r="B63" s="2923"/>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954"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954"/>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954"/>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954"/>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954"/>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7"/>
      <c r="I69" s="2194"/>
      <c r="J69" s="2954"/>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54"/>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26" t="s">
        <v>1898</v>
      </c>
      <c r="B71" s="2927"/>
      <c r="C71" s="2927"/>
      <c r="D71" s="2927"/>
      <c r="E71" s="2927"/>
      <c r="F71" s="2927"/>
      <c r="G71" s="2927"/>
      <c r="H71" s="2927"/>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22" t="s">
        <v>1878</v>
      </c>
      <c r="B72" s="2923"/>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03" t="s">
        <v>1908</v>
      </c>
      <c r="F77" s="2902"/>
      <c r="G77" s="2902"/>
      <c r="H77" s="2917"/>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94" t="s">
        <v>1913</v>
      </c>
      <c r="F79" s="2895"/>
      <c r="G79" s="2895"/>
      <c r="H79" s="2896"/>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26" t="s">
        <v>1917</v>
      </c>
      <c r="B84" s="2927"/>
      <c r="C84" s="2927"/>
      <c r="D84" s="2927"/>
      <c r="E84" s="2927"/>
      <c r="F84" s="2927"/>
      <c r="G84" s="2927"/>
      <c r="H84" s="2927"/>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22" t="s">
        <v>1878</v>
      </c>
      <c r="B85" s="2923"/>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94" t="s">
        <v>1925</v>
      </c>
      <c r="F92" s="2895"/>
      <c r="G92" s="2895"/>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94" t="s">
        <v>1928</v>
      </c>
      <c r="F93" s="2895"/>
      <c r="G93" s="2895"/>
      <c r="H93" s="289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94" t="s">
        <v>1913</v>
      </c>
      <c r="F94" s="2895"/>
      <c r="G94" s="2895"/>
      <c r="H94" s="289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94" t="s">
        <v>1930</v>
      </c>
      <c r="F95" s="2895"/>
      <c r="G95" s="2895"/>
      <c r="H95" s="2896"/>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949" t="s">
        <v>1932</v>
      </c>
      <c r="B100" s="2950"/>
      <c r="C100" s="2950"/>
      <c r="D100" s="2951"/>
      <c r="E100" s="2194"/>
      <c r="F100" s="2960" t="s">
        <v>1933</v>
      </c>
      <c r="G100" s="2961"/>
      <c r="H100" s="2961"/>
      <c r="I100" s="2962"/>
    </row>
    <row r="101" spans="1:35" ht="15.75">
      <c r="A101" s="2963" t="s">
        <v>1934</v>
      </c>
      <c r="B101" s="2964"/>
      <c r="C101" s="720">
        <f>C4</f>
        <v>0</v>
      </c>
      <c r="D101" s="721">
        <f>D4</f>
        <v>0</v>
      </c>
      <c r="E101" s="2194"/>
      <c r="F101" s="2859" t="s">
        <v>1935</v>
      </c>
      <c r="G101" s="2860"/>
      <c r="H101" s="2985" t="s">
        <v>1936</v>
      </c>
      <c r="I101" s="2858"/>
    </row>
    <row r="102" spans="1:35" ht="15.75">
      <c r="A102" s="2986" t="s">
        <v>1996</v>
      </c>
      <c r="B102" s="2289" t="str">
        <f>IF(H19="元","总价（元）","总价（万元）")</f>
        <v>总价（元）</v>
      </c>
      <c r="C102" s="720" t="e">
        <f ca="1">C19</f>
        <v>#REF!</v>
      </c>
      <c r="D102" s="721" t="e">
        <f ca="1">D19</f>
        <v>#REF!</v>
      </c>
      <c r="E102" s="2194"/>
      <c r="F102" s="2987"/>
      <c r="G102" s="2988"/>
      <c r="H102" s="2857">
        <f>典型户型修正!B25</f>
        <v>0</v>
      </c>
      <c r="I102" s="2858"/>
    </row>
    <row r="103" spans="1:35" ht="15.75">
      <c r="A103" s="2986"/>
      <c r="B103" s="2289" t="s">
        <v>1938</v>
      </c>
      <c r="C103" s="722" t="e">
        <f ca="1">C20</f>
        <v>#REF!</v>
      </c>
      <c r="D103" s="723" t="e">
        <f ca="1">D20</f>
        <v>#REF!</v>
      </c>
      <c r="E103" s="2194"/>
      <c r="F103" s="2886" t="s">
        <v>1939</v>
      </c>
      <c r="G103" s="2887"/>
      <c r="H103" s="2290" t="str">
        <f>C109</f>
        <v>总价（元）</v>
      </c>
      <c r="I103" s="1862">
        <f>H124</f>
        <v>0</v>
      </c>
    </row>
    <row r="104" spans="1:35" ht="15">
      <c r="A104" s="2986" t="s">
        <v>1997</v>
      </c>
      <c r="B104" s="2291" t="str">
        <f>B102</f>
        <v>总价（元）</v>
      </c>
      <c r="C104" s="1190" t="e">
        <f ca="1">ROUND(IF('数据-取费表'!B4="总价",G19,IF(H19="元",G20*'数据-取费表'!E5,G20*'数据-取费表'!E5/10000)),0)</f>
        <v>#REF!</v>
      </c>
      <c r="D104" s="725"/>
      <c r="E104" s="2194"/>
      <c r="F104" s="2886"/>
      <c r="G104" s="2887"/>
      <c r="H104" s="2290" t="s">
        <v>1938</v>
      </c>
      <c r="I104" s="1050" t="e">
        <f>I124</f>
        <v>#DIV/0!</v>
      </c>
    </row>
    <row r="105" spans="1:35" ht="15.75">
      <c r="A105" s="2986"/>
      <c r="B105" s="2289" t="s">
        <v>1938</v>
      </c>
      <c r="C105" s="1191" t="e">
        <f ca="1">ROUND(IF('数据-取费表'!B4="楼面单价",G20,IF(H19="元",G19/'数据-取费表'!E5,G19*10000/'数据-取费表'!E5)),0)</f>
        <v>#REF!</v>
      </c>
      <c r="D105" s="725"/>
      <c r="E105" s="2194"/>
      <c r="F105" s="2958"/>
      <c r="G105" s="2959"/>
      <c r="H105" s="2943"/>
      <c r="I105" s="2944"/>
    </row>
    <row r="106" spans="1:35" ht="15.75">
      <c r="A106" s="2979" t="s">
        <v>1998</v>
      </c>
      <c r="B106" s="2329" t="str">
        <f>B102</f>
        <v>总价（元）</v>
      </c>
      <c r="C106" s="724">
        <f>H124</f>
        <v>0</v>
      </c>
      <c r="D106" s="1189"/>
      <c r="E106" s="2194"/>
      <c r="F106" s="2947" t="s">
        <v>1942</v>
      </c>
      <c r="G106" s="2948"/>
      <c r="H106" s="2293" t="str">
        <f>C111</f>
        <v>总额（元）</v>
      </c>
      <c r="I106" s="1862">
        <f>SUMIF(I107:I109,"&lt;9E307")</f>
        <v>0</v>
      </c>
    </row>
    <row r="107" spans="1:35" ht="15.75" thickBot="1">
      <c r="A107" s="2942"/>
      <c r="B107" s="2292" t="s">
        <v>1938</v>
      </c>
      <c r="C107" s="726" t="e">
        <f>I124</f>
        <v>#DIV/0!</v>
      </c>
      <c r="D107" s="727"/>
      <c r="E107" s="2194"/>
      <c r="F107" s="2875" t="s">
        <v>1944</v>
      </c>
      <c r="G107" s="2876"/>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82" t="s">
        <v>1941</v>
      </c>
      <c r="B108" s="2983"/>
      <c r="C108" s="2983"/>
      <c r="D108" s="2984"/>
      <c r="E108" s="2194"/>
      <c r="F108" s="2875" t="s">
        <v>1945</v>
      </c>
      <c r="G108" s="2876"/>
      <c r="H108" s="2293" t="str">
        <f>C113</f>
        <v>总额（元）</v>
      </c>
      <c r="I108" s="1050">
        <f>C38</f>
        <v>0</v>
      </c>
      <c r="K108" s="2294"/>
    </row>
    <row r="109" spans="1:35" ht="15">
      <c r="A109" s="2873" t="s">
        <v>1999</v>
      </c>
      <c r="B109" s="2874"/>
      <c r="C109" s="2290" t="str">
        <f>B102</f>
        <v>总价（元）</v>
      </c>
      <c r="D109" s="1051">
        <f>H124</f>
        <v>0</v>
      </c>
      <c r="E109" s="2194"/>
      <c r="F109" s="2875" t="s">
        <v>1947</v>
      </c>
      <c r="G109" s="2876"/>
      <c r="H109" s="2293" t="str">
        <f>C114</f>
        <v>总额（元）</v>
      </c>
      <c r="I109" s="1050">
        <f>C39</f>
        <v>0</v>
      </c>
    </row>
    <row r="110" spans="1:35" ht="15.75">
      <c r="A110" s="2873"/>
      <c r="B110" s="2874"/>
      <c r="C110" s="2290" t="s">
        <v>1938</v>
      </c>
      <c r="D110" s="1052" t="e">
        <f>I124</f>
        <v>#DIV/0!</v>
      </c>
      <c r="E110" s="2194"/>
      <c r="F110" s="2958"/>
      <c r="G110" s="2959"/>
      <c r="H110" s="2945"/>
      <c r="I110" s="2946"/>
    </row>
    <row r="111" spans="1:35" ht="28.5" customHeight="1">
      <c r="A111" s="2880" t="s">
        <v>1946</v>
      </c>
      <c r="B111" s="2881"/>
      <c r="C111" s="2293" t="str">
        <f>IF(H19="元","总额（元）","总额（万元）")</f>
        <v>总额（元）</v>
      </c>
      <c r="D111" s="1051">
        <f>IF(D37="正常操作",I107+I108+I109,I108+I109)</f>
        <v>0</v>
      </c>
      <c r="E111" s="2194"/>
      <c r="F111" s="2861" t="str">
        <f>IF(项目基本情况!F5="已注销","——","3.房地产抵押价值")</f>
        <v>3.房地产抵押价值</v>
      </c>
      <c r="G111" s="2862"/>
      <c r="H111" s="2330" t="str">
        <f>C115</f>
        <v>总价（元）</v>
      </c>
      <c r="I111" s="1862">
        <f>IF(F111="——","——",I103-I106)</f>
        <v>0</v>
      </c>
    </row>
    <row r="112" spans="1:35" ht="15">
      <c r="A112" s="2875" t="s">
        <v>1944</v>
      </c>
      <c r="B112" s="2876"/>
      <c r="C112" s="2293" t="str">
        <f>C111</f>
        <v>总额（元）</v>
      </c>
      <c r="D112" s="637">
        <f>IF(D37="同一抵押权人同一抵押物续贷",C37&amp;"（未扣减，详见特别提示）",C37)</f>
        <v>0</v>
      </c>
      <c r="E112" s="2194"/>
      <c r="F112" s="2977"/>
      <c r="G112" s="2978"/>
      <c r="H112" s="2290" t="s">
        <v>1938</v>
      </c>
      <c r="I112" s="2296" t="e">
        <f>D116</f>
        <v>#DIV/0!</v>
      </c>
    </row>
    <row r="113" spans="1:26" ht="15.75">
      <c r="A113" s="2875" t="s">
        <v>1945</v>
      </c>
      <c r="B113" s="2876"/>
      <c r="C113" s="2293" t="str">
        <f>C111</f>
        <v>总额（元）</v>
      </c>
      <c r="D113" s="637">
        <f>C38</f>
        <v>0</v>
      </c>
      <c r="E113" s="2194"/>
      <c r="F113" s="2861" t="str">
        <f>IF(项目基本情况!F5="已注销及未注销","4.抵押担保权已注销时的房地产抵押价值",IF(项目基本情况!F5="已注销","3.抵押担保权已注销时的房地产抵押价值","——"))</f>
        <v>——</v>
      </c>
      <c r="G113" s="2862"/>
      <c r="H113" s="2330" t="str">
        <f>C117</f>
        <v>总价（元）</v>
      </c>
      <c r="I113" s="1862" t="str">
        <f>IF(F113="——","——",I103-I108-I109)</f>
        <v>——</v>
      </c>
    </row>
    <row r="114" spans="1:26" ht="15">
      <c r="A114" s="2875" t="s">
        <v>1947</v>
      </c>
      <c r="B114" s="2876"/>
      <c r="C114" s="2293" t="str">
        <f>C111</f>
        <v>总额（元）</v>
      </c>
      <c r="D114" s="637">
        <f>C39</f>
        <v>0</v>
      </c>
      <c r="E114" s="2194"/>
      <c r="F114" s="2977"/>
      <c r="G114" s="2978"/>
      <c r="H114" s="2290" t="s">
        <v>1938</v>
      </c>
      <c r="I114" s="1050" t="str">
        <f>D118</f>
        <v>——</v>
      </c>
    </row>
    <row r="115" spans="1:26" ht="15.75">
      <c r="A115" s="2873" t="str">
        <f>IF(项目基本情况!F5="已注销","——","3.房地产抵押价值")</f>
        <v>3.房地产抵押价值</v>
      </c>
      <c r="B115" s="2874"/>
      <c r="C115" s="2290" t="str">
        <f>B102</f>
        <v>总价（元）</v>
      </c>
      <c r="D115" s="1051">
        <f>IF(A115="——","——",D109-D111)</f>
        <v>0</v>
      </c>
      <c r="E115" s="2194"/>
      <c r="F115" s="2861" t="str">
        <f>IF(项目基本情况!G5="抵押净值",IF(OR(项目基本情况!F5="已注销",项目基本情况!F5="房地产抵押价值"),"4.抵押净值","5.抵押净值"),"——")</f>
        <v>——</v>
      </c>
      <c r="G115" s="2862"/>
      <c r="H115" s="2290" t="str">
        <f>C119</f>
        <v>总价（元）</v>
      </c>
      <c r="I115" s="1862" t="str">
        <f>IF(F115="——","——",N60)</f>
        <v>——</v>
      </c>
    </row>
    <row r="116" spans="1:26" ht="15.75" thickBot="1">
      <c r="A116" s="2873"/>
      <c r="B116" s="2874"/>
      <c r="C116" s="2290" t="s">
        <v>2000</v>
      </c>
      <c r="D116" s="1052" t="e">
        <f>ROUND(IF(D115=D109,D110,IF(H19="元",D115/B124,D115*10000/B124)),0)</f>
        <v>#DIV/0!</v>
      </c>
      <c r="E116" s="2194"/>
      <c r="F116" s="2863"/>
      <c r="G116" s="2864"/>
      <c r="H116" s="2298" t="s">
        <v>2000</v>
      </c>
      <c r="I116" s="1864" t="str">
        <f>D120</f>
        <v>——</v>
      </c>
    </row>
    <row r="117" spans="1:26" ht="15.75">
      <c r="A117" s="2873" t="str">
        <f>IF(项目基本情况!F5="已注销及未注销","4.抵押担保权已注销时的房地产抵押价值",IF(项目基本情况!F5="已注销","3.抵押担保权已注销时的房地产抵押价值","——"))</f>
        <v>——</v>
      </c>
      <c r="B117" s="2874"/>
      <c r="C117" s="2290" t="str">
        <f>B102</f>
        <v>总价（元）</v>
      </c>
      <c r="D117" s="1051" t="str">
        <f>IF(A117="——","——",D109-D113-D114)</f>
        <v>——</v>
      </c>
      <c r="E117" s="2194"/>
      <c r="F117" s="2973"/>
      <c r="G117" s="2973"/>
      <c r="H117" s="2929"/>
      <c r="I117" s="2929"/>
      <c r="N117" s="55"/>
      <c r="O117" s="55"/>
    </row>
    <row r="118" spans="1:26" s="1845" customFormat="1" ht="15">
      <c r="A118" s="2873"/>
      <c r="B118" s="2874"/>
      <c r="C118" s="2290" t="s">
        <v>2000</v>
      </c>
      <c r="D118" s="1052" t="str">
        <f>IF(A117="——","——",IF(H19="元",ROUND(D117/B124,0),ROUND(D117*10000/B124,0)))</f>
        <v>——</v>
      </c>
      <c r="E118" s="2194"/>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873" t="str">
        <f>IF(项目基本情况!G5="抵押净值",IF(OR(项目基本情况!F5="已注销",项目基本情况!F5="房地产抵押价值"),"4.抵押净值","5.抵押净值"),"——")</f>
        <v>——</v>
      </c>
      <c r="B119" s="2874"/>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8"/>
      <c r="B120" s="2879"/>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30" t="s">
        <v>2001</v>
      </c>
      <c r="B121" s="2931"/>
      <c r="C121" s="2931"/>
      <c r="D121" s="2931"/>
      <c r="E121" s="2931"/>
      <c r="F121" s="2931"/>
      <c r="G121" s="2931"/>
      <c r="H121" s="2931"/>
      <c r="I121" s="293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4" t="s">
        <v>1949</v>
      </c>
      <c r="B122" s="2884" t="s">
        <v>2002</v>
      </c>
      <c r="C122" s="2884" t="s">
        <v>2003</v>
      </c>
      <c r="D122" s="2956" t="s">
        <v>1952</v>
      </c>
      <c r="E122" s="2957"/>
      <c r="F122" s="2855" t="s">
        <v>2004</v>
      </c>
      <c r="G122" s="2855"/>
      <c r="H122" s="2855" t="s">
        <v>1953</v>
      </c>
      <c r="I122" s="295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4"/>
      <c r="B123" s="2885"/>
      <c r="C123" s="2885"/>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4" t="s">
        <v>1957</v>
      </c>
      <c r="B125" s="2855"/>
      <c r="C125" s="2855"/>
      <c r="D125" s="2888" t="str">
        <f>IF(H19="元",NUMBERSTRING(INT(D124),2)&amp;"元整",NUMBERSTRING(INT(D124*10000),2)&amp;"元整")</f>
        <v>零元整</v>
      </c>
      <c r="E125" s="2935"/>
      <c r="F125" s="2888" t="str">
        <f>IF(H19="元",NUMBERSTRING(INT(F124),2)&amp;"元整",NUMBERSTRING(INT(F124*10000),2)&amp;"元整")</f>
        <v>零元整</v>
      </c>
      <c r="G125" s="2935"/>
      <c r="H125" s="2888" t="str">
        <f>IF(H19="元",NUMBERSTRING(INT(H124),2)&amp;"元整",NUMBERSTRING(INT(H124*10000),2)&amp;"元整")</f>
        <v>零元整</v>
      </c>
      <c r="I125" s="288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6" t="str">
        <f>IF(项目基本情况!D5="房地产市场价值","——",MID(A111,3,LEN(A111)-2))</f>
        <v>——</v>
      </c>
      <c r="B126" s="2866"/>
      <c r="C126" s="2937"/>
      <c r="D126" s="2865">
        <f>I106</f>
        <v>0</v>
      </c>
      <c r="E126" s="2866"/>
      <c r="F126" s="2866"/>
      <c r="G126" s="2866"/>
      <c r="H126" s="2866"/>
      <c r="I126" s="286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8" t="s">
        <v>1957</v>
      </c>
      <c r="B127" s="2939"/>
      <c r="C127" s="2940"/>
      <c r="D127" s="2868">
        <f>H110</f>
        <v>0</v>
      </c>
      <c r="E127" s="2869"/>
      <c r="F127" s="2869"/>
      <c r="G127" s="2869"/>
      <c r="H127" s="2869"/>
      <c r="I127" s="287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1" t="str">
        <f>IF(项目基本情况!D5="房地产市场价值","——",MID(A115,3,LEN(A115)-2))</f>
        <v>——</v>
      </c>
      <c r="B128" s="2872"/>
      <c r="C128" s="2872"/>
      <c r="D128" s="2865">
        <f>I111</f>
        <v>0</v>
      </c>
      <c r="E128" s="2866"/>
      <c r="F128" s="2866"/>
      <c r="G128" s="2866"/>
      <c r="H128" s="2866"/>
      <c r="I128" s="286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4" t="s">
        <v>1957</v>
      </c>
      <c r="B129" s="2855"/>
      <c r="C129" s="2855"/>
      <c r="D129" s="2868" t="e">
        <f>I112</f>
        <v>#DIV/0!</v>
      </c>
      <c r="E129" s="2869"/>
      <c r="F129" s="2869"/>
      <c r="G129" s="2869"/>
      <c r="H129" s="2869"/>
      <c r="I129" s="287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1" t="str">
        <f>IF(项目基本情况!D5="房地产市场价值","——",MID(A117,3,LEN(A117)-2))</f>
        <v>——</v>
      </c>
      <c r="B130" s="2872"/>
      <c r="C130" s="2872"/>
      <c r="D130" s="2970" t="str">
        <f>I113</f>
        <v>——</v>
      </c>
      <c r="E130" s="2971"/>
      <c r="F130" s="2971"/>
      <c r="G130" s="2971"/>
      <c r="H130" s="2971"/>
      <c r="I130" s="297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4" t="s">
        <v>1957</v>
      </c>
      <c r="B131" s="2855"/>
      <c r="C131" s="2856"/>
      <c r="D131" s="2928" t="str">
        <f>I114</f>
        <v>——</v>
      </c>
      <c r="E131" s="2928"/>
      <c r="F131" s="2928"/>
      <c r="G131" s="2928"/>
      <c r="H131" s="2928"/>
      <c r="I131" s="292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1" t="str">
        <f>IF(项目基本情况!D5="房地产市场价值","——",MID(F115,3,LEN(F115)-2))</f>
        <v>——</v>
      </c>
      <c r="B132" s="2872"/>
      <c r="C132" s="2865"/>
      <c r="D132" s="2877" t="str">
        <f>I115</f>
        <v>——</v>
      </c>
      <c r="E132" s="2877"/>
      <c r="F132" s="2877"/>
      <c r="G132" s="2877"/>
      <c r="H132" s="2877"/>
      <c r="I132" s="287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2" t="s">
        <v>1957</v>
      </c>
      <c r="B133" s="2883"/>
      <c r="C133" s="2883"/>
      <c r="D133" s="2890">
        <f>H117</f>
        <v>0</v>
      </c>
      <c r="E133" s="2891"/>
      <c r="F133" s="2891"/>
      <c r="G133" s="2891"/>
      <c r="H133" s="2891"/>
      <c r="I133" s="289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2" t="str">
        <f>IF(B32="总价","（以上估价结果中楼面单价为总价除以建筑面积得出）","（以上估价结果中总价为楼面单价乘以建筑面积得出）")</f>
        <v>（以上估价结果中总价为楼面单价乘以建筑面积得出）</v>
      </c>
      <c r="B135" s="2852"/>
      <c r="C135" s="2852"/>
      <c r="D135" s="2852"/>
      <c r="E135" s="2852"/>
      <c r="F135" s="2852"/>
      <c r="G135" s="2852"/>
      <c r="H135" s="2852"/>
      <c r="I135" s="285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M50" sqref="M50:O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2121910</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11337</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953</v>
      </c>
      <c r="B9" s="181" t="s">
        <v>2021</v>
      </c>
      <c r="C9" s="1537">
        <f>ROUND(D9*E9,0)</f>
        <v>29946</v>
      </c>
      <c r="D9" s="1538">
        <f>IF('数据-取费表'!B10="住宅",IF(B1="仅计算典型户型",'数据-取费表'!E5,'数据-取费表'!B5),0)</f>
        <v>187.16</v>
      </c>
      <c r="E9" s="1537">
        <f>'数据-取费表'!E11</f>
        <v>160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37432</v>
      </c>
      <c r="D19" s="1541">
        <f>IF(B1="仅计算典型户型",'数据-取费表'!E5,'数据-取费表'!B5)</f>
        <v>187.16</v>
      </c>
      <c r="E19" s="195">
        <f>'数据-取费表'!E15</f>
        <v>200</v>
      </c>
      <c r="F19" s="196"/>
      <c r="G19" s="2334"/>
    </row>
    <row r="20" spans="1:7" s="175" customFormat="1" ht="13.5" customHeight="1">
      <c r="A20" s="204" t="s">
        <v>2034</v>
      </c>
      <c r="B20" s="173" t="s">
        <v>2035</v>
      </c>
      <c r="C20" s="183">
        <f>ROUND((C5+C19)*F20,0)</f>
        <v>10679</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77364</v>
      </c>
      <c r="D22" s="185">
        <f ca="1">C26</f>
        <v>4.0000000000000002E-4</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74288</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2698</v>
      </c>
      <c r="D24" s="188"/>
      <c r="E24" s="188"/>
      <c r="F24" s="189"/>
      <c r="G24" s="190" t="s">
        <v>2047</v>
      </c>
    </row>
    <row r="25" spans="1:7" s="175" customFormat="1" ht="24">
      <c r="A25" s="176" t="s">
        <v>2019</v>
      </c>
      <c r="B25" s="177" t="s">
        <v>2048</v>
      </c>
      <c r="C25" s="1455">
        <f ca="1">ROUND(IF('数据-取费表'!B23&lt;=1,C20*F22*'数据-取费表'!B24/2,C20*(POWER((1+F22),'数据-取费表'!B24/2)-1)),0)</f>
        <v>378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215722</v>
      </c>
      <c r="D27" s="185">
        <f>C29</f>
        <v>2E-3</v>
      </c>
      <c r="E27" s="186" t="s">
        <v>2039</v>
      </c>
      <c r="F27" s="196">
        <f>'数据-取费表'!E28</f>
        <v>0.2</v>
      </c>
      <c r="G27" s="197" t="s">
        <v>2054</v>
      </c>
    </row>
    <row r="28" spans="1:7" s="175" customFormat="1" ht="13.5" customHeight="1">
      <c r="A28" s="176" t="s">
        <v>2043</v>
      </c>
      <c r="B28" s="198" t="s">
        <v>2055</v>
      </c>
      <c r="C28" s="199">
        <f>ROUND((C5+C19+C20)*F27*'数据-取费表'!B22/'数据-取费表'!B21,0)</f>
        <v>215722</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1468155</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589778</v>
      </c>
      <c r="D33" s="183"/>
      <c r="E33" s="1532"/>
      <c r="F33" s="191"/>
      <c r="G33" s="184"/>
    </row>
    <row r="34" spans="1:7" s="206" customFormat="1" ht="13.5" customHeight="1">
      <c r="A34" s="176" t="s">
        <v>2043</v>
      </c>
      <c r="B34" s="177" t="s">
        <v>2065</v>
      </c>
      <c r="C34" s="199">
        <f>IF(B1="仅计算典型户型",'数据-取费表'!F18,'数据-取费表'!E18)</f>
        <v>509075</v>
      </c>
      <c r="D34" s="1533"/>
      <c r="E34" s="199"/>
      <c r="F34" s="1544" t="str">
        <f>IF('数据-取费表'!B25=0,"",'数据-取费表'!E20)</f>
        <v/>
      </c>
      <c r="G34" s="179"/>
    </row>
    <row r="35" spans="1:7" ht="13.5" customHeight="1">
      <c r="A35" s="176" t="s">
        <v>2017</v>
      </c>
      <c r="B35" s="177" t="s">
        <v>2066</v>
      </c>
      <c r="C35" s="199">
        <f>ROUND(C34*F35,0)</f>
        <v>15272</v>
      </c>
      <c r="D35" s="199"/>
      <c r="E35" s="199"/>
      <c r="F35" s="1545">
        <f>'数据-取费表'!E21</f>
        <v>0.03</v>
      </c>
      <c r="G35" s="179" t="s">
        <v>2067</v>
      </c>
    </row>
    <row r="36" spans="1:7" ht="24">
      <c r="A36" s="176" t="s">
        <v>2019</v>
      </c>
      <c r="B36" s="177" t="s">
        <v>2068</v>
      </c>
      <c r="C36" s="199">
        <f>ROUND(IF('数据-取费表'!B10="住宅",C34*F36,0),0)</f>
        <v>20363</v>
      </c>
      <c r="D36" s="199"/>
      <c r="E36" s="199"/>
      <c r="F36" s="1545">
        <f>'数据-取费表'!E22</f>
        <v>0.04</v>
      </c>
      <c r="G36" s="207" t="s">
        <v>2069</v>
      </c>
    </row>
    <row r="37" spans="1:7" s="206" customFormat="1" ht="13.5" customHeight="1">
      <c r="A37" s="176" t="s">
        <v>2050</v>
      </c>
      <c r="B37" s="177" t="s">
        <v>2070</v>
      </c>
      <c r="C37" s="199">
        <f>ROUND(E37*D37,0)</f>
        <v>37432</v>
      </c>
      <c r="D37" s="1533">
        <f>IF(B1="仅计算典型户型",'数据-取费表'!E5,'数据-取费表'!B5)</f>
        <v>187.16</v>
      </c>
      <c r="E37" s="199">
        <f>'数据-取费表'!E23</f>
        <v>200</v>
      </c>
      <c r="F37" s="1545"/>
      <c r="G37" s="208" t="s">
        <v>2071</v>
      </c>
    </row>
    <row r="38" spans="1:7" ht="13.5" customHeight="1">
      <c r="A38" s="176" t="s">
        <v>2072</v>
      </c>
      <c r="B38" s="177" t="s">
        <v>2073</v>
      </c>
      <c r="C38" s="199">
        <f>ROUND(C34*F38,0)</f>
        <v>7636</v>
      </c>
      <c r="D38" s="199"/>
      <c r="E38" s="199"/>
      <c r="F38" s="1545">
        <f>'数据-取费表'!E24</f>
        <v>1.4999999999999999E-2</v>
      </c>
      <c r="G38" s="179" t="s">
        <v>2067</v>
      </c>
    </row>
    <row r="39" spans="1:7" s="175" customFormat="1" ht="13.5" customHeight="1">
      <c r="A39" s="204" t="s">
        <v>2032</v>
      </c>
      <c r="B39" s="173" t="s">
        <v>2035</v>
      </c>
      <c r="C39" s="183">
        <f>ROUND(C33*F20,0)</f>
        <v>5898</v>
      </c>
      <c r="D39" s="183"/>
      <c r="E39" s="183"/>
      <c r="F39" s="187"/>
      <c r="G39" s="184" t="s">
        <v>2074</v>
      </c>
    </row>
    <row r="40" spans="1:7" s="175" customFormat="1" ht="13.5" customHeight="1">
      <c r="A40" s="204" t="s">
        <v>2034</v>
      </c>
      <c r="B40" s="173" t="s">
        <v>2038</v>
      </c>
      <c r="C40" s="1819">
        <f>F21</f>
        <v>0.01</v>
      </c>
      <c r="D40" s="186" t="s">
        <v>2075</v>
      </c>
      <c r="E40" s="183"/>
      <c r="F40" s="187"/>
      <c r="G40" s="184" t="s">
        <v>2076</v>
      </c>
    </row>
    <row r="41" spans="1:7" s="175" customFormat="1" ht="13.5" customHeight="1">
      <c r="A41" s="204" t="s">
        <v>2037</v>
      </c>
      <c r="B41" s="173" t="s">
        <v>2042</v>
      </c>
      <c r="C41" s="183">
        <f ca="1">ROUND(SUM(C42:C43),0)</f>
        <v>21097</v>
      </c>
      <c r="D41" s="185">
        <f ca="1">C44</f>
        <v>4.0000000000000002E-4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20888</v>
      </c>
      <c r="D42" s="188"/>
      <c r="E42" s="188"/>
      <c r="F42" s="189"/>
      <c r="G42" s="2991" t="s">
        <v>2077</v>
      </c>
    </row>
    <row r="43" spans="1:7" ht="13.5" customHeight="1">
      <c r="A43" s="176" t="s">
        <v>2017</v>
      </c>
      <c r="B43" s="177" t="s">
        <v>2046</v>
      </c>
      <c r="C43" s="188">
        <f ca="1">ROUND(IF('数据-取费表'!B23&lt;=1,C39*F22*'数据-取费表'!B22/2,C39*(POWER((1+F22),'数据-取费表'!B22/2)-1)),0)</f>
        <v>209</v>
      </c>
      <c r="D43" s="188"/>
      <c r="E43" s="188"/>
      <c r="F43" s="189"/>
      <c r="G43" s="2992"/>
    </row>
    <row r="44" spans="1:7" ht="13.5" customHeight="1">
      <c r="A44" s="176" t="s">
        <v>2019</v>
      </c>
      <c r="B44" s="177" t="s">
        <v>2048</v>
      </c>
      <c r="C44" s="188">
        <f ca="1">ROUND(IF('数据-取费表'!B23&lt;=1,C40*F22*'数据-取费表'!B22/2,C40*(POWER((1+F22),'数据-取费表'!B22/2)-1)),4)</f>
        <v>4.0000000000000002E-4</v>
      </c>
      <c r="D44" s="188"/>
      <c r="E44" s="188"/>
      <c r="F44" s="189"/>
      <c r="G44" s="2993"/>
    </row>
    <row r="45" spans="1:7" s="175" customFormat="1" ht="13.5" customHeight="1">
      <c r="A45" s="204" t="s">
        <v>2041</v>
      </c>
      <c r="B45" s="194" t="s">
        <v>2053</v>
      </c>
      <c r="C45" s="195">
        <f>C46</f>
        <v>119135</v>
      </c>
      <c r="D45" s="185">
        <f>C47</f>
        <v>2E-3</v>
      </c>
      <c r="E45" s="186" t="s">
        <v>2075</v>
      </c>
      <c r="F45" s="196"/>
      <c r="G45" s="197" t="s">
        <v>2078</v>
      </c>
    </row>
    <row r="46" spans="1:7" s="175" customFormat="1" ht="13.5" customHeight="1">
      <c r="A46" s="176" t="s">
        <v>2043</v>
      </c>
      <c r="B46" s="198" t="s">
        <v>2079</v>
      </c>
      <c r="C46" s="199">
        <f>ROUND((C33+C39)*F27,0)</f>
        <v>119135</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787657</v>
      </c>
      <c r="D49" s="183"/>
      <c r="E49" s="183"/>
      <c r="F49" s="210"/>
      <c r="G49" s="184" t="s">
        <v>2085</v>
      </c>
    </row>
    <row r="50" spans="1:7" s="206" customFormat="1" ht="24">
      <c r="A50" s="1305" t="s">
        <v>2086</v>
      </c>
      <c r="B50" s="173" t="s">
        <v>2087</v>
      </c>
      <c r="C50" s="183"/>
      <c r="D50" s="183"/>
      <c r="E50" s="183"/>
      <c r="F50" s="210">
        <f>IF('数据-取费表'!B25=0,'数据-取费表'!E20,1)</f>
        <v>0.83</v>
      </c>
      <c r="G50" s="197" t="s">
        <v>2088</v>
      </c>
    </row>
    <row r="51" spans="1:7" ht="16.5" customHeight="1">
      <c r="A51" s="1305" t="s">
        <v>2089</v>
      </c>
      <c r="B51" s="173" t="s">
        <v>2090</v>
      </c>
      <c r="C51" s="183">
        <f ca="1">ROUND(C49*F50,0)</f>
        <v>653755</v>
      </c>
      <c r="D51" s="183"/>
      <c r="E51" s="183"/>
      <c r="F51" s="210"/>
      <c r="G51" s="184" t="s">
        <v>2091</v>
      </c>
    </row>
    <row r="52" spans="1:7" s="172" customFormat="1" ht="16.5" thickBot="1">
      <c r="A52" s="211" t="s">
        <v>2092</v>
      </c>
      <c r="B52" s="212"/>
      <c r="C52" s="213">
        <f ca="1">C31+C51</f>
        <v>2121910</v>
      </c>
      <c r="D52" s="212"/>
      <c r="E52" s="212"/>
      <c r="F52" s="212"/>
      <c r="G52" s="214"/>
    </row>
    <row r="55" spans="1:7" ht="15">
      <c r="B55" s="216" t="s">
        <v>2093</v>
      </c>
      <c r="C55" s="217"/>
    </row>
    <row r="56" spans="1:7">
      <c r="B56" s="219" t="s">
        <v>2094</v>
      </c>
      <c r="C56" s="220">
        <f ca="1">ROUND(C51/C52,3)</f>
        <v>0.308</v>
      </c>
    </row>
    <row r="57" spans="1:7">
      <c r="B57" s="219" t="s">
        <v>2095</v>
      </c>
      <c r="C57" s="221">
        <f ca="1">1-C56</f>
        <v>0.69199999999999995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0.04</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31" zoomScale="90" zoomScaleNormal="90" zoomScaleSheetLayoutView="100" workbookViewId="0">
      <selection activeCell="E1" sqref="E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2847</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9579918</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51186</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228285</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228000</v>
      </c>
      <c r="D6" s="80" t="s">
        <v>2804</v>
      </c>
      <c r="E6" s="319" t="s">
        <v>2108</v>
      </c>
      <c r="F6" s="320">
        <f>'数据-取费表'!B29</f>
        <v>20000</v>
      </c>
      <c r="G6" s="1238"/>
      <c r="H6" s="1384" t="s">
        <v>2106</v>
      </c>
      <c r="I6" s="2025" t="s">
        <v>2107</v>
      </c>
      <c r="J6" s="318">
        <f>ROUND(M6*M8*M7*(1-M9),0)</f>
        <v>0</v>
      </c>
      <c r="K6" s="80" t="s">
        <v>2804</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285</v>
      </c>
      <c r="D10" s="2338" t="s">
        <v>2812</v>
      </c>
      <c r="E10" s="330" t="s">
        <v>2115</v>
      </c>
      <c r="F10" s="2339" t="s">
        <v>2116</v>
      </c>
      <c r="G10" s="1238"/>
      <c r="H10" s="1384" t="s">
        <v>2113</v>
      </c>
      <c r="I10" s="2337" t="s">
        <v>2114</v>
      </c>
      <c r="J10" s="1385">
        <f ca="1">ROUND(IF(M10="押一",J6/12*M11,IF(M10="押二",J6/12*2*M11,IF(M10="押三",J6/12*3*M11,J11*M11))),0)</f>
        <v>0</v>
      </c>
      <c r="K10" s="80" t="s">
        <v>2812</v>
      </c>
      <c r="L10" s="330" t="s">
        <v>2115</v>
      </c>
      <c r="M10" s="2339"/>
    </row>
    <row r="11" spans="1:37" s="341" customFormat="1" ht="18" customHeight="1">
      <c r="A11" s="348"/>
      <c r="B11" s="2340" t="s">
        <v>2117</v>
      </c>
      <c r="C11" s="1418"/>
      <c r="D11" s="324"/>
      <c r="E11" s="330" t="s">
        <v>2118</v>
      </c>
      <c r="F11" s="331">
        <f ca="1">'数据-取费表'!B30</f>
        <v>1.4999999999999999E-2</v>
      </c>
      <c r="G11" s="1239"/>
      <c r="H11" s="325"/>
      <c r="I11" s="2340"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1" t="s">
        <v>2121</v>
      </c>
      <c r="C12" s="1425"/>
      <c r="D12" s="2342"/>
      <c r="E12" s="1431"/>
      <c r="F12" s="1426"/>
      <c r="G12" s="1238"/>
      <c r="H12" s="1424" t="s">
        <v>2120</v>
      </c>
      <c r="I12" s="2341" t="s">
        <v>2121</v>
      </c>
      <c r="J12" s="1425"/>
      <c r="K12" s="1441"/>
      <c r="L12" s="1431"/>
      <c r="M12" s="1442"/>
    </row>
    <row r="13" spans="1:37" s="341" customFormat="1" ht="18" customHeight="1" thickTop="1">
      <c r="A13" s="1420">
        <v>2</v>
      </c>
      <c r="B13" s="1421" t="s">
        <v>2122</v>
      </c>
      <c r="C13" s="327">
        <f ca="1">ROUND(C29*F13,0)</f>
        <v>653755</v>
      </c>
      <c r="D13" s="1422" t="s">
        <v>2123</v>
      </c>
      <c r="E13" s="1422" t="s">
        <v>2124</v>
      </c>
      <c r="F13" s="1423">
        <f>'数据-取费表'!E20</f>
        <v>0.83</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509075</v>
      </c>
      <c r="D14" s="1888" t="s">
        <v>2127</v>
      </c>
      <c r="E14" s="1889"/>
      <c r="F14" s="979"/>
      <c r="G14" s="1239"/>
      <c r="H14" s="337" t="s">
        <v>2106</v>
      </c>
      <c r="I14" s="319" t="s">
        <v>2128</v>
      </c>
      <c r="J14" s="14">
        <f ca="1">C29</f>
        <v>787657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15272</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20363</v>
      </c>
      <c r="D16" s="319" t="s">
        <v>2131</v>
      </c>
      <c r="E16" s="319" t="s">
        <v>2132</v>
      </c>
      <c r="F16" s="342">
        <f>IF('数据-取费表'!B10="住宅",'数据-取费表'!E22,0)</f>
        <v>0.04</v>
      </c>
      <c r="G16" s="1239"/>
      <c r="H16" s="1420" t="s">
        <v>14</v>
      </c>
      <c r="I16" s="1421" t="s">
        <v>2137</v>
      </c>
      <c r="J16" s="327">
        <f ca="1">ROUND(J17+J22+J23+J24,0)</f>
        <v>11815</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37432</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7636</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5.6000000000000001E-2</v>
      </c>
    </row>
    <row r="19" spans="1:37" s="341" customFormat="1" ht="18" customHeight="1">
      <c r="A19" s="337" t="s">
        <v>2143</v>
      </c>
      <c r="B19" s="319" t="s">
        <v>2152</v>
      </c>
      <c r="C19" s="14">
        <f>SUM(C14:C18)</f>
        <v>589778</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5898</v>
      </c>
      <c r="D20" s="344" t="s">
        <v>2157</v>
      </c>
      <c r="E20" s="319" t="s">
        <v>2158</v>
      </c>
      <c r="F20" s="342">
        <f>'数据-取费表'!E25</f>
        <v>0.01</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0.01</v>
      </c>
      <c r="D21" s="344" t="s">
        <v>2164</v>
      </c>
      <c r="E21" s="319" t="s">
        <v>2165</v>
      </c>
      <c r="F21" s="342">
        <f>'数据-取费表'!E26</f>
        <v>0.01</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11815</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21097</v>
      </c>
      <c r="D23" s="2008" t="str">
        <f>IF(F23&lt;=1,"(建造成本+管理费用)×利率×(建设周期÷2)","(建造成本+管理费用)×((1+利率)^(建设周期÷2)-1)")</f>
        <v>(建造成本+管理费用)×((1+利率)^(建设周期÷2)-1)</v>
      </c>
      <c r="E23" s="319" t="s">
        <v>2172</v>
      </c>
      <c r="F23" s="347">
        <f>'数据-取费表'!B21</f>
        <v>1.5</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-11815</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119135</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4.4999999999999998E-2</v>
      </c>
    </row>
    <row r="27" spans="1:37" ht="18" customHeight="1">
      <c r="A27" s="337" t="s">
        <v>2191</v>
      </c>
      <c r="B27" s="319" t="s">
        <v>2192</v>
      </c>
      <c r="C27" s="14">
        <f>ROUND(F21*F26,4)</f>
        <v>2E-3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787657</v>
      </c>
      <c r="D29" s="1433"/>
      <c r="E29" s="1431"/>
      <c r="F29" s="1434"/>
      <c r="G29" s="791"/>
      <c r="H29" s="356" t="s">
        <v>24</v>
      </c>
      <c r="I29" s="357" t="s">
        <v>2202</v>
      </c>
      <c r="J29" s="358">
        <f ca="1">ROUND(J26/(1+F40)^F41,0)</f>
        <v>0</v>
      </c>
      <c r="K29" s="359" t="s">
        <v>2203</v>
      </c>
      <c r="L29" s="360"/>
      <c r="M29" s="361">
        <f>IF(D1="仅计算典型户型",'数据-取费表'!E5,'数据-取费表'!B5)</f>
        <v>187.16</v>
      </c>
    </row>
    <row r="30" spans="1:37" ht="18" customHeight="1" thickTop="1">
      <c r="A30" s="1420" t="s">
        <v>14</v>
      </c>
      <c r="B30" s="1421" t="s">
        <v>2204</v>
      </c>
      <c r="C30" s="327">
        <f ca="1">ROUND(C31+C36+C37+C38,0)</f>
        <v>26493</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11414.3</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0</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v>
      </c>
      <c r="K35" s="1231"/>
      <c r="L35" s="1230"/>
      <c r="M35" s="1230"/>
    </row>
    <row r="36" spans="1:18" ht="18" customHeight="1">
      <c r="A36" s="1387" t="s">
        <v>2113</v>
      </c>
      <c r="B36" s="319" t="s">
        <v>2213</v>
      </c>
      <c r="C36" s="14">
        <f ca="1">ROUND(C29*F36,0)</f>
        <v>11815</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981</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2283</v>
      </c>
      <c r="D38" s="1433" t="s">
        <v>2179</v>
      </c>
      <c r="E38" s="1431" t="s">
        <v>2175</v>
      </c>
      <c r="F38" s="1426">
        <f>'数据-取费表'!B46</f>
        <v>0.01</v>
      </c>
      <c r="G38" s="791"/>
      <c r="H38" s="1230"/>
      <c r="I38" s="365" t="s">
        <v>2217</v>
      </c>
      <c r="J38" s="220">
        <f ca="1">ROUND(J34/C39,3)</f>
        <v>0</v>
      </c>
      <c r="K38" s="1235"/>
      <c r="L38" s="1230"/>
      <c r="M38" s="1230"/>
    </row>
    <row r="39" spans="1:18" ht="18" customHeight="1" thickTop="1">
      <c r="A39" s="1420" t="s">
        <v>22</v>
      </c>
      <c r="B39" s="1435" t="s">
        <v>2218</v>
      </c>
      <c r="C39" s="327">
        <f ca="1">C5-C30</f>
        <v>201792</v>
      </c>
      <c r="D39" s="1436" t="s">
        <v>2219</v>
      </c>
      <c r="E39" s="1437"/>
      <c r="F39" s="1438"/>
      <c r="G39" s="791"/>
      <c r="H39" s="1230"/>
      <c r="I39" s="365" t="s">
        <v>2220</v>
      </c>
      <c r="J39" s="220">
        <f ca="1">1-J38</f>
        <v>1</v>
      </c>
      <c r="K39" s="1235"/>
      <c r="L39" s="1230"/>
      <c r="M39" s="1230"/>
    </row>
    <row r="40" spans="1:18" s="791" customFormat="1" ht="18" customHeight="1">
      <c r="A40" s="316" t="s">
        <v>23</v>
      </c>
      <c r="B40" s="317" t="s">
        <v>2221</v>
      </c>
      <c r="C40" s="318">
        <f ca="1">ROUND(C39*(1-((1+F42)/(1+F40))^F41)/(F40-F42),0)</f>
        <v>9579918</v>
      </c>
      <c r="D40" s="346" t="s">
        <v>2189</v>
      </c>
      <c r="E40" s="319" t="s">
        <v>2190</v>
      </c>
      <c r="F40" s="329">
        <f>'数据-取费表'!B16</f>
        <v>4.4999999999999998E-2</v>
      </c>
      <c r="H40" s="1236"/>
      <c r="I40" s="216" t="s">
        <v>2222</v>
      </c>
      <c r="J40" s="217"/>
      <c r="K40" s="1235"/>
      <c r="L40" s="1236"/>
      <c r="M40" s="1236"/>
      <c r="Q40" s="795"/>
    </row>
    <row r="41" spans="1:18" s="791" customFormat="1" ht="18" customHeight="1">
      <c r="A41" s="321"/>
      <c r="B41" s="322"/>
      <c r="C41" s="323"/>
      <c r="D41" s="354" t="s">
        <v>2223</v>
      </c>
      <c r="E41" s="1825" t="s">
        <v>2848</v>
      </c>
      <c r="F41" s="355">
        <f>IF('数据-取费表'!B28="租赁期内按合同租金",'数据-取费表'!B34,IF(E41="收益年期(n)",'数据-取费表'!B33,'数据-取费表'!B13))</f>
        <v>56.5</v>
      </c>
      <c r="H41" s="1237"/>
      <c r="I41" s="219" t="s">
        <v>2094</v>
      </c>
      <c r="J41" s="220">
        <f ca="1">ROUND(C13/C40,3)</f>
        <v>6.8000000000000005E-2</v>
      </c>
      <c r="K41" s="1234"/>
      <c r="L41" s="1237"/>
      <c r="M41" s="1237"/>
      <c r="Q41" s="795"/>
    </row>
    <row r="42" spans="1:18" s="791" customFormat="1" ht="18" customHeight="1">
      <c r="A42" s="325"/>
      <c r="B42" s="326"/>
      <c r="C42" s="327"/>
      <c r="D42" s="349"/>
      <c r="E42" s="319" t="s">
        <v>2199</v>
      </c>
      <c r="F42" s="329">
        <f>'数据-取费表'!B31</f>
        <v>0.04</v>
      </c>
      <c r="H42" s="1237"/>
      <c r="I42" s="219" t="s">
        <v>2095</v>
      </c>
      <c r="J42" s="221">
        <f ca="1">1-J41</f>
        <v>0.93199999999999994</v>
      </c>
      <c r="K42" s="1234"/>
      <c r="L42" s="1237"/>
      <c r="M42" s="1237"/>
      <c r="Q42" s="795"/>
    </row>
    <row r="43" spans="1:18" s="791" customFormat="1" ht="18" customHeight="1" thickBot="1">
      <c r="A43" s="356" t="s">
        <v>24</v>
      </c>
      <c r="B43" s="357" t="s">
        <v>2224</v>
      </c>
      <c r="C43" s="358">
        <f ca="1">ROUND(C40/F43,0)</f>
        <v>51186</v>
      </c>
      <c r="D43" s="359" t="s">
        <v>2225</v>
      </c>
      <c r="E43" s="360" t="s">
        <v>2226</v>
      </c>
      <c r="F43" s="361">
        <f>IF(D1="仅计算典型户型",'数据-取费表'!E5,'数据-取费表'!B5)</f>
        <v>187.16</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9579918</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3" t="s">
        <v>2236</v>
      </c>
      <c r="C47" s="1303">
        <f ca="1">IF(C2="元",C69-C40,ROUND((C69-C40)/10000,0))</f>
        <v>-9840626</v>
      </c>
      <c r="D47" s="2344" t="str">
        <f>C2</f>
        <v>元</v>
      </c>
      <c r="E47" s="776"/>
      <c r="F47" s="776"/>
      <c r="I47" s="2345" t="s">
        <v>2237</v>
      </c>
      <c r="J47" s="1343"/>
      <c r="K47" s="1344"/>
      <c r="L47" s="1357">
        <f>IF(M48="住宅",0,IF(L49&gt;J52,L61,J61))</f>
        <v>0</v>
      </c>
      <c r="O47" s="1371" t="s">
        <v>959</v>
      </c>
      <c r="P47" s="1368" t="s">
        <v>2238</v>
      </c>
      <c r="Q47" s="1369">
        <f ca="1">C29</f>
        <v>787657</v>
      </c>
      <c r="R47" s="1370" t="s">
        <v>2233</v>
      </c>
    </row>
    <row r="48" spans="1:18" s="791" customFormat="1" ht="15.75" thickBot="1">
      <c r="A48" s="312" t="s">
        <v>2239</v>
      </c>
      <c r="B48" s="313" t="s">
        <v>2240</v>
      </c>
      <c r="C48" s="313" t="s">
        <v>2241</v>
      </c>
      <c r="D48" s="313" t="s">
        <v>2242</v>
      </c>
      <c r="E48" s="1297" t="s">
        <v>2243</v>
      </c>
      <c r="F48" s="1298"/>
      <c r="I48" s="2346" t="s">
        <v>2244</v>
      </c>
      <c r="J48" s="2347" t="s">
        <v>2849</v>
      </c>
      <c r="K48" s="2348"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49" t="s">
        <v>2248</v>
      </c>
      <c r="J49" s="2350" t="s">
        <v>2850</v>
      </c>
      <c r="K49" s="2351" t="s">
        <v>2249</v>
      </c>
      <c r="L49" s="1128">
        <f>'数据-取费表'!B13</f>
        <v>56.5</v>
      </c>
      <c r="O49" s="1371" t="s">
        <v>961</v>
      </c>
      <c r="P49" s="1368" t="s">
        <v>2250</v>
      </c>
      <c r="Q49" s="1372">
        <f>J53</f>
        <v>0</v>
      </c>
      <c r="R49" s="1370"/>
    </row>
    <row r="50" spans="1:18" s="791" customFormat="1" ht="15.75" thickBot="1">
      <c r="A50" s="345" t="s">
        <v>2106</v>
      </c>
      <c r="B50" s="2025" t="s">
        <v>2251</v>
      </c>
      <c r="C50" s="318">
        <f>ROUND(F50*F52*F51*(1-F53),0)</f>
        <v>0</v>
      </c>
      <c r="D50" s="93" t="s">
        <v>2805</v>
      </c>
      <c r="E50" s="2352" t="s">
        <v>2252</v>
      </c>
      <c r="F50" s="1299"/>
      <c r="I50" s="2349" t="s">
        <v>2253</v>
      </c>
      <c r="J50" s="1128">
        <f>'数据-取费表'!B26</f>
        <v>2006</v>
      </c>
      <c r="K50" s="2353" t="s">
        <v>2254</v>
      </c>
      <c r="L50" s="1346"/>
      <c r="O50" s="1371" t="s">
        <v>962</v>
      </c>
      <c r="P50" s="1368" t="s">
        <v>2255</v>
      </c>
      <c r="Q50" s="1369">
        <f>J54</f>
        <v>48</v>
      </c>
      <c r="R50" s="1370" t="s">
        <v>2256</v>
      </c>
    </row>
    <row r="51" spans="1:18" s="791" customFormat="1" ht="15.75" thickBot="1">
      <c r="A51" s="321"/>
      <c r="B51" s="322"/>
      <c r="C51" s="323"/>
      <c r="D51" s="324"/>
      <c r="E51" s="339" t="s">
        <v>2109</v>
      </c>
      <c r="F51" s="1296">
        <f>F7</f>
        <v>1</v>
      </c>
      <c r="I51" s="2349" t="s">
        <v>2257</v>
      </c>
      <c r="J51" s="1347">
        <f>SUMPRODUCT((I64:I66=J48)*(J63:L63=J49)*(J64:L66))</f>
        <v>60</v>
      </c>
      <c r="K51" s="2353" t="s">
        <v>2258</v>
      </c>
      <c r="L51" s="1346"/>
      <c r="O51" s="1367" t="s">
        <v>963</v>
      </c>
      <c r="P51" s="1368" t="str">
        <f>IF(C2="元","收益价值(元)","收益价值(万元)")</f>
        <v>收益价值(元)</v>
      </c>
      <c r="Q51" s="1369">
        <f ca="1">ROUND(IF(C2="元",Q45+Q46,(Q45+Q46)/10000),0)</f>
        <v>9579918</v>
      </c>
      <c r="R51" s="1370" t="s">
        <v>964</v>
      </c>
    </row>
    <row r="52" spans="1:18" s="791" customFormat="1" ht="16.5" thickBot="1">
      <c r="A52" s="321"/>
      <c r="B52" s="322"/>
      <c r="C52" s="323"/>
      <c r="D52" s="324"/>
      <c r="E52" s="319" t="s">
        <v>2111</v>
      </c>
      <c r="F52" s="320">
        <f>F8</f>
        <v>12</v>
      </c>
      <c r="I52" s="2354" t="s">
        <v>2259</v>
      </c>
      <c r="J52" s="1348">
        <f>IF(J50="",J51,J50+J51-YEAR('数据-取费表'!B2))</f>
        <v>48</v>
      </c>
      <c r="K52" s="2355" t="s">
        <v>2260</v>
      </c>
      <c r="L52" s="1349">
        <f ca="1">ROUND(-PV('数据-取费表'!B15,L49,(C40-C13*J35)),0)</f>
        <v>213381260</v>
      </c>
      <c r="O52" s="1361" t="s">
        <v>2261</v>
      </c>
      <c r="P52" s="1362"/>
      <c r="Q52" s="1358"/>
      <c r="R52" s="1362"/>
    </row>
    <row r="53" spans="1:18" s="791" customFormat="1" ht="15.75" thickBot="1">
      <c r="A53" s="325"/>
      <c r="B53" s="326"/>
      <c r="C53" s="327"/>
      <c r="D53" s="328"/>
      <c r="E53" s="319" t="s">
        <v>2112</v>
      </c>
      <c r="F53" s="1356"/>
      <c r="I53" s="2356" t="s">
        <v>2262</v>
      </c>
      <c r="J53" s="1350"/>
      <c r="K53" s="2356" t="s">
        <v>2263</v>
      </c>
      <c r="L53" s="1350"/>
      <c r="O53" s="1363" t="s">
        <v>2228</v>
      </c>
      <c r="P53" s="1364" t="s">
        <v>2229</v>
      </c>
      <c r="Q53" s="1365" t="s">
        <v>2230</v>
      </c>
      <c r="R53" s="1366" t="s">
        <v>2231</v>
      </c>
    </row>
    <row r="54" spans="1:18" s="791" customFormat="1" ht="29.25" customHeight="1" thickBot="1">
      <c r="A54" s="1384" t="s">
        <v>2113</v>
      </c>
      <c r="B54" s="2337" t="s">
        <v>2114</v>
      </c>
      <c r="C54" s="1385">
        <f ca="1">ROUND(IF(F54="押一",C50/12*F11,IF(F54="押二",C50/12*2*F11,IF(F54="押三",C50/12*3*F11,C55*F11))),0)</f>
        <v>0</v>
      </c>
      <c r="D54" s="2338" t="s">
        <v>2813</v>
      </c>
      <c r="E54" s="330" t="s">
        <v>2115</v>
      </c>
      <c r="F54" s="2339"/>
      <c r="I54" s="2357" t="s">
        <v>2264</v>
      </c>
      <c r="J54" s="1351">
        <f>IF(M48="住宅",J52,IF(E1="——",MIN(J52,L49),IF(E1="在建（套用方法）",MIN(J52,L49-'数据-取费表'!B25),IF(E1="土地（套用方法）",MIN(J52,L49-'数据-取费表'!B21)))))</f>
        <v>48</v>
      </c>
      <c r="K54" s="2994" t="s">
        <v>2803</v>
      </c>
      <c r="L54" s="2995"/>
      <c r="O54" s="1367" t="s">
        <v>957</v>
      </c>
      <c r="P54" s="1368" t="s">
        <v>2232</v>
      </c>
      <c r="Q54" s="1369">
        <f ca="1">C40+J29</f>
        <v>9579918</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2120</v>
      </c>
      <c r="B56" s="2341" t="s">
        <v>2121</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2233</v>
      </c>
    </row>
    <row r="57" spans="1:18" s="791" customFormat="1" ht="44.25" thickTop="1" thickBot="1">
      <c r="A57" s="1420">
        <v>2</v>
      </c>
      <c r="B57" s="1421" t="s">
        <v>2122</v>
      </c>
      <c r="C57" s="1500">
        <f ca="1">C13</f>
        <v>653755</v>
      </c>
      <c r="D57" s="1294"/>
      <c r="E57" s="1295"/>
      <c r="F57" s="1302"/>
      <c r="I57" s="2364" t="s">
        <v>2270</v>
      </c>
      <c r="J57" s="1355"/>
      <c r="K57" s="2349" t="s">
        <v>2271</v>
      </c>
      <c r="L57" s="1128">
        <f>IF(L49&lt;J52,"——",L49-J52)</f>
        <v>8.5</v>
      </c>
      <c r="O57" s="1371" t="s">
        <v>960</v>
      </c>
      <c r="P57" s="1368" t="s">
        <v>2272</v>
      </c>
      <c r="Q57" s="1372">
        <f>L53</f>
        <v>0</v>
      </c>
      <c r="R57" s="1370"/>
    </row>
    <row r="58" spans="1:18" s="791" customFormat="1" ht="29.25" thickBot="1">
      <c r="A58" s="1301"/>
      <c r="B58" s="319" t="s">
        <v>2201</v>
      </c>
      <c r="C58" s="188">
        <f ca="1">C29</f>
        <v>787657</v>
      </c>
      <c r="D58" s="1294"/>
      <c r="E58" s="1295"/>
      <c r="F58" s="1302"/>
      <c r="I58" s="2365" t="s">
        <v>2273</v>
      </c>
      <c r="J58" s="1354" t="str">
        <f>IF(OR(M48="住宅",J52&lt;L49,J57="是"),"——",J52-L49)</f>
        <v>——</v>
      </c>
      <c r="K58" s="2349" t="s">
        <v>2274</v>
      </c>
      <c r="L58" s="1128">
        <f ca="1">IF(L49&lt;J52,"——",IF(L56="比较法",L50,IF(L56="基准地价",L51,L52)))</f>
        <v>213381260</v>
      </c>
      <c r="O58" s="1371" t="s">
        <v>961</v>
      </c>
      <c r="P58" s="1368" t="s">
        <v>2275</v>
      </c>
      <c r="Q58" s="1369" t="e">
        <f>L59</f>
        <v>#DIV/0!</v>
      </c>
      <c r="R58" s="1370" t="s">
        <v>2276</v>
      </c>
    </row>
    <row r="59" spans="1:18" s="791" customFormat="1" ht="29.25" thickBot="1">
      <c r="A59" s="332" t="s">
        <v>14</v>
      </c>
      <c r="B59" s="333" t="s">
        <v>2204</v>
      </c>
      <c r="C59" s="334">
        <f ca="1">ROUND(C60+C65+C66+C67,0)</f>
        <v>12796</v>
      </c>
      <c r="D59" s="12" t="s">
        <v>2205</v>
      </c>
      <c r="E59" s="1898"/>
      <c r="F59" s="16"/>
      <c r="I59" s="2365"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9579918</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2232</v>
      </c>
      <c r="Q63" s="1369">
        <f ca="1">C40+J29</f>
        <v>9579918</v>
      </c>
      <c r="R63" s="1370" t="s">
        <v>2233</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2213</v>
      </c>
      <c r="C65" s="14">
        <f ca="1">ROUND(C58*F65,0)</f>
        <v>11815</v>
      </c>
      <c r="D65" s="1893" t="s">
        <v>2214</v>
      </c>
      <c r="E65" s="319" t="s">
        <v>2158</v>
      </c>
      <c r="F65" s="350">
        <f t="shared" si="0"/>
        <v>1.4999999999999999E-2</v>
      </c>
      <c r="I65" s="2368" t="s">
        <v>2295</v>
      </c>
      <c r="J65" s="1874">
        <v>50</v>
      </c>
      <c r="K65" s="1874">
        <v>35</v>
      </c>
      <c r="L65" s="1874">
        <v>60</v>
      </c>
      <c r="M65" s="1873">
        <v>0</v>
      </c>
      <c r="O65" s="1371" t="s">
        <v>959</v>
      </c>
      <c r="P65" s="1368" t="s">
        <v>2269</v>
      </c>
      <c r="Q65" s="1373">
        <f ca="1">L52</f>
        <v>213381260</v>
      </c>
      <c r="R65" s="1374" t="s">
        <v>2296</v>
      </c>
    </row>
    <row r="66" spans="1:18" s="791" customFormat="1" ht="20.25" thickBot="1">
      <c r="A66" s="337" t="s">
        <v>20</v>
      </c>
      <c r="B66" s="319" t="s">
        <v>2173</v>
      </c>
      <c r="C66" s="14">
        <f ca="1">ROUND(C57*F66,0)</f>
        <v>981</v>
      </c>
      <c r="D66" s="1893" t="s">
        <v>2174</v>
      </c>
      <c r="E66" s="319" t="s">
        <v>2175</v>
      </c>
      <c r="F66" s="351">
        <f t="shared" si="0"/>
        <v>1.5E-3</v>
      </c>
      <c r="I66" s="2368" t="s">
        <v>2297</v>
      </c>
      <c r="J66" s="1874">
        <v>40</v>
      </c>
      <c r="K66" s="1874">
        <v>30</v>
      </c>
      <c r="L66" s="1874">
        <v>50</v>
      </c>
      <c r="M66" s="1872">
        <v>0.02</v>
      </c>
      <c r="O66" s="1371" t="s">
        <v>960</v>
      </c>
      <c r="P66" s="1375" t="s">
        <v>2298</v>
      </c>
      <c r="Q66" s="1369">
        <f ca="1">ROUND(Q67-Q68*Q69,0)</f>
        <v>201792</v>
      </c>
      <c r="R66" s="1370"/>
    </row>
    <row r="67" spans="1:18" s="791" customFormat="1" ht="15.75" thickBot="1">
      <c r="A67" s="337" t="s">
        <v>21</v>
      </c>
      <c r="B67" s="319" t="s">
        <v>2156</v>
      </c>
      <c r="C67" s="14">
        <f ca="1">ROUND(C49*F67,0)</f>
        <v>0</v>
      </c>
      <c r="D67" s="1893" t="s">
        <v>2179</v>
      </c>
      <c r="E67" s="319" t="s">
        <v>2175</v>
      </c>
      <c r="F67" s="329">
        <f t="shared" si="0"/>
        <v>0.01</v>
      </c>
      <c r="O67" s="1371" t="s">
        <v>965</v>
      </c>
      <c r="P67" s="1375" t="s">
        <v>2299</v>
      </c>
      <c r="Q67" s="1369">
        <f ca="1">C39</f>
        <v>201792</v>
      </c>
      <c r="R67" s="1370" t="s">
        <v>2233</v>
      </c>
    </row>
    <row r="68" spans="1:18" ht="15.75" thickBot="1">
      <c r="A68" s="332" t="s">
        <v>22</v>
      </c>
      <c r="B68" s="89" t="s">
        <v>2183</v>
      </c>
      <c r="C68" s="334">
        <f ca="1">C49-C59</f>
        <v>-12796</v>
      </c>
      <c r="D68" s="1888" t="s">
        <v>2184</v>
      </c>
      <c r="E68" s="1892"/>
      <c r="F68" s="353"/>
      <c r="H68" s="791"/>
      <c r="I68" s="791"/>
      <c r="J68" s="791"/>
      <c r="K68" s="791"/>
      <c r="L68" s="791"/>
      <c r="M68" s="791"/>
      <c r="O68" s="1371" t="s">
        <v>966</v>
      </c>
      <c r="P68" s="1375" t="s">
        <v>2300</v>
      </c>
      <c r="Q68" s="1369">
        <f ca="1">C13</f>
        <v>653755</v>
      </c>
      <c r="R68" s="1370" t="s">
        <v>2233</v>
      </c>
    </row>
    <row r="69" spans="1:18" ht="15.75" thickBot="1">
      <c r="A69" s="316" t="s">
        <v>23</v>
      </c>
      <c r="B69" s="317" t="s">
        <v>2221</v>
      </c>
      <c r="C69" s="318">
        <f ca="1">ROUND(C68*(1-((1+F71)/(1+F69))^F70)/(F69-F71),0)</f>
        <v>-260708</v>
      </c>
      <c r="D69" s="346" t="s">
        <v>2189</v>
      </c>
      <c r="E69" s="319" t="s">
        <v>2190</v>
      </c>
      <c r="F69" s="329">
        <f>F40</f>
        <v>4.4999999999999998E-2</v>
      </c>
      <c r="H69" s="791"/>
      <c r="I69" s="791"/>
      <c r="J69" s="791"/>
      <c r="K69" s="791"/>
      <c r="L69" s="791"/>
      <c r="M69" s="791"/>
      <c r="O69" s="1371" t="s">
        <v>967</v>
      </c>
      <c r="P69" s="1375" t="s">
        <v>2301</v>
      </c>
      <c r="Q69" s="1372">
        <f>J35</f>
        <v>0</v>
      </c>
      <c r="R69" s="1370"/>
    </row>
    <row r="70" spans="1:18" ht="15.75" thickBot="1">
      <c r="A70" s="321"/>
      <c r="B70" s="322"/>
      <c r="C70" s="323"/>
      <c r="D70" s="354" t="s">
        <v>2223</v>
      </c>
      <c r="E70" s="319" t="s">
        <v>2195</v>
      </c>
      <c r="F70" s="355">
        <f>F41</f>
        <v>56.5</v>
      </c>
      <c r="H70" s="791"/>
      <c r="I70" s="791"/>
      <c r="J70" s="791"/>
      <c r="K70" s="791"/>
      <c r="L70" s="791"/>
      <c r="M70" s="791"/>
      <c r="O70" s="1371" t="s">
        <v>961</v>
      </c>
      <c r="P70" s="1368" t="s">
        <v>2272</v>
      </c>
      <c r="Q70" s="1372">
        <f>L53</f>
        <v>0</v>
      </c>
      <c r="R70" s="1370"/>
    </row>
    <row r="71" spans="1:18" ht="20.25" thickBot="1">
      <c r="A71" s="325"/>
      <c r="B71" s="326"/>
      <c r="C71" s="327"/>
      <c r="D71" s="349"/>
      <c r="E71" s="319" t="s">
        <v>2199</v>
      </c>
      <c r="F71" s="1356"/>
      <c r="H71" s="791"/>
      <c r="M71" s="791"/>
      <c r="O71" s="1371" t="s">
        <v>962</v>
      </c>
      <c r="P71" s="1368" t="s">
        <v>2275</v>
      </c>
      <c r="Q71" s="1369" t="e">
        <f>L59</f>
        <v>#DIV/0!</v>
      </c>
      <c r="R71" s="1370" t="s">
        <v>2276</v>
      </c>
    </row>
    <row r="72" spans="1:18" ht="15.75" thickBot="1">
      <c r="A72" s="356" t="s">
        <v>24</v>
      </c>
      <c r="B72" s="357" t="s">
        <v>2224</v>
      </c>
      <c r="C72" s="358">
        <f ca="1">ROUND(C69/F72,0)</f>
        <v>-1393</v>
      </c>
      <c r="D72" s="359" t="s">
        <v>2225</v>
      </c>
      <c r="E72" s="360" t="s">
        <v>2226</v>
      </c>
      <c r="F72" s="361">
        <f>F43</f>
        <v>187.16</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9579918</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杨红英（注册号:1120070085）、白景生（注册号:1120110054)</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2" t="s">
        <v>1024</v>
      </c>
      <c r="B1" s="3013"/>
      <c r="C1" s="3014"/>
      <c r="D1" s="3015">
        <f>SUM(I10,I15,I20,I21,I23)</f>
        <v>0</v>
      </c>
      <c r="E1" s="3015"/>
      <c r="F1" s="3015"/>
      <c r="G1" s="3015"/>
      <c r="H1" s="3015"/>
      <c r="I1" s="3016"/>
    </row>
    <row r="2" spans="1:9">
      <c r="A2" s="3002" t="s">
        <v>1025</v>
      </c>
      <c r="B2" s="3003" t="s">
        <v>974</v>
      </c>
      <c r="C2" s="3003"/>
      <c r="D2" s="1389" t="s">
        <v>975</v>
      </c>
      <c r="E2" s="1389" t="s">
        <v>976</v>
      </c>
      <c r="F2" s="1389" t="s">
        <v>977</v>
      </c>
      <c r="G2" s="1389" t="s">
        <v>978</v>
      </c>
      <c r="H2" s="1389" t="s">
        <v>979</v>
      </c>
      <c r="I2" s="1390" t="s">
        <v>980</v>
      </c>
    </row>
    <row r="3" spans="1:9">
      <c r="A3" s="3002"/>
      <c r="B3" s="3003" t="s">
        <v>981</v>
      </c>
      <c r="C3" s="3003"/>
      <c r="D3" s="1391"/>
      <c r="E3" s="1389"/>
      <c r="F3" s="1392"/>
      <c r="G3" s="1392"/>
      <c r="H3" s="1393"/>
      <c r="I3" s="1394">
        <f>ROUND(D3*E3*F3*G3*H3/10000,0)</f>
        <v>0</v>
      </c>
    </row>
    <row r="4" spans="1:9">
      <c r="A4" s="3002"/>
      <c r="B4" s="3003" t="s">
        <v>982</v>
      </c>
      <c r="C4" s="3003"/>
      <c r="D4" s="1391"/>
      <c r="E4" s="1389"/>
      <c r="F4" s="1392"/>
      <c r="G4" s="1392"/>
      <c r="H4" s="1393"/>
      <c r="I4" s="1394">
        <f t="shared" ref="I4:I9" si="0">ROUND(D4*E4*F4*G4*H4/10000,0)</f>
        <v>0</v>
      </c>
    </row>
    <row r="5" spans="1:9">
      <c r="A5" s="3002"/>
      <c r="B5" s="3003" t="s">
        <v>983</v>
      </c>
      <c r="C5" s="3003"/>
      <c r="D5" s="1391"/>
      <c r="E5" s="1389"/>
      <c r="F5" s="1392"/>
      <c r="G5" s="1392"/>
      <c r="H5" s="1393"/>
      <c r="I5" s="1394">
        <f t="shared" si="0"/>
        <v>0</v>
      </c>
    </row>
    <row r="6" spans="1:9">
      <c r="A6" s="3002"/>
      <c r="B6" s="3003" t="s">
        <v>984</v>
      </c>
      <c r="C6" s="3003"/>
      <c r="D6" s="1391"/>
      <c r="E6" s="1389"/>
      <c r="F6" s="1392"/>
      <c r="G6" s="1392"/>
      <c r="H6" s="1393"/>
      <c r="I6" s="1394">
        <f t="shared" si="0"/>
        <v>0</v>
      </c>
    </row>
    <row r="7" spans="1:9">
      <c r="A7" s="3002"/>
      <c r="B7" s="3003" t="s">
        <v>985</v>
      </c>
      <c r="C7" s="3003"/>
      <c r="D7" s="1391"/>
      <c r="E7" s="1389"/>
      <c r="F7" s="1392"/>
      <c r="G7" s="1392"/>
      <c r="H7" s="1393"/>
      <c r="I7" s="1394">
        <f t="shared" si="0"/>
        <v>0</v>
      </c>
    </row>
    <row r="8" spans="1:9">
      <c r="A8" s="3002"/>
      <c r="B8" s="3003" t="s">
        <v>986</v>
      </c>
      <c r="C8" s="3003"/>
      <c r="D8" s="1391"/>
      <c r="E8" s="1389"/>
      <c r="F8" s="1392"/>
      <c r="G8" s="1392"/>
      <c r="H8" s="1393"/>
      <c r="I8" s="1394">
        <f t="shared" si="0"/>
        <v>0</v>
      </c>
    </row>
    <row r="9" spans="1:9">
      <c r="A9" s="3002"/>
      <c r="B9" s="3003" t="s">
        <v>987</v>
      </c>
      <c r="C9" s="3003"/>
      <c r="D9" s="1391"/>
      <c r="E9" s="1389"/>
      <c r="F9" s="1392"/>
      <c r="G9" s="1392"/>
      <c r="H9" s="1393"/>
      <c r="I9" s="1394">
        <f t="shared" si="0"/>
        <v>0</v>
      </c>
    </row>
    <row r="10" spans="1:9">
      <c r="A10" s="3002"/>
      <c r="B10" s="3004" t="s">
        <v>988</v>
      </c>
      <c r="C10" s="3004"/>
      <c r="D10" s="1395">
        <v>527</v>
      </c>
      <c r="E10" s="1395" t="e">
        <f>ROUND(D1*10000/D10/H9,0)</f>
        <v>#DIV/0!</v>
      </c>
      <c r="F10" s="1396"/>
      <c r="G10" s="1396"/>
      <c r="H10" s="1397"/>
      <c r="I10" s="1398">
        <f>SUM(I3:I9)</f>
        <v>0</v>
      </c>
    </row>
    <row r="11" spans="1:9" ht="14.25">
      <c r="A11" s="3002" t="s">
        <v>1026</v>
      </c>
      <c r="B11" s="3003" t="s">
        <v>989</v>
      </c>
      <c r="C11" s="3003"/>
      <c r="D11" s="1391" t="s">
        <v>990</v>
      </c>
      <c r="E11" s="1391" t="s">
        <v>991</v>
      </c>
      <c r="F11" s="1392" t="s">
        <v>992</v>
      </c>
      <c r="G11" s="1392" t="s">
        <v>979</v>
      </c>
      <c r="H11" s="1399" t="s">
        <v>993</v>
      </c>
      <c r="I11" s="1390" t="s">
        <v>980</v>
      </c>
    </row>
    <row r="12" spans="1:9">
      <c r="A12" s="3002"/>
      <c r="B12" s="3003" t="s">
        <v>994</v>
      </c>
      <c r="C12" s="3003"/>
      <c r="D12" s="1391"/>
      <c r="E12" s="1391"/>
      <c r="F12" s="1392"/>
      <c r="G12" s="1393"/>
      <c r="H12" s="1400"/>
      <c r="I12" s="1390">
        <f>ROUND(D12*E12*F12*G12/10000,0)</f>
        <v>0</v>
      </c>
    </row>
    <row r="13" spans="1:9">
      <c r="A13" s="3002"/>
      <c r="B13" s="3003" t="s">
        <v>995</v>
      </c>
      <c r="C13" s="3003"/>
      <c r="D13" s="1391"/>
      <c r="E13" s="1391"/>
      <c r="F13" s="1392"/>
      <c r="G13" s="1393"/>
      <c r="H13" s="1400"/>
      <c r="I13" s="1390">
        <f>ROUND(D13*E13*F13*G13/10000,0)</f>
        <v>0</v>
      </c>
    </row>
    <row r="14" spans="1:9">
      <c r="A14" s="3002"/>
      <c r="B14" s="3003" t="s">
        <v>996</v>
      </c>
      <c r="C14" s="3003"/>
      <c r="D14" s="1391"/>
      <c r="E14" s="1391"/>
      <c r="F14" s="1392"/>
      <c r="G14" s="1393"/>
      <c r="H14" s="1400"/>
      <c r="I14" s="1390">
        <f>ROUND(D14*E14*F14*G14/10000,0)</f>
        <v>0</v>
      </c>
    </row>
    <row r="15" spans="1:9">
      <c r="A15" s="3002"/>
      <c r="B15" s="3004" t="s">
        <v>988</v>
      </c>
      <c r="C15" s="3004"/>
      <c r="D15" s="1395"/>
      <c r="E15" s="1395">
        <f>SUM(E12:E14)</f>
        <v>0</v>
      </c>
      <c r="F15" s="1396"/>
      <c r="G15" s="1393"/>
      <c r="H15" s="1400"/>
      <c r="I15" s="1401">
        <f>SUM(I12:I14)</f>
        <v>0</v>
      </c>
    </row>
    <row r="16" spans="1:9" ht="24">
      <c r="A16" s="3002" t="s">
        <v>1027</v>
      </c>
      <c r="B16" s="3003" t="s">
        <v>997</v>
      </c>
      <c r="C16" s="3003"/>
      <c r="D16" s="1391" t="s">
        <v>975</v>
      </c>
      <c r="E16" s="1402" t="s">
        <v>998</v>
      </c>
      <c r="F16" s="1392" t="s">
        <v>999</v>
      </c>
      <c r="G16" s="1393" t="s">
        <v>979</v>
      </c>
      <c r="H16" s="1399" t="s">
        <v>993</v>
      </c>
      <c r="I16" s="1390" t="s">
        <v>980</v>
      </c>
    </row>
    <row r="17" spans="1:9" ht="14.25">
      <c r="A17" s="3002"/>
      <c r="B17" s="3003" t="s">
        <v>1000</v>
      </c>
      <c r="C17" s="3003"/>
      <c r="D17" s="1391"/>
      <c r="E17" s="1391"/>
      <c r="F17" s="1392"/>
      <c r="G17" s="1393"/>
      <c r="H17" s="1403"/>
      <c r="I17" s="1404">
        <f>ROUND(D17*E17*F17*G17/10000,0)</f>
        <v>0</v>
      </c>
    </row>
    <row r="18" spans="1:9" ht="14.25">
      <c r="A18" s="3002"/>
      <c r="B18" s="3003" t="s">
        <v>1001</v>
      </c>
      <c r="C18" s="3003"/>
      <c r="D18" s="1391"/>
      <c r="E18" s="1391"/>
      <c r="F18" s="1392"/>
      <c r="G18" s="1393"/>
      <c r="H18" s="1403"/>
      <c r="I18" s="1404">
        <f>ROUND(D18*E18*F18*G18/10000,0)</f>
        <v>0</v>
      </c>
    </row>
    <row r="19" spans="1:9" ht="14.25">
      <c r="A19" s="3002"/>
      <c r="B19" s="3003" t="s">
        <v>1002</v>
      </c>
      <c r="C19" s="3003"/>
      <c r="D19" s="1391"/>
      <c r="E19" s="1391"/>
      <c r="F19" s="1392"/>
      <c r="G19" s="1393"/>
      <c r="H19" s="1403"/>
      <c r="I19" s="1404">
        <f>ROUND(D19*E19*F19*G19/10000,0)</f>
        <v>0</v>
      </c>
    </row>
    <row r="20" spans="1:9">
      <c r="A20" s="3002"/>
      <c r="B20" s="3004" t="s">
        <v>988</v>
      </c>
      <c r="C20" s="3004"/>
      <c r="D20" s="1395">
        <f>SUM(D17:D19)</f>
        <v>0</v>
      </c>
      <c r="E20" s="1395"/>
      <c r="F20" s="1396"/>
      <c r="G20" s="1393"/>
      <c r="H20" s="1400"/>
      <c r="I20" s="1401">
        <f>SUM(I17:I19)</f>
        <v>0</v>
      </c>
    </row>
    <row r="21" spans="1:9">
      <c r="A21" s="3002" t="s">
        <v>1028</v>
      </c>
      <c r="B21" s="3005"/>
      <c r="C21" s="3005"/>
      <c r="D21" s="3005"/>
      <c r="E21" s="3005"/>
      <c r="F21" s="3005"/>
      <c r="G21" s="3005"/>
      <c r="H21" s="1405">
        <v>0.1</v>
      </c>
      <c r="I21" s="1398">
        <f>ROUND(I10*H21,0)</f>
        <v>0</v>
      </c>
    </row>
    <row r="22" spans="1:9" ht="14.25">
      <c r="A22" s="3006" t="s">
        <v>1029</v>
      </c>
      <c r="B22" s="3007"/>
      <c r="C22" s="3008"/>
      <c r="D22" s="1406" t="s">
        <v>1003</v>
      </c>
      <c r="E22" s="1406" t="s">
        <v>1004</v>
      </c>
      <c r="F22" s="1407" t="s">
        <v>979</v>
      </c>
      <c r="G22" s="1407" t="s">
        <v>1005</v>
      </c>
      <c r="H22" s="1399" t="s">
        <v>993</v>
      </c>
      <c r="I22" s="1390" t="s">
        <v>980</v>
      </c>
    </row>
    <row r="23" spans="1:9" ht="14.25" thickBot="1">
      <c r="A23" s="3009"/>
      <c r="B23" s="3010"/>
      <c r="C23" s="3011"/>
      <c r="D23" s="1408"/>
      <c r="E23" s="1408"/>
      <c r="F23" s="1408"/>
      <c r="G23" s="1409"/>
      <c r="H23" s="1410"/>
      <c r="I23" s="1411">
        <f>ROUND(E23*D23*F23*(1-G23)/10000,0)</f>
        <v>0</v>
      </c>
    </row>
    <row r="26" spans="1:9">
      <c r="A26" s="1412" t="s">
        <v>1006</v>
      </c>
      <c r="B26" s="1412"/>
      <c r="C26" s="1412"/>
      <c r="D26" s="1412"/>
      <c r="E26" s="2999">
        <f>C27-C30-C31-C32</f>
        <v>0</v>
      </c>
      <c r="F26" s="2999"/>
      <c r="G26" s="2999"/>
      <c r="H26" s="1829" t="s">
        <v>1219</v>
      </c>
    </row>
    <row r="27" spans="1:9">
      <c r="A27" s="1413">
        <v>1</v>
      </c>
      <c r="B27" s="1414" t="s">
        <v>1007</v>
      </c>
      <c r="C27" s="1414">
        <f>C28+C29</f>
        <v>0</v>
      </c>
      <c r="D27" s="1414"/>
      <c r="E27" s="3000"/>
      <c r="F27" s="3000"/>
      <c r="G27" s="3000"/>
    </row>
    <row r="28" spans="1:9">
      <c r="A28" s="1415" t="s">
        <v>1008</v>
      </c>
      <c r="B28" s="1414" t="s">
        <v>1009</v>
      </c>
      <c r="C28" s="1414"/>
      <c r="D28" s="1414"/>
      <c r="E28" s="3000"/>
      <c r="F28" s="3000"/>
      <c r="G28" s="300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1"/>
      <c r="F32" s="3001"/>
      <c r="G32" s="3001"/>
    </row>
    <row r="33" spans="1:7" hidden="1">
      <c r="A33" s="2996" t="s">
        <v>1018</v>
      </c>
      <c r="B33" s="2997"/>
      <c r="C33" s="2997"/>
      <c r="D33" s="2998"/>
      <c r="E33" s="2999"/>
      <c r="F33" s="2999"/>
      <c r="G33" s="2999"/>
    </row>
    <row r="34" spans="1:7" hidden="1">
      <c r="A34" s="1417">
        <v>1</v>
      </c>
      <c r="B34" s="1414" t="s">
        <v>1019</v>
      </c>
      <c r="C34" s="1414"/>
      <c r="D34" s="1414"/>
      <c r="E34" s="3000"/>
      <c r="F34" s="3000"/>
      <c r="G34" s="3000"/>
    </row>
    <row r="35" spans="1:7" hidden="1">
      <c r="A35" s="1417">
        <v>2</v>
      </c>
      <c r="B35" s="1414" t="s">
        <v>1020</v>
      </c>
      <c r="C35" s="1414"/>
      <c r="D35" s="1414"/>
      <c r="E35" s="3000"/>
      <c r="F35" s="3000"/>
      <c r="G35" s="3000"/>
    </row>
    <row r="36" spans="1:7" hidden="1">
      <c r="A36" s="1417">
        <v>3</v>
      </c>
      <c r="B36" s="1414" t="s">
        <v>1021</v>
      </c>
      <c r="C36" s="1414"/>
      <c r="D36" s="1414"/>
      <c r="E36" s="3000"/>
      <c r="F36" s="3000"/>
      <c r="G36" s="3000"/>
    </row>
    <row r="37" spans="1:7" hidden="1">
      <c r="A37" s="1417">
        <v>4</v>
      </c>
      <c r="B37" s="1414" t="s">
        <v>1022</v>
      </c>
      <c r="C37" s="1414"/>
      <c r="D37" s="1414"/>
      <c r="E37" s="3000"/>
      <c r="F37" s="3000"/>
      <c r="G37" s="3000"/>
    </row>
    <row r="38" spans="1:7" hidden="1">
      <c r="A38" s="2996" t="s">
        <v>1023</v>
      </c>
      <c r="B38" s="2997"/>
      <c r="C38" s="2997"/>
      <c r="D38" s="2998"/>
      <c r="E38" s="2999"/>
      <c r="F38" s="2999"/>
      <c r="G38" s="299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0" t="s">
        <v>2307</v>
      </c>
      <c r="D4" s="3021"/>
      <c r="E4" s="3021"/>
      <c r="F4" s="3021"/>
      <c r="G4" s="3021"/>
      <c r="H4" s="3021"/>
      <c r="I4" s="3021"/>
      <c r="J4" s="3021"/>
      <c r="K4" s="3021"/>
      <c r="L4" s="3021"/>
      <c r="M4" s="3021"/>
      <c r="N4" s="3021"/>
      <c r="O4" s="3021"/>
      <c r="P4" s="3021"/>
      <c r="Q4" s="3021"/>
      <c r="R4" s="3021"/>
      <c r="S4" s="302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7" t="s">
        <v>45</v>
      </c>
      <c r="D25" s="3018"/>
      <c r="E25" s="3018"/>
      <c r="F25" s="3018"/>
      <c r="G25" s="3018"/>
      <c r="H25" s="3018"/>
      <c r="I25" s="3018"/>
      <c r="J25" s="3018"/>
      <c r="K25" s="3018"/>
      <c r="L25" s="3018"/>
      <c r="M25" s="3018"/>
      <c r="N25" s="3018"/>
      <c r="O25" s="3018"/>
      <c r="P25" s="3018"/>
      <c r="Q25" s="301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B32" zoomScale="90" zoomScaleNormal="90" workbookViewId="0">
      <selection activeCell="G51" sqref="G5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2847</v>
      </c>
      <c r="D1" s="2381"/>
      <c r="E1" s="2382" t="s">
        <v>2851</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17566838</v>
      </c>
      <c r="C2" s="163" t="str">
        <f>'数据-取费表'!B3</f>
        <v>元</v>
      </c>
      <c r="D2" s="2384" t="s">
        <v>1253</v>
      </c>
      <c r="E2" s="1843" t="e">
        <f ca="1">SUMIF(INDIRECT("'"&amp;G2&amp;"'"&amp;"!A:A"),"承租人权益价值",INDIRECT("'"&amp;G2&amp;"'"&amp;"!c:c"))</f>
        <v>#REF!</v>
      </c>
      <c r="F2" s="2385" t="str">
        <f>C2</f>
        <v>元</v>
      </c>
      <c r="G2" s="2386" t="s">
        <v>2852</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93860</v>
      </c>
      <c r="C3" s="379" t="s">
        <v>2339</v>
      </c>
      <c r="D3" s="378">
        <f>IF(C1="仅计算典型户型",'数据-取费表'!E5,'数据-取费表'!B5)</f>
        <v>187.16</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56" t="s">
        <v>2341</v>
      </c>
      <c r="D4" s="3057"/>
      <c r="E4" s="3058" t="s">
        <v>2342</v>
      </c>
      <c r="F4" s="3059"/>
      <c r="G4" s="3056" t="s">
        <v>2343</v>
      </c>
      <c r="H4" s="3057"/>
      <c r="I4" s="3056" t="s">
        <v>2344</v>
      </c>
      <c r="J4" s="3057"/>
      <c r="K4" s="2395"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53" t="s">
        <v>2343</v>
      </c>
      <c r="AC4" s="3053" t="s">
        <v>2344</v>
      </c>
    </row>
    <row r="5" spans="1:29" ht="15">
      <c r="A5" s="383"/>
      <c r="B5" s="384"/>
      <c r="C5" s="3069" t="s">
        <v>2857</v>
      </c>
      <c r="D5" s="3042"/>
      <c r="E5" s="3067" t="s">
        <v>2348</v>
      </c>
      <c r="F5" s="3068"/>
      <c r="G5" s="3041" t="s">
        <v>2349</v>
      </c>
      <c r="H5" s="3042"/>
      <c r="I5" s="3041" t="s">
        <v>2350</v>
      </c>
      <c r="J5" s="3042"/>
      <c r="K5" s="2396"/>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
        <v>2351</v>
      </c>
      <c r="D6" s="3040"/>
      <c r="E6" s="3127" t="s">
        <v>2899</v>
      </c>
      <c r="F6" s="3071"/>
      <c r="G6" s="3127" t="s">
        <v>2899</v>
      </c>
      <c r="H6" s="3071"/>
      <c r="I6" s="3127" t="s">
        <v>2899</v>
      </c>
      <c r="J6" s="3071"/>
      <c r="K6" s="2396" t="s">
        <v>2352</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43272</v>
      </c>
      <c r="D7" s="390">
        <v>100</v>
      </c>
      <c r="E7" s="391">
        <v>43075</v>
      </c>
      <c r="F7" s="392">
        <f>SUMIF(58:58,YEAR(E7)&amp;"-"&amp;MONTH(E7),59:59)</f>
        <v>101</v>
      </c>
      <c r="G7" s="391">
        <v>43209</v>
      </c>
      <c r="H7" s="390">
        <f>SUMIF(58:58,YEAR(G7)&amp;"-"&amp;MONTH(G7),59:59)</f>
        <v>100</v>
      </c>
      <c r="I7" s="391">
        <v>43207</v>
      </c>
      <c r="J7" s="390">
        <f>SUMIF(58:58,YEAR(I7)&amp;"-"&amp;MONTH(I7),59:59)</f>
        <v>100</v>
      </c>
      <c r="K7" s="2397"/>
      <c r="L7" s="1245"/>
      <c r="M7" s="1246"/>
      <c r="N7" s="1246"/>
      <c r="O7" s="1246"/>
      <c r="P7" s="3043" t="s">
        <v>2354</v>
      </c>
      <c r="Q7" s="3051"/>
      <c r="R7" s="749" t="s">
        <v>34</v>
      </c>
      <c r="S7" s="750">
        <f t="shared" ref="S7:S15" si="0">F7</f>
        <v>101</v>
      </c>
      <c r="T7" s="749" t="s">
        <v>34</v>
      </c>
      <c r="U7" s="750">
        <f t="shared" ref="U7:U15" si="1">H7</f>
        <v>100</v>
      </c>
      <c r="V7" s="749" t="s">
        <v>34</v>
      </c>
      <c r="W7" s="750">
        <f t="shared" ref="W7:W15" si="2">J7</f>
        <v>100</v>
      </c>
      <c r="X7" s="751"/>
      <c r="Y7" s="3043" t="s">
        <v>2354</v>
      </c>
      <c r="Z7" s="3044"/>
      <c r="AA7" s="752">
        <f>D7/F7</f>
        <v>0.99009900990099009</v>
      </c>
      <c r="AB7" s="752">
        <f>D7/H7</f>
        <v>1</v>
      </c>
      <c r="AC7" s="752">
        <f>D7/J7</f>
        <v>1</v>
      </c>
    </row>
    <row r="8" spans="1:29" s="35" customFormat="1" ht="15.75" thickBot="1">
      <c r="A8" s="387" t="s">
        <v>2355</v>
      </c>
      <c r="B8" s="388"/>
      <c r="C8" s="394" t="s">
        <v>2356</v>
      </c>
      <c r="D8" s="390">
        <v>100</v>
      </c>
      <c r="E8" s="394" t="s">
        <v>2356</v>
      </c>
      <c r="F8" s="392">
        <f>SUMIF(61:61,E8,62:62)-SUMIF(61:61,C8,62:62)+100</f>
        <v>100</v>
      </c>
      <c r="G8" s="394" t="s">
        <v>2356</v>
      </c>
      <c r="H8" s="390">
        <f>SUMIF(61:61,G8,62:62)-SUMIF(61:61,C8,62:62)+100</f>
        <v>100</v>
      </c>
      <c r="I8" s="394" t="s">
        <v>2356</v>
      </c>
      <c r="J8" s="390">
        <f>SUMIF(61:61,I8,62:62)-SUMIF(61:61,C8,62:62)+100</f>
        <v>100</v>
      </c>
      <c r="K8" s="2397"/>
      <c r="L8" s="1245"/>
      <c r="M8" s="1246"/>
      <c r="N8" s="1246"/>
      <c r="O8" s="1246"/>
      <c r="P8" s="3043" t="s">
        <v>2357</v>
      </c>
      <c r="Q8" s="3044"/>
      <c r="R8" s="749" t="s">
        <v>34</v>
      </c>
      <c r="S8" s="750">
        <f t="shared" si="0"/>
        <v>100</v>
      </c>
      <c r="T8" s="749" t="s">
        <v>34</v>
      </c>
      <c r="U8" s="750">
        <f t="shared" si="1"/>
        <v>100</v>
      </c>
      <c r="V8" s="749" t="s">
        <v>34</v>
      </c>
      <c r="W8" s="750">
        <f t="shared" si="2"/>
        <v>100</v>
      </c>
      <c r="X8" s="751"/>
      <c r="Y8" s="3043" t="s">
        <v>2357</v>
      </c>
      <c r="Z8" s="3044"/>
      <c r="AA8" s="752">
        <f t="shared" ref="AA8:AA46" si="3">D8/F8</f>
        <v>1</v>
      </c>
      <c r="AB8" s="752">
        <f t="shared" ref="AB8:AB46" si="4">D8/H8</f>
        <v>1</v>
      </c>
      <c r="AC8" s="752">
        <f t="shared" ref="AC8:AC46" si="5">D8/J8</f>
        <v>1</v>
      </c>
    </row>
    <row r="9" spans="1:29" s="35" customFormat="1">
      <c r="A9" s="395" t="s">
        <v>2358</v>
      </c>
      <c r="B9" s="28" t="s">
        <v>2359</v>
      </c>
      <c r="C9" s="2754" t="s">
        <v>2858</v>
      </c>
      <c r="D9" s="51">
        <v>100</v>
      </c>
      <c r="E9" s="2754" t="s">
        <v>2858</v>
      </c>
      <c r="F9" s="398">
        <f>SUMIF(63:63,E9,64:64)-SUMIF(63:63,C9,64:64)+100</f>
        <v>100</v>
      </c>
      <c r="G9" s="2754" t="s">
        <v>2858</v>
      </c>
      <c r="H9" s="51">
        <f>SUMIF(63:63,G9,64:64)-SUMIF(63:63,C9,64:64)+100</f>
        <v>100</v>
      </c>
      <c r="I9" s="2754" t="s">
        <v>2858</v>
      </c>
      <c r="J9" s="51">
        <f>SUMIF(63:63,I9,64:64)-SUMIF(63:63,C9,64:64)+100</f>
        <v>100</v>
      </c>
      <c r="K9" s="2397"/>
      <c r="L9" s="1245"/>
      <c r="M9" s="1246"/>
      <c r="N9" s="1246"/>
      <c r="O9" s="1246"/>
      <c r="P9" s="3052"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29" s="407" customFormat="1" ht="27.75" thickBot="1">
      <c r="A10" s="401"/>
      <c r="B10" s="402" t="s">
        <v>2362</v>
      </c>
      <c r="C10" s="403" t="s">
        <v>2859</v>
      </c>
      <c r="D10" s="52">
        <v>100</v>
      </c>
      <c r="E10" s="403" t="s">
        <v>2859</v>
      </c>
      <c r="F10" s="405">
        <f>SUMIF(65:65,E10,66:66)-SUMIF(65:65,C10,66:66)+100</f>
        <v>100</v>
      </c>
      <c r="G10" s="403" t="s">
        <v>2859</v>
      </c>
      <c r="H10" s="52">
        <f>SUMIF(65:65,G10,66:66)-SUMIF(65:65,C10,66:66)+100</f>
        <v>100</v>
      </c>
      <c r="I10" s="403" t="s">
        <v>2859</v>
      </c>
      <c r="J10" s="52">
        <f>SUMIF(65:65,I10,66:66)-SUMIF(65:65,C10,66:66)+100</f>
        <v>100</v>
      </c>
      <c r="K10" s="406">
        <v>1</v>
      </c>
      <c r="L10" s="1248"/>
      <c r="M10" s="1249"/>
      <c r="N10" s="1249"/>
      <c r="O10" s="1249"/>
      <c r="P10" s="3052"/>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hidden="1">
      <c r="A11" s="408"/>
      <c r="B11" s="402" t="s">
        <v>2363</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52"/>
      <c r="Q11" s="1887" t="str">
        <f t="shared" si="6"/>
        <v>容积率</v>
      </c>
      <c r="R11" s="749" t="s">
        <v>28</v>
      </c>
      <c r="S11" s="750">
        <f t="shared" si="0"/>
        <v>100</v>
      </c>
      <c r="T11" s="749" t="s">
        <v>28</v>
      </c>
      <c r="U11" s="750">
        <f t="shared" si="1"/>
        <v>100</v>
      </c>
      <c r="V11" s="749" t="s">
        <v>28</v>
      </c>
      <c r="W11" s="750">
        <f t="shared" si="2"/>
        <v>100</v>
      </c>
      <c r="X11" s="751"/>
      <c r="Y11" s="285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2"/>
      <c r="Q12" s="1887">
        <f t="shared" si="6"/>
        <v>111</v>
      </c>
      <c r="R12" s="749" t="s">
        <v>28</v>
      </c>
      <c r="S12" s="750">
        <f t="shared" si="0"/>
        <v>100</v>
      </c>
      <c r="T12" s="749" t="s">
        <v>28</v>
      </c>
      <c r="U12" s="750">
        <f t="shared" si="1"/>
        <v>100</v>
      </c>
      <c r="V12" s="749" t="s">
        <v>28</v>
      </c>
      <c r="W12" s="750">
        <f t="shared" si="2"/>
        <v>100</v>
      </c>
      <c r="X12" s="751"/>
      <c r="Y12" s="2855"/>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2"/>
      <c r="Q13" s="1887">
        <f t="shared" si="6"/>
        <v>111</v>
      </c>
      <c r="R13" s="749" t="s">
        <v>28</v>
      </c>
      <c r="S13" s="750">
        <f t="shared" si="0"/>
        <v>100</v>
      </c>
      <c r="T13" s="749" t="s">
        <v>28</v>
      </c>
      <c r="U13" s="750">
        <f t="shared" si="1"/>
        <v>100</v>
      </c>
      <c r="V13" s="749" t="s">
        <v>28</v>
      </c>
      <c r="W13" s="750">
        <f t="shared" si="2"/>
        <v>100</v>
      </c>
      <c r="X13" s="751"/>
      <c r="Y13" s="2855"/>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2"/>
      <c r="Q14" s="1887">
        <f t="shared" si="6"/>
        <v>111</v>
      </c>
      <c r="R14" s="749" t="s">
        <v>28</v>
      </c>
      <c r="S14" s="750">
        <f t="shared" si="0"/>
        <v>100</v>
      </c>
      <c r="T14" s="749" t="s">
        <v>28</v>
      </c>
      <c r="U14" s="750">
        <f t="shared" si="1"/>
        <v>100</v>
      </c>
      <c r="V14" s="749" t="s">
        <v>28</v>
      </c>
      <c r="W14" s="750">
        <f t="shared" si="2"/>
        <v>100</v>
      </c>
      <c r="X14" s="751"/>
      <c r="Y14" s="2855"/>
      <c r="Z14" s="23">
        <f t="shared" si="7"/>
        <v>111</v>
      </c>
      <c r="AA14" s="752">
        <f t="shared" si="3"/>
        <v>1</v>
      </c>
      <c r="AB14" s="752">
        <f t="shared" si="4"/>
        <v>1</v>
      </c>
      <c r="AC14" s="752">
        <f t="shared" si="5"/>
        <v>1</v>
      </c>
    </row>
    <row r="15" spans="1:29" ht="99.75">
      <c r="A15" s="419" t="s">
        <v>2364</v>
      </c>
      <c r="B15" s="26" t="s">
        <v>1739</v>
      </c>
      <c r="C15" s="2402" t="str">
        <f>估价对象房地状况!C3</f>
        <v>估价对象周边有万方景轩、新纪家园、曙光里、凤凰城、西坝河东里，综合评价居住社区成熟度较好。</v>
      </c>
      <c r="D15" s="420">
        <v>100</v>
      </c>
      <c r="E15" s="2755" t="s">
        <v>2860</v>
      </c>
      <c r="F15" s="422">
        <f>SUMIF(76:76,E16,77:77)-SUMIF(76:76,C16,77:77)+100</f>
        <v>100</v>
      </c>
      <c r="G15" s="2755" t="s">
        <v>2860</v>
      </c>
      <c r="H15" s="420">
        <f>SUMIF(76:76,G16,77:77)-SUMIF(76:76,C16,77:77)+100</f>
        <v>100</v>
      </c>
      <c r="I15" s="2755" t="s">
        <v>2860</v>
      </c>
      <c r="J15" s="420">
        <f>SUMIF(76:76,I16,77:77)-SUMIF(76:76,C16,77:77)+100</f>
        <v>100</v>
      </c>
      <c r="K15" s="424">
        <v>1</v>
      </c>
      <c r="L15" s="1253"/>
      <c r="M15" s="1244"/>
      <c r="N15" s="1244"/>
      <c r="O15" s="1244"/>
      <c r="P15" s="3030" t="s">
        <v>2365</v>
      </c>
      <c r="Q15" s="1899" t="str">
        <f t="shared" si="6"/>
        <v>居住社区成熟度</v>
      </c>
      <c r="R15" s="753" t="s">
        <v>28</v>
      </c>
      <c r="S15" s="754">
        <f t="shared" si="0"/>
        <v>100</v>
      </c>
      <c r="T15" s="753" t="s">
        <v>28</v>
      </c>
      <c r="U15" s="754">
        <f t="shared" si="1"/>
        <v>100</v>
      </c>
      <c r="V15" s="753" t="s">
        <v>28</v>
      </c>
      <c r="W15" s="754">
        <f t="shared" si="2"/>
        <v>100</v>
      </c>
      <c r="X15" s="1900"/>
      <c r="Y15" s="3032"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31"/>
      <c r="Q16" s="1899"/>
      <c r="R16" s="753"/>
      <c r="S16" s="754"/>
      <c r="T16" s="753"/>
      <c r="U16" s="754"/>
      <c r="V16" s="753"/>
      <c r="W16" s="754"/>
      <c r="X16" s="1900"/>
      <c r="Y16" s="3033"/>
      <c r="Z16" s="1902"/>
      <c r="AA16" s="1903">
        <v>1</v>
      </c>
      <c r="AB16" s="1903">
        <v>1</v>
      </c>
      <c r="AC16" s="1903">
        <v>1</v>
      </c>
    </row>
    <row r="17" spans="1:29" ht="117" customHeight="1">
      <c r="A17" s="408"/>
      <c r="B17" s="431" t="s">
        <v>1749</v>
      </c>
      <c r="C17" s="2405" t="str">
        <f>估价对象房地状况!C6</f>
        <v>估价对象紧邻城市主干道—曙光西路，有132路、467路、515路等多条公交线路及地铁10号线太阳宫站通过，交通便捷度较好。</v>
      </c>
      <c r="D17" s="430">
        <v>100</v>
      </c>
      <c r="E17" s="2756" t="s">
        <v>2862</v>
      </c>
      <c r="F17" s="433">
        <f>SUMIF(78:78,E18,79:79)-SUMIF(78:78,C18,79:79)+100</f>
        <v>100</v>
      </c>
      <c r="G17" s="2756" t="s">
        <v>2862</v>
      </c>
      <c r="H17" s="435">
        <f>SUMIF(78:78,G18,79:79)-SUMIF(78:78,C18,79:79)+100</f>
        <v>100</v>
      </c>
      <c r="I17" s="2756" t="s">
        <v>2862</v>
      </c>
      <c r="J17" s="435">
        <f>SUMIF(78:78,I18,79:79)-SUMIF(78:78,C18,79:79)+100</f>
        <v>100</v>
      </c>
      <c r="K17" s="424">
        <v>1</v>
      </c>
      <c r="L17" s="1253"/>
      <c r="M17" s="1244"/>
      <c r="N17" s="1244"/>
      <c r="O17" s="1244"/>
      <c r="P17" s="3031"/>
      <c r="Q17" s="1899" t="str">
        <f>B17</f>
        <v>交通便捷度</v>
      </c>
      <c r="R17" s="753" t="s">
        <v>28</v>
      </c>
      <c r="S17" s="754">
        <f>F17</f>
        <v>100</v>
      </c>
      <c r="T17" s="753" t="s">
        <v>28</v>
      </c>
      <c r="U17" s="754">
        <f>H17</f>
        <v>100</v>
      </c>
      <c r="V17" s="753" t="s">
        <v>28</v>
      </c>
      <c r="W17" s="754">
        <f>J17</f>
        <v>100</v>
      </c>
      <c r="X17" s="1900"/>
      <c r="Y17" s="3033"/>
      <c r="Z17" s="1902" t="str">
        <f>Q17</f>
        <v>交通便捷度</v>
      </c>
      <c r="AA17" s="1903">
        <f t="shared" si="3"/>
        <v>1</v>
      </c>
      <c r="AB17" s="1903">
        <f t="shared" si="4"/>
        <v>1</v>
      </c>
      <c r="AC17" s="1903">
        <f t="shared" si="5"/>
        <v>1</v>
      </c>
    </row>
    <row r="18" spans="1:29" ht="15">
      <c r="A18" s="408"/>
      <c r="B18" s="436"/>
      <c r="C18" s="428" t="s">
        <v>30</v>
      </c>
      <c r="D18" s="430"/>
      <c r="E18" s="428" t="s">
        <v>30</v>
      </c>
      <c r="F18" s="433"/>
      <c r="G18" s="428" t="s">
        <v>30</v>
      </c>
      <c r="H18" s="427"/>
      <c r="I18" s="428" t="s">
        <v>30</v>
      </c>
      <c r="J18" s="427"/>
      <c r="K18" s="2404"/>
      <c r="L18" s="1253"/>
      <c r="M18" s="1244"/>
      <c r="N18" s="1244"/>
      <c r="O18" s="1244"/>
      <c r="P18" s="3031"/>
      <c r="Q18" s="1899"/>
      <c r="R18" s="753"/>
      <c r="S18" s="754"/>
      <c r="T18" s="753"/>
      <c r="U18" s="754"/>
      <c r="V18" s="753"/>
      <c r="W18" s="754"/>
      <c r="X18" s="1900"/>
      <c r="Y18" s="3033"/>
      <c r="Z18" s="1902"/>
      <c r="AA18" s="1903">
        <v>1</v>
      </c>
      <c r="AB18" s="1903">
        <v>1</v>
      </c>
      <c r="AC18" s="1903">
        <v>1</v>
      </c>
    </row>
    <row r="19" spans="1:29" ht="42.75">
      <c r="A19" s="408"/>
      <c r="B19" s="431" t="s">
        <v>1747</v>
      </c>
      <c r="C19" s="2405" t="str">
        <f>估价对象房地状况!C7</f>
        <v>估价对象所在区域公共配套设施较好</v>
      </c>
      <c r="D19" s="435">
        <v>100</v>
      </c>
      <c r="E19" s="2756" t="s">
        <v>2863</v>
      </c>
      <c r="F19" s="439">
        <f>SUMIF(80:80,E20,81:81)-SUMIF(80:80,C20,81:81)+100</f>
        <v>100</v>
      </c>
      <c r="G19" s="2756" t="s">
        <v>2863</v>
      </c>
      <c r="H19" s="430">
        <f>SUMIF(80:80,G20,81:81)-SUMIF(80:80,C20,81:81)+100</f>
        <v>100</v>
      </c>
      <c r="I19" s="2756" t="s">
        <v>2863</v>
      </c>
      <c r="J19" s="430">
        <f>SUMIF(80:80,I20,81:81)-SUMIF(80:80,C20,81:81)+100</f>
        <v>100</v>
      </c>
      <c r="K19" s="424">
        <v>1</v>
      </c>
      <c r="L19" s="1253"/>
      <c r="M19" s="1244"/>
      <c r="N19" s="1244"/>
      <c r="O19" s="1244"/>
      <c r="P19" s="3031"/>
      <c r="Q19" s="1899" t="str">
        <f>B19</f>
        <v>公共配套设施</v>
      </c>
      <c r="R19" s="753" t="s">
        <v>28</v>
      </c>
      <c r="S19" s="754">
        <f>F19</f>
        <v>100</v>
      </c>
      <c r="T19" s="753" t="s">
        <v>28</v>
      </c>
      <c r="U19" s="754">
        <f>H19</f>
        <v>100</v>
      </c>
      <c r="V19" s="753" t="s">
        <v>28</v>
      </c>
      <c r="W19" s="754">
        <f>J19</f>
        <v>100</v>
      </c>
      <c r="X19" s="1900"/>
      <c r="Y19" s="3033"/>
      <c r="Z19" s="1902" t="str">
        <f>Q19</f>
        <v>公共配套设施</v>
      </c>
      <c r="AA19" s="1903">
        <f t="shared" si="3"/>
        <v>1</v>
      </c>
      <c r="AB19" s="1903">
        <f t="shared" si="4"/>
        <v>1</v>
      </c>
      <c r="AC19" s="1903">
        <f t="shared" si="5"/>
        <v>1</v>
      </c>
    </row>
    <row r="20" spans="1:29" ht="15">
      <c r="A20" s="408"/>
      <c r="B20" s="436"/>
      <c r="C20" s="426" t="s">
        <v>30</v>
      </c>
      <c r="D20" s="427"/>
      <c r="E20" s="428" t="s">
        <v>30</v>
      </c>
      <c r="F20" s="429"/>
      <c r="G20" s="428" t="s">
        <v>30</v>
      </c>
      <c r="H20" s="427"/>
      <c r="I20" s="428" t="s">
        <v>30</v>
      </c>
      <c r="J20" s="427"/>
      <c r="K20" s="2404"/>
      <c r="L20" s="1253"/>
      <c r="M20" s="1244"/>
      <c r="N20" s="1244"/>
      <c r="O20" s="1244"/>
      <c r="P20" s="3031"/>
      <c r="Q20" s="1899"/>
      <c r="R20" s="753"/>
      <c r="S20" s="754"/>
      <c r="T20" s="753"/>
      <c r="U20" s="754"/>
      <c r="V20" s="753"/>
      <c r="W20" s="754"/>
      <c r="X20" s="1900"/>
      <c r="Y20" s="3033"/>
      <c r="Z20" s="1902"/>
      <c r="AA20" s="1903">
        <v>1</v>
      </c>
      <c r="AB20" s="1903">
        <v>1</v>
      </c>
      <c r="AC20" s="1903">
        <v>1</v>
      </c>
    </row>
    <row r="21" spans="1:29" ht="15">
      <c r="A21" s="408"/>
      <c r="B21" s="2407" t="s">
        <v>1750</v>
      </c>
      <c r="C21" s="2405" t="str">
        <f>估价对象房地状况!C8</f>
        <v>七通一平</v>
      </c>
      <c r="D21" s="435">
        <v>100</v>
      </c>
      <c r="E21" s="2756" t="s">
        <v>2864</v>
      </c>
      <c r="F21" s="439">
        <f>SUMIF(82:82,E22,83:83)-SUMIF(82:82,C22,83:83)+100</f>
        <v>100</v>
      </c>
      <c r="G21" s="2756" t="s">
        <v>2864</v>
      </c>
      <c r="H21" s="430">
        <f>SUMIF(82:82,G22,83:83)-SUMIF(82:82,C22,83:83)+100</f>
        <v>100</v>
      </c>
      <c r="I21" s="2756" t="s">
        <v>2864</v>
      </c>
      <c r="J21" s="430">
        <f>SUMIF(82:82,I22,83:83)-SUMIF(82:82,C22,83:83)+100</f>
        <v>100</v>
      </c>
      <c r="K21" s="424">
        <v>1</v>
      </c>
      <c r="L21" s="1253"/>
      <c r="M21" s="1244"/>
      <c r="N21" s="1244"/>
      <c r="O21" s="1244"/>
      <c r="P21" s="3031"/>
      <c r="Q21" s="1899" t="str">
        <f>B21</f>
        <v>基础设施水平</v>
      </c>
      <c r="R21" s="753" t="s">
        <v>28</v>
      </c>
      <c r="S21" s="754">
        <f>F21</f>
        <v>100</v>
      </c>
      <c r="T21" s="753" t="s">
        <v>28</v>
      </c>
      <c r="U21" s="754">
        <f>H21</f>
        <v>100</v>
      </c>
      <c r="V21" s="753" t="s">
        <v>28</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7"/>
      <c r="C22" s="437" t="s">
        <v>2867</v>
      </c>
      <c r="D22" s="427"/>
      <c r="E22" s="437" t="s">
        <v>2867</v>
      </c>
      <c r="F22" s="429"/>
      <c r="G22" s="437" t="s">
        <v>2867</v>
      </c>
      <c r="H22" s="427"/>
      <c r="I22" s="437" t="s">
        <v>2867</v>
      </c>
      <c r="J22" s="427"/>
      <c r="K22" s="2408"/>
      <c r="L22" s="1253"/>
      <c r="M22" s="1244"/>
      <c r="N22" s="1244"/>
      <c r="O22" s="1244"/>
      <c r="P22" s="3031"/>
      <c r="Q22" s="1899"/>
      <c r="R22" s="753"/>
      <c r="S22" s="754"/>
      <c r="T22" s="753"/>
      <c r="U22" s="754"/>
      <c r="V22" s="753"/>
      <c r="W22" s="754"/>
      <c r="X22" s="1900"/>
      <c r="Y22" s="3033"/>
      <c r="Z22" s="1902"/>
      <c r="AA22" s="1903">
        <v>1</v>
      </c>
      <c r="AB22" s="1903">
        <v>1</v>
      </c>
      <c r="AC22" s="1903">
        <v>1</v>
      </c>
    </row>
    <row r="23" spans="1:29" ht="122.25" customHeight="1">
      <c r="A23" s="408"/>
      <c r="B23" s="431" t="s">
        <v>1754</v>
      </c>
      <c r="C23" s="2405" t="str">
        <f>估价对象房地状况!C9</f>
        <v>自然环境：太阳宫公园、金隅南湖公园、坝河等；人文环境：北京中医药大学、中央美术学院、园林科技研究所等；综合评价环境状况较好。</v>
      </c>
      <c r="D23" s="430">
        <v>100</v>
      </c>
      <c r="E23" s="2757" t="s">
        <v>2865</v>
      </c>
      <c r="F23" s="433">
        <f>SUMIF(84:84,E24,85:85)-SUMIF(84:84,C24,85:85)+100</f>
        <v>100</v>
      </c>
      <c r="G23" s="2757" t="s">
        <v>2865</v>
      </c>
      <c r="H23" s="430">
        <f>SUMIF(84:84,G24,85:85)-SUMIF(84:84,C24,85:85)+100</f>
        <v>100</v>
      </c>
      <c r="I23" s="2757" t="s">
        <v>2865</v>
      </c>
      <c r="J23" s="430">
        <f>SUMIF(84:84,I24,85:85)-SUMIF(84:84,C24,85:85)+100</f>
        <v>100</v>
      </c>
      <c r="K23" s="424">
        <v>1</v>
      </c>
      <c r="L23" s="1253"/>
      <c r="M23" s="1244"/>
      <c r="N23" s="1244"/>
      <c r="O23" s="1244"/>
      <c r="P23" s="3031"/>
      <c r="Q23" s="1899" t="str">
        <f>B23</f>
        <v>自然及人文环境</v>
      </c>
      <c r="R23" s="753" t="s">
        <v>28</v>
      </c>
      <c r="S23" s="754">
        <f>F23</f>
        <v>100</v>
      </c>
      <c r="T23" s="753" t="s">
        <v>28</v>
      </c>
      <c r="U23" s="754">
        <f>H23</f>
        <v>100</v>
      </c>
      <c r="V23" s="753" t="s">
        <v>28</v>
      </c>
      <c r="W23" s="754">
        <f>J23</f>
        <v>100</v>
      </c>
      <c r="X23" s="1900"/>
      <c r="Y23" s="3033"/>
      <c r="Z23" s="1902" t="str">
        <f>Q23</f>
        <v>自然及人文环境</v>
      </c>
      <c r="AA23" s="1903">
        <f t="shared" si="3"/>
        <v>1</v>
      </c>
      <c r="AB23" s="1903">
        <f t="shared" si="4"/>
        <v>1</v>
      </c>
      <c r="AC23" s="1903">
        <f t="shared" si="5"/>
        <v>1</v>
      </c>
    </row>
    <row r="24" spans="1:29" ht="15">
      <c r="A24" s="408"/>
      <c r="B24" s="436"/>
      <c r="C24" s="426" t="s">
        <v>30</v>
      </c>
      <c r="D24" s="427"/>
      <c r="E24" s="428" t="s">
        <v>30</v>
      </c>
      <c r="F24" s="429"/>
      <c r="G24" s="428" t="s">
        <v>30</v>
      </c>
      <c r="H24" s="427"/>
      <c r="I24" s="428" t="s">
        <v>30</v>
      </c>
      <c r="J24" s="427"/>
      <c r="K24" s="2404"/>
      <c r="L24" s="1253"/>
      <c r="M24" s="1244"/>
      <c r="N24" s="1244"/>
      <c r="O24" s="1244"/>
      <c r="P24" s="3031"/>
      <c r="Q24" s="1899"/>
      <c r="R24" s="753"/>
      <c r="S24" s="754"/>
      <c r="T24" s="753"/>
      <c r="U24" s="754"/>
      <c r="V24" s="753"/>
      <c r="W24" s="754"/>
      <c r="X24" s="1900"/>
      <c r="Y24" s="3033"/>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31"/>
      <c r="Q25" s="1899" t="str">
        <f t="shared" ref="Q25:Q46" si="11">B25</f>
        <v>楼层-1</v>
      </c>
      <c r="R25" s="753" t="s">
        <v>28</v>
      </c>
      <c r="S25" s="754">
        <f>F25</f>
        <v>100</v>
      </c>
      <c r="T25" s="753" t="s">
        <v>28</v>
      </c>
      <c r="U25" s="754">
        <f>H25</f>
        <v>100</v>
      </c>
      <c r="V25" s="753" t="s">
        <v>28</v>
      </c>
      <c r="W25" s="754">
        <f>J25</f>
        <v>100</v>
      </c>
      <c r="X25" s="1900"/>
      <c r="Y25" s="3033"/>
      <c r="Z25" s="1902" t="str">
        <f>Q25</f>
        <v>楼层-1</v>
      </c>
      <c r="AA25" s="1903">
        <f t="shared" si="3"/>
        <v>1</v>
      </c>
      <c r="AB25" s="1903">
        <f t="shared" si="4"/>
        <v>1</v>
      </c>
      <c r="AC25" s="1903">
        <f t="shared" si="5"/>
        <v>1</v>
      </c>
    </row>
    <row r="26" spans="1:29" ht="15">
      <c r="A26" s="408"/>
      <c r="B26" s="402" t="s">
        <v>2367</v>
      </c>
      <c r="C26" s="3119" t="s">
        <v>2868</v>
      </c>
      <c r="D26" s="415">
        <v>100</v>
      </c>
      <c r="E26" s="3128" t="s">
        <v>2900</v>
      </c>
      <c r="F26" s="442">
        <f>SUMIF(88:88,E26,89:89)-SUMIF(88:88,C26,89:89)+100</f>
        <v>98.5</v>
      </c>
      <c r="G26" s="3129" t="s">
        <v>2908</v>
      </c>
      <c r="H26" s="415">
        <f>SUMIF(88:88,G26,89:89)-SUMIF(88:88,C26,89:89)+100</f>
        <v>97</v>
      </c>
      <c r="I26" s="3128" t="s">
        <v>2901</v>
      </c>
      <c r="J26" s="415">
        <f>SUMIF(88:88,I26,89:89)-SUMIF(88:88,C26,89:89)+100</f>
        <v>97</v>
      </c>
      <c r="K26" s="406">
        <v>1.5</v>
      </c>
      <c r="L26" s="1253"/>
      <c r="M26" s="1244"/>
      <c r="N26" s="1244"/>
      <c r="O26" s="1244"/>
      <c r="P26" s="3031"/>
      <c r="Q26" s="1899" t="str">
        <f t="shared" si="11"/>
        <v>朝向</v>
      </c>
      <c r="R26" s="753" t="s">
        <v>28</v>
      </c>
      <c r="S26" s="754">
        <f>F26</f>
        <v>98.5</v>
      </c>
      <c r="T26" s="753" t="s">
        <v>28</v>
      </c>
      <c r="U26" s="754">
        <f>H26</f>
        <v>97</v>
      </c>
      <c r="V26" s="753" t="s">
        <v>28</v>
      </c>
      <c r="W26" s="754">
        <f>J26</f>
        <v>97</v>
      </c>
      <c r="X26" s="1900"/>
      <c r="Y26" s="3033"/>
      <c r="Z26" s="1902" t="str">
        <f>Q26</f>
        <v>朝向</v>
      </c>
      <c r="AA26" s="1903">
        <f t="shared" si="3"/>
        <v>1.015228426395939</v>
      </c>
      <c r="AB26" s="1903">
        <f t="shared" si="4"/>
        <v>1.0309278350515463</v>
      </c>
      <c r="AC26" s="1903">
        <f t="shared" si="5"/>
        <v>1.0309278350515463</v>
      </c>
    </row>
    <row r="27" spans="1:29" s="35" customFormat="1" ht="27">
      <c r="A27" s="411"/>
      <c r="B27" s="2398" t="s">
        <v>2368</v>
      </c>
      <c r="C27" s="3120" t="s">
        <v>2869</v>
      </c>
      <c r="D27" s="443">
        <v>100</v>
      </c>
      <c r="E27" s="3120" t="s">
        <v>2869</v>
      </c>
      <c r="F27" s="445">
        <f>SUMIF(90:90,E27,91:91)-SUMIF(90:90,C27,91:91)+100</f>
        <v>100</v>
      </c>
      <c r="G27" s="3120" t="s">
        <v>2869</v>
      </c>
      <c r="H27" s="443">
        <f>SUMIF(90:90,G27,91:91)-SUMIF(90:90,C27,91:91)+100</f>
        <v>100</v>
      </c>
      <c r="I27" s="3120" t="s">
        <v>2869</v>
      </c>
      <c r="J27" s="443">
        <f>SUMIF(90:90,I27,91:91)-SUMIF(90:90,C27,91:91)+100</f>
        <v>100</v>
      </c>
      <c r="K27" s="2399"/>
      <c r="L27" s="1245"/>
      <c r="M27" s="1246"/>
      <c r="N27" s="1246"/>
      <c r="O27" s="1246"/>
      <c r="P27" s="3031"/>
      <c r="Q27" s="1887" t="str">
        <f t="shared" si="11"/>
        <v>道路级别</v>
      </c>
      <c r="R27" s="749" t="s">
        <v>28</v>
      </c>
      <c r="S27" s="750">
        <f>F27</f>
        <v>100</v>
      </c>
      <c r="T27" s="749" t="s">
        <v>28</v>
      </c>
      <c r="U27" s="750">
        <f>H27</f>
        <v>100</v>
      </c>
      <c r="V27" s="749" t="s">
        <v>28</v>
      </c>
      <c r="W27" s="750">
        <f>J27</f>
        <v>100</v>
      </c>
      <c r="X27" s="751"/>
      <c r="Y27" s="3033"/>
      <c r="Z27" s="23" t="str">
        <f>Q27</f>
        <v>道路级别</v>
      </c>
      <c r="AA27" s="1903">
        <f>D27/F27</f>
        <v>1</v>
      </c>
      <c r="AB27" s="1903">
        <f>D27/H27</f>
        <v>1</v>
      </c>
      <c r="AC27" s="1903">
        <f>D27/J27</f>
        <v>1</v>
      </c>
    </row>
    <row r="28" spans="1:29" ht="15.75" thickBot="1">
      <c r="A28" s="408"/>
      <c r="B28" s="3121" t="s">
        <v>2870</v>
      </c>
      <c r="C28" s="3130" t="s">
        <v>2904</v>
      </c>
      <c r="D28" s="415">
        <v>100</v>
      </c>
      <c r="E28" s="414" t="s">
        <v>2902</v>
      </c>
      <c r="F28" s="442">
        <f>SUMIF(92:92,E28,93:93)-SUMIF(92:92,C28,93:93)+100</f>
        <v>100</v>
      </c>
      <c r="G28" s="414" t="s">
        <v>2907</v>
      </c>
      <c r="H28" s="415">
        <f>SUMIF(92:92,G28,93:93)-SUMIF(92:92,C28,93:93)+100</f>
        <v>102</v>
      </c>
      <c r="I28" s="414" t="s">
        <v>2903</v>
      </c>
      <c r="J28" s="415">
        <f>SUMIF(92:92,I28,93:93)-SUMIF(92:92,C28,93:93)+100</f>
        <v>101</v>
      </c>
      <c r="K28" s="2399"/>
      <c r="L28" s="1253"/>
      <c r="M28" s="1244"/>
      <c r="N28" s="1244"/>
      <c r="O28" s="1244"/>
      <c r="P28" s="3031"/>
      <c r="Q28" s="1899" t="str">
        <f t="shared" si="11"/>
        <v>楼层</v>
      </c>
      <c r="R28" s="753" t="s">
        <v>28</v>
      </c>
      <c r="S28" s="754">
        <f t="shared" ref="S28:S46" si="12">F28</f>
        <v>100</v>
      </c>
      <c r="T28" s="753" t="s">
        <v>28</v>
      </c>
      <c r="U28" s="754">
        <f t="shared" ref="U28:U46" si="13">H28</f>
        <v>102</v>
      </c>
      <c r="V28" s="753" t="s">
        <v>28</v>
      </c>
      <c r="W28" s="754">
        <f t="shared" ref="W28:W46" si="14">J28</f>
        <v>101</v>
      </c>
      <c r="X28" s="1900"/>
      <c r="Y28" s="3033"/>
      <c r="Z28" s="1902" t="str">
        <f t="shared" ref="Z28:Z46" si="15">Q28</f>
        <v>楼层</v>
      </c>
      <c r="AA28" s="1903">
        <f t="shared" si="3"/>
        <v>1</v>
      </c>
      <c r="AB28" s="1903">
        <f t="shared" si="4"/>
        <v>0.98039215686274506</v>
      </c>
      <c r="AC28" s="1903">
        <f t="shared" si="5"/>
        <v>0.99009900990099009</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31"/>
      <c r="Q29" s="1899">
        <f t="shared" si="11"/>
        <v>111</v>
      </c>
      <c r="R29" s="753" t="s">
        <v>28</v>
      </c>
      <c r="S29" s="754">
        <f t="shared" si="12"/>
        <v>100</v>
      </c>
      <c r="T29" s="753" t="s">
        <v>28</v>
      </c>
      <c r="U29" s="754">
        <f t="shared" si="13"/>
        <v>100</v>
      </c>
      <c r="V29" s="753" t="s">
        <v>28</v>
      </c>
      <c r="W29" s="754">
        <f t="shared" si="14"/>
        <v>100</v>
      </c>
      <c r="X29" s="1900"/>
      <c r="Y29" s="3033"/>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31"/>
      <c r="Q30" s="1899">
        <f t="shared" si="11"/>
        <v>111</v>
      </c>
      <c r="R30" s="753" t="s">
        <v>28</v>
      </c>
      <c r="S30" s="754">
        <f t="shared" si="12"/>
        <v>100</v>
      </c>
      <c r="T30" s="753" t="s">
        <v>28</v>
      </c>
      <c r="U30" s="754">
        <f t="shared" si="13"/>
        <v>100</v>
      </c>
      <c r="V30" s="753" t="s">
        <v>28</v>
      </c>
      <c r="W30" s="754">
        <f t="shared" si="14"/>
        <v>100</v>
      </c>
      <c r="X30" s="1900"/>
      <c r="Y30" s="3033"/>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31"/>
      <c r="Q31" s="1899">
        <f t="shared" si="11"/>
        <v>111</v>
      </c>
      <c r="R31" s="753" t="s">
        <v>28</v>
      </c>
      <c r="S31" s="754">
        <f t="shared" si="12"/>
        <v>100</v>
      </c>
      <c r="T31" s="753" t="s">
        <v>28</v>
      </c>
      <c r="U31" s="754">
        <f t="shared" si="13"/>
        <v>100</v>
      </c>
      <c r="V31" s="753" t="s">
        <v>28</v>
      </c>
      <c r="W31" s="754">
        <f t="shared" si="14"/>
        <v>100</v>
      </c>
      <c r="X31" s="1900"/>
      <c r="Y31" s="3033"/>
      <c r="Z31" s="1902">
        <f t="shared" si="15"/>
        <v>111</v>
      </c>
      <c r="AA31" s="1903">
        <f t="shared" si="3"/>
        <v>1</v>
      </c>
      <c r="AB31" s="1903">
        <f t="shared" si="4"/>
        <v>1</v>
      </c>
      <c r="AC31" s="1903">
        <f t="shared" si="5"/>
        <v>1</v>
      </c>
    </row>
    <row r="32" spans="1:29" ht="15">
      <c r="A32" s="419" t="s">
        <v>2369</v>
      </c>
      <c r="B32" s="28" t="s">
        <v>2370</v>
      </c>
      <c r="C32" s="2412" t="s">
        <v>2896</v>
      </c>
      <c r="D32" s="448">
        <v>100</v>
      </c>
      <c r="E32" s="2413" t="s">
        <v>2905</v>
      </c>
      <c r="F32" s="442">
        <f>SUMIF(100:100,E32,101:101)-SUMIF(100:100,C32,101:101)+100</f>
        <v>98</v>
      </c>
      <c r="G32" s="2413" t="s">
        <v>2905</v>
      </c>
      <c r="H32" s="448">
        <f>SUMIF(100:100,G32,101:101)-SUMIF(100:100,C32,101:101)+100</f>
        <v>98</v>
      </c>
      <c r="I32" s="2413" t="s">
        <v>2905</v>
      </c>
      <c r="J32" s="415">
        <f>SUMIF(100:100,I32,101:101)-SUMIF(100:100,C32,101:101)+100</f>
        <v>98</v>
      </c>
      <c r="K32" s="406">
        <v>2</v>
      </c>
      <c r="L32" s="1253"/>
      <c r="M32" s="1244"/>
      <c r="N32" s="1244"/>
      <c r="O32" s="1244"/>
      <c r="P32" s="3034" t="s">
        <v>2371</v>
      </c>
      <c r="Q32" s="1899" t="str">
        <f t="shared" si="11"/>
        <v>建筑类型</v>
      </c>
      <c r="R32" s="753" t="s">
        <v>28</v>
      </c>
      <c r="S32" s="754">
        <f t="shared" si="12"/>
        <v>98</v>
      </c>
      <c r="T32" s="753" t="s">
        <v>28</v>
      </c>
      <c r="U32" s="754">
        <f t="shared" si="13"/>
        <v>98</v>
      </c>
      <c r="V32" s="753" t="s">
        <v>28</v>
      </c>
      <c r="W32" s="754">
        <f t="shared" si="14"/>
        <v>98</v>
      </c>
      <c r="X32" s="1900"/>
      <c r="Y32" s="3037" t="s">
        <v>2371</v>
      </c>
      <c r="Z32" s="1902" t="str">
        <f t="shared" si="15"/>
        <v>建筑类型</v>
      </c>
      <c r="AA32" s="1903">
        <f t="shared" si="3"/>
        <v>1.0204081632653061</v>
      </c>
      <c r="AB32" s="1903">
        <f t="shared" si="4"/>
        <v>1.0204081632653061</v>
      </c>
      <c r="AC32" s="1903">
        <f t="shared" si="5"/>
        <v>1.0204081632653061</v>
      </c>
    </row>
    <row r="33" spans="1:29" s="452" customFormat="1" ht="15" hidden="1">
      <c r="A33" s="449"/>
      <c r="B33" s="402" t="s">
        <v>2372</v>
      </c>
      <c r="C33" s="450">
        <v>187.16</v>
      </c>
      <c r="D33" s="52">
        <v>100</v>
      </c>
      <c r="E33" s="410">
        <v>102.05</v>
      </c>
      <c r="F33" s="405">
        <f>LOOKUP(E33,103:103,104:104)-LOOKUP(C33,103:103,104:104)+100</f>
        <v>100</v>
      </c>
      <c r="G33" s="409">
        <v>139.13999999999999</v>
      </c>
      <c r="H33" s="52">
        <f>LOOKUP(G33,103:103,104:104)-LOOKUP(C33,103:103,104:104)+100</f>
        <v>100</v>
      </c>
      <c r="I33" s="410">
        <v>76.08</v>
      </c>
      <c r="J33" s="52">
        <f>LOOKUP(I33,103:103,104:104)-LOOKUP(C33,103:103,104:104)+100</f>
        <v>100</v>
      </c>
      <c r="K33" s="2399"/>
      <c r="L33" s="1251"/>
      <c r="M33" s="1254"/>
      <c r="N33" s="1254"/>
      <c r="O33" s="1254"/>
      <c r="P33" s="3035"/>
      <c r="Q33" s="755" t="str">
        <f t="shared" si="11"/>
        <v>项目建筑规模</v>
      </c>
      <c r="R33" s="756" t="s">
        <v>28</v>
      </c>
      <c r="S33" s="757">
        <f t="shared" si="12"/>
        <v>100</v>
      </c>
      <c r="T33" s="756" t="s">
        <v>28</v>
      </c>
      <c r="U33" s="757">
        <f t="shared" si="13"/>
        <v>100</v>
      </c>
      <c r="V33" s="756" t="s">
        <v>28</v>
      </c>
      <c r="W33" s="757">
        <f t="shared" si="14"/>
        <v>100</v>
      </c>
      <c r="X33" s="758"/>
      <c r="Y33" s="3037"/>
      <c r="Z33" s="759" t="str">
        <f t="shared" si="15"/>
        <v>项目建筑规模</v>
      </c>
      <c r="AA33" s="1903">
        <f t="shared" si="3"/>
        <v>1</v>
      </c>
      <c r="AB33" s="1903">
        <f t="shared" si="4"/>
        <v>1</v>
      </c>
      <c r="AC33" s="1903">
        <f t="shared" si="5"/>
        <v>1</v>
      </c>
    </row>
    <row r="34" spans="1:29" ht="15">
      <c r="A34" s="453"/>
      <c r="B34" s="402" t="s">
        <v>2373</v>
      </c>
      <c r="C34" s="2414" t="s">
        <v>2849</v>
      </c>
      <c r="D34" s="415">
        <v>100</v>
      </c>
      <c r="E34" s="2414" t="s">
        <v>2849</v>
      </c>
      <c r="F34" s="442">
        <f>SUMIF(105:105,E34,106:106)-SUMIF(105:105,C34,106:106)+100</f>
        <v>100</v>
      </c>
      <c r="G34" s="2414" t="s">
        <v>2849</v>
      </c>
      <c r="H34" s="415">
        <f>SUMIF(105:105,G34,106:106)-SUMIF(105:105,C34,106:106)+100</f>
        <v>100</v>
      </c>
      <c r="I34" s="2414" t="s">
        <v>2849</v>
      </c>
      <c r="J34" s="415">
        <f>SUMIF(105:105,I34,106:106)-SUMIF(105:105,C34,106:106)+100</f>
        <v>100</v>
      </c>
      <c r="K34" s="406"/>
      <c r="L34" s="1253"/>
      <c r="M34" s="1244"/>
      <c r="N34" s="1244"/>
      <c r="O34" s="1244"/>
      <c r="P34" s="3035"/>
      <c r="Q34" s="1899" t="str">
        <f t="shared" si="11"/>
        <v>建筑结构</v>
      </c>
      <c r="R34" s="753" t="s">
        <v>28</v>
      </c>
      <c r="S34" s="754">
        <f t="shared" si="12"/>
        <v>100</v>
      </c>
      <c r="T34" s="753" t="s">
        <v>28</v>
      </c>
      <c r="U34" s="754">
        <f t="shared" si="13"/>
        <v>100</v>
      </c>
      <c r="V34" s="753" t="s">
        <v>28</v>
      </c>
      <c r="W34" s="754">
        <f t="shared" si="14"/>
        <v>100</v>
      </c>
      <c r="X34" s="1900"/>
      <c r="Y34" s="3037"/>
      <c r="Z34" s="1902" t="str">
        <f t="shared" si="15"/>
        <v>建筑结构</v>
      </c>
      <c r="AA34" s="1903">
        <f t="shared" si="3"/>
        <v>1</v>
      </c>
      <c r="AB34" s="1903">
        <f t="shared" si="4"/>
        <v>1</v>
      </c>
      <c r="AC34" s="1903">
        <f t="shared" si="5"/>
        <v>1</v>
      </c>
    </row>
    <row r="35" spans="1:29" ht="15" hidden="1">
      <c r="A35" s="453"/>
      <c r="B35" s="402" t="s">
        <v>2374</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35"/>
      <c r="Q35" s="1899" t="str">
        <f t="shared" si="11"/>
        <v>建筑品质</v>
      </c>
      <c r="R35" s="753" t="s">
        <v>28</v>
      </c>
      <c r="S35" s="754">
        <f t="shared" si="12"/>
        <v>100</v>
      </c>
      <c r="T35" s="753" t="s">
        <v>28</v>
      </c>
      <c r="U35" s="754">
        <f t="shared" si="13"/>
        <v>100</v>
      </c>
      <c r="V35" s="753" t="s">
        <v>28</v>
      </c>
      <c r="W35" s="754">
        <f t="shared" si="14"/>
        <v>100</v>
      </c>
      <c r="X35" s="1900"/>
      <c r="Y35" s="3037"/>
      <c r="Z35" s="1902" t="str">
        <f t="shared" si="15"/>
        <v>建筑品质</v>
      </c>
      <c r="AA35" s="1903">
        <f t="shared" si="3"/>
        <v>1</v>
      </c>
      <c r="AB35" s="1903">
        <f t="shared" si="4"/>
        <v>1</v>
      </c>
      <c r="AC35" s="1903">
        <f t="shared" si="5"/>
        <v>1</v>
      </c>
    </row>
    <row r="36" spans="1:29" ht="15">
      <c r="A36" s="453"/>
      <c r="B36" s="402" t="s">
        <v>2375</v>
      </c>
      <c r="C36" s="2410" t="s">
        <v>2897</v>
      </c>
      <c r="D36" s="415">
        <v>100</v>
      </c>
      <c r="E36" s="2410" t="s">
        <v>2897</v>
      </c>
      <c r="F36" s="442">
        <f>SUMIF(109:109,E36,110:110)-SUMIF(109:109,C36,110:110)+100</f>
        <v>100</v>
      </c>
      <c r="G36" s="2410" t="s">
        <v>2897</v>
      </c>
      <c r="H36" s="415">
        <f>SUMIF(109:109,G36,110:110)-SUMIF(109:109,C36,110:110)+100</f>
        <v>100</v>
      </c>
      <c r="I36" s="2410" t="s">
        <v>2897</v>
      </c>
      <c r="J36" s="415">
        <f>SUMIF(109:109,I36,110:110)-SUMIF(109:109,C36,110:110)+100</f>
        <v>100</v>
      </c>
      <c r="K36" s="406"/>
      <c r="L36" s="1253"/>
      <c r="M36" s="1244"/>
      <c r="N36" s="1244"/>
      <c r="O36" s="1244"/>
      <c r="P36" s="3035"/>
      <c r="Q36" s="1899" t="str">
        <f t="shared" si="11"/>
        <v>公共部分装修</v>
      </c>
      <c r="R36" s="753" t="s">
        <v>28</v>
      </c>
      <c r="S36" s="754">
        <f t="shared" si="12"/>
        <v>100</v>
      </c>
      <c r="T36" s="753" t="s">
        <v>28</v>
      </c>
      <c r="U36" s="754">
        <f t="shared" si="13"/>
        <v>100</v>
      </c>
      <c r="V36" s="753" t="s">
        <v>28</v>
      </c>
      <c r="W36" s="754">
        <f t="shared" si="14"/>
        <v>100</v>
      </c>
      <c r="X36" s="1900"/>
      <c r="Y36" s="3037"/>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35"/>
      <c r="Q37" s="1887" t="str">
        <f t="shared" si="11"/>
        <v>成新度</v>
      </c>
      <c r="R37" s="749" t="s">
        <v>28</v>
      </c>
      <c r="S37" s="750">
        <f t="shared" si="12"/>
        <v>100</v>
      </c>
      <c r="T37" s="749" t="s">
        <v>28</v>
      </c>
      <c r="U37" s="750">
        <f t="shared" si="13"/>
        <v>100</v>
      </c>
      <c r="V37" s="749" t="s">
        <v>28</v>
      </c>
      <c r="W37" s="750">
        <f t="shared" si="14"/>
        <v>100</v>
      </c>
      <c r="X37" s="751"/>
      <c r="Y37" s="3037"/>
      <c r="Z37" s="23" t="str">
        <f t="shared" si="15"/>
        <v>成新度</v>
      </c>
      <c r="AA37" s="752">
        <f t="shared" si="3"/>
        <v>1</v>
      </c>
      <c r="AB37" s="752">
        <f t="shared" si="4"/>
        <v>1</v>
      </c>
      <c r="AC37" s="752">
        <f t="shared" si="5"/>
        <v>1</v>
      </c>
    </row>
    <row r="38" spans="1:29" ht="28.5">
      <c r="A38" s="453"/>
      <c r="B38" s="402" t="s">
        <v>2377</v>
      </c>
      <c r="C38" s="2410" t="s">
        <v>2898</v>
      </c>
      <c r="D38" s="415">
        <v>100</v>
      </c>
      <c r="E38" s="2410" t="s">
        <v>2898</v>
      </c>
      <c r="F38" s="442">
        <f>SUMIF(114:114,E38,115:115)-SUMIF(114:114,C38,115:115)+100</f>
        <v>100</v>
      </c>
      <c r="G38" s="2410" t="s">
        <v>2898</v>
      </c>
      <c r="H38" s="415">
        <f>SUMIF(114:114,G38,115:115)-SUMIF(114:114,C38,115:115)+100</f>
        <v>100</v>
      </c>
      <c r="I38" s="2410" t="s">
        <v>2898</v>
      </c>
      <c r="J38" s="415">
        <f>SUMIF(114:114,I38,115:115)-SUMIF(114:114,C38,115:115)+100</f>
        <v>100</v>
      </c>
      <c r="K38" s="406"/>
      <c r="L38" s="1253"/>
      <c r="M38" s="1244"/>
      <c r="N38" s="1244"/>
      <c r="O38" s="1244"/>
      <c r="P38" s="3035" t="s">
        <v>2371</v>
      </c>
      <c r="Q38" s="1899" t="str">
        <f t="shared" si="11"/>
        <v>物业管理</v>
      </c>
      <c r="R38" s="753" t="s">
        <v>28</v>
      </c>
      <c r="S38" s="754">
        <f t="shared" si="12"/>
        <v>100</v>
      </c>
      <c r="T38" s="753" t="s">
        <v>28</v>
      </c>
      <c r="U38" s="754">
        <f t="shared" si="13"/>
        <v>100</v>
      </c>
      <c r="V38" s="753" t="s">
        <v>28</v>
      </c>
      <c r="W38" s="754">
        <f t="shared" si="14"/>
        <v>100</v>
      </c>
      <c r="X38" s="1900"/>
      <c r="Y38" s="3037" t="s">
        <v>2371</v>
      </c>
      <c r="Z38" s="1902" t="str">
        <f t="shared" si="15"/>
        <v>物业管理</v>
      </c>
      <c r="AA38" s="1903">
        <f t="shared" si="3"/>
        <v>1</v>
      </c>
      <c r="AB38" s="1903">
        <f t="shared" si="4"/>
        <v>1</v>
      </c>
      <c r="AC38" s="1903">
        <f t="shared" si="5"/>
        <v>1</v>
      </c>
    </row>
    <row r="39" spans="1:29" ht="15">
      <c r="A39" s="453"/>
      <c r="B39" s="402" t="s">
        <v>2378</v>
      </c>
      <c r="C39" s="2410" t="s">
        <v>2867</v>
      </c>
      <c r="D39" s="415">
        <v>100</v>
      </c>
      <c r="E39" s="2410" t="s">
        <v>2867</v>
      </c>
      <c r="F39" s="442">
        <f>SUMIF(116:116,E39,117:117)-SUMIF(116:116,C39,117:117)+100</f>
        <v>100</v>
      </c>
      <c r="G39" s="2410" t="s">
        <v>2867</v>
      </c>
      <c r="H39" s="415">
        <f>SUMIF(116:116,G39,117:117)-SUMIF(116:116,C39,117:117)+100</f>
        <v>100</v>
      </c>
      <c r="I39" s="2410" t="s">
        <v>2867</v>
      </c>
      <c r="J39" s="415">
        <f>SUMIF(116:116,I39,117:117)-SUMIF(116:116,C39,117:117)+100</f>
        <v>100</v>
      </c>
      <c r="K39" s="406"/>
      <c r="L39" s="1253"/>
      <c r="M39" s="1244"/>
      <c r="N39" s="1244"/>
      <c r="O39" s="1244"/>
      <c r="P39" s="3035"/>
      <c r="Q39" s="1899" t="str">
        <f t="shared" si="11"/>
        <v>市政基础设施</v>
      </c>
      <c r="R39" s="753" t="s">
        <v>28</v>
      </c>
      <c r="S39" s="754">
        <f t="shared" si="12"/>
        <v>100</v>
      </c>
      <c r="T39" s="753" t="s">
        <v>28</v>
      </c>
      <c r="U39" s="754">
        <f t="shared" si="13"/>
        <v>100</v>
      </c>
      <c r="V39" s="753" t="s">
        <v>28</v>
      </c>
      <c r="W39" s="754">
        <f t="shared" si="14"/>
        <v>100</v>
      </c>
      <c r="X39" s="1900"/>
      <c r="Y39" s="3037"/>
      <c r="Z39" s="1902" t="str">
        <f t="shared" si="15"/>
        <v>市政基础设施</v>
      </c>
      <c r="AA39" s="1903">
        <f t="shared" si="3"/>
        <v>1</v>
      </c>
      <c r="AB39" s="1903">
        <f t="shared" si="4"/>
        <v>1</v>
      </c>
      <c r="AC39" s="1903">
        <f t="shared" si="5"/>
        <v>1</v>
      </c>
    </row>
    <row r="40" spans="1:29" ht="15">
      <c r="A40" s="453"/>
      <c r="B40" s="402" t="s">
        <v>2379</v>
      </c>
      <c r="C40" s="2410" t="s">
        <v>2894</v>
      </c>
      <c r="D40" s="415">
        <v>100</v>
      </c>
      <c r="E40" s="2410" t="s">
        <v>2894</v>
      </c>
      <c r="F40" s="442">
        <f>SUMIF(118:118,E40,119:119)-SUMIF(118:118,C40,119:119)+100</f>
        <v>100</v>
      </c>
      <c r="G40" s="2410" t="s">
        <v>2894</v>
      </c>
      <c r="H40" s="415">
        <f>SUMIF(118:118,G40,119:119)-SUMIF(118:118,C40,119:119)+100</f>
        <v>100</v>
      </c>
      <c r="I40" s="2410" t="s">
        <v>2894</v>
      </c>
      <c r="J40" s="415">
        <f>SUMIF(118:118,I40,119:119)-SUMIF(118:118,C40,119:119)+100</f>
        <v>100</v>
      </c>
      <c r="K40" s="406"/>
      <c r="L40" s="1253"/>
      <c r="M40" s="1244"/>
      <c r="N40" s="1244"/>
      <c r="O40" s="1244"/>
      <c r="P40" s="3035"/>
      <c r="Q40" s="1899" t="str">
        <f t="shared" si="11"/>
        <v>房型</v>
      </c>
      <c r="R40" s="753" t="s">
        <v>28</v>
      </c>
      <c r="S40" s="754">
        <f t="shared" si="12"/>
        <v>100</v>
      </c>
      <c r="T40" s="753" t="s">
        <v>28</v>
      </c>
      <c r="U40" s="754">
        <f t="shared" si="13"/>
        <v>100</v>
      </c>
      <c r="V40" s="753" t="s">
        <v>28</v>
      </c>
      <c r="W40" s="754">
        <f t="shared" si="14"/>
        <v>100</v>
      </c>
      <c r="X40" s="1900"/>
      <c r="Y40" s="3037"/>
      <c r="Z40" s="1902" t="str">
        <f t="shared" si="15"/>
        <v>房型</v>
      </c>
      <c r="AA40" s="1903">
        <f t="shared" si="3"/>
        <v>1</v>
      </c>
      <c r="AB40" s="1903">
        <f t="shared" si="4"/>
        <v>1</v>
      </c>
      <c r="AC40" s="1903">
        <f t="shared" si="5"/>
        <v>1</v>
      </c>
    </row>
    <row r="41" spans="1:29" s="452" customFormat="1" ht="28.5">
      <c r="A41" s="449"/>
      <c r="B41" s="402" t="s">
        <v>2380</v>
      </c>
      <c r="C41" s="450">
        <v>187.16</v>
      </c>
      <c r="D41" s="52">
        <v>100</v>
      </c>
      <c r="E41" s="410">
        <v>102.05</v>
      </c>
      <c r="F41" s="405">
        <f>SUMIF(120:120,E41,121:121)-SUMIF(120:120,C41,121:121)+100</f>
        <v>103</v>
      </c>
      <c r="G41" s="409">
        <v>139.13999999999999</v>
      </c>
      <c r="H41" s="52">
        <f>SUMIF(120:120,G41,121:121)-SUMIF(120:120,C41,121:121)+100</f>
        <v>102</v>
      </c>
      <c r="I41" s="410">
        <v>76.08</v>
      </c>
      <c r="J41" s="415">
        <f>SUMIF(120:120,I41,121:121)-SUMIF(120:120,C41,121:121)+100</f>
        <v>105</v>
      </c>
      <c r="K41" s="2399"/>
      <c r="L41" s="1251"/>
      <c r="M41" s="1254"/>
      <c r="N41" s="1254"/>
      <c r="O41" s="1254"/>
      <c r="P41" s="3035"/>
      <c r="Q41" s="755" t="str">
        <f t="shared" si="11"/>
        <v>单套/主力户型建筑面积</v>
      </c>
      <c r="R41" s="756" t="s">
        <v>28</v>
      </c>
      <c r="S41" s="757">
        <f t="shared" si="12"/>
        <v>103</v>
      </c>
      <c r="T41" s="756" t="s">
        <v>28</v>
      </c>
      <c r="U41" s="757">
        <f t="shared" si="13"/>
        <v>102</v>
      </c>
      <c r="V41" s="756" t="s">
        <v>28</v>
      </c>
      <c r="W41" s="757">
        <f t="shared" si="14"/>
        <v>105</v>
      </c>
      <c r="X41" s="758"/>
      <c r="Y41" s="3037"/>
      <c r="Z41" s="759" t="str">
        <f t="shared" si="15"/>
        <v>单套/主力户型建筑面积</v>
      </c>
      <c r="AA41" s="1903">
        <f t="shared" si="3"/>
        <v>0.970873786407767</v>
      </c>
      <c r="AB41" s="1903">
        <f t="shared" si="4"/>
        <v>0.98039215686274506</v>
      </c>
      <c r="AC41" s="1903">
        <f t="shared" si="5"/>
        <v>0.95238095238095233</v>
      </c>
    </row>
    <row r="42" spans="1:29" ht="15">
      <c r="A42" s="453"/>
      <c r="B42" s="402" t="s">
        <v>2381</v>
      </c>
      <c r="C42" s="2410" t="s">
        <v>2897</v>
      </c>
      <c r="D42" s="415">
        <v>100</v>
      </c>
      <c r="E42" s="2410" t="s">
        <v>2897</v>
      </c>
      <c r="F42" s="442">
        <f>SUMIF(122:122,E42,123:123)-SUMIF(122:122,C42,123:123)+100</f>
        <v>100</v>
      </c>
      <c r="G42" s="2410" t="s">
        <v>2897</v>
      </c>
      <c r="H42" s="415">
        <f>SUMIF(122:122,G42,123:123)-SUMIF(122:122,C42,123:123)+100</f>
        <v>100</v>
      </c>
      <c r="I42" s="2410" t="s">
        <v>2897</v>
      </c>
      <c r="J42" s="415">
        <f>SUMIF(122:122,I42,123:123)-SUMIF(122:122,C42,123:123)+100</f>
        <v>100</v>
      </c>
      <c r="K42" s="406"/>
      <c r="L42" s="1253"/>
      <c r="M42" s="1244"/>
      <c r="N42" s="1244"/>
      <c r="O42" s="1244"/>
      <c r="P42" s="3035"/>
      <c r="Q42" s="1899" t="str">
        <f t="shared" si="11"/>
        <v>内部装修</v>
      </c>
      <c r="R42" s="753" t="s">
        <v>28</v>
      </c>
      <c r="S42" s="754">
        <f t="shared" si="12"/>
        <v>100</v>
      </c>
      <c r="T42" s="753" t="s">
        <v>28</v>
      </c>
      <c r="U42" s="754">
        <f t="shared" si="13"/>
        <v>100</v>
      </c>
      <c r="V42" s="753" t="s">
        <v>28</v>
      </c>
      <c r="W42" s="754">
        <f t="shared" si="14"/>
        <v>100</v>
      </c>
      <c r="X42" s="1900"/>
      <c r="Y42" s="3037"/>
      <c r="Z42" s="1902" t="str">
        <f t="shared" si="15"/>
        <v>内部装修</v>
      </c>
      <c r="AA42" s="1903">
        <f t="shared" si="3"/>
        <v>1</v>
      </c>
      <c r="AB42" s="1903">
        <f t="shared" si="4"/>
        <v>1</v>
      </c>
      <c r="AC42" s="1903">
        <f t="shared" si="5"/>
        <v>1</v>
      </c>
    </row>
    <row r="43" spans="1:29" ht="15">
      <c r="A43" s="453"/>
      <c r="B43" s="402" t="s">
        <v>2382</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35"/>
      <c r="Q43" s="1899" t="str">
        <f t="shared" si="11"/>
        <v>内部装修维护情况</v>
      </c>
      <c r="R43" s="753" t="s">
        <v>28</v>
      </c>
      <c r="S43" s="754">
        <f t="shared" si="12"/>
        <v>100</v>
      </c>
      <c r="T43" s="753" t="s">
        <v>28</v>
      </c>
      <c r="U43" s="754">
        <f t="shared" si="13"/>
        <v>100</v>
      </c>
      <c r="V43" s="753" t="s">
        <v>28</v>
      </c>
      <c r="W43" s="754">
        <f t="shared" si="14"/>
        <v>100</v>
      </c>
      <c r="X43" s="1900"/>
      <c r="Y43" s="3037"/>
      <c r="Z43" s="1902" t="str">
        <f t="shared" si="15"/>
        <v>内部装修维护情况</v>
      </c>
      <c r="AA43" s="1903">
        <f t="shared" si="3"/>
        <v>1</v>
      </c>
      <c r="AB43" s="1903">
        <f t="shared" si="4"/>
        <v>1</v>
      </c>
      <c r="AC43" s="1903">
        <f t="shared" si="5"/>
        <v>1</v>
      </c>
    </row>
    <row r="44" spans="1:29" s="35" customFormat="1" ht="15.75" thickBot="1">
      <c r="A44" s="454"/>
      <c r="B44" s="3121" t="s">
        <v>2906</v>
      </c>
      <c r="C44" s="450">
        <v>2006</v>
      </c>
      <c r="D44" s="52">
        <v>100</v>
      </c>
      <c r="E44" s="450">
        <v>2005</v>
      </c>
      <c r="F44" s="405">
        <f>SUMIF(126:126,E44,127:127)-SUMIF(126:126,C44,127:127)+100</f>
        <v>99.5</v>
      </c>
      <c r="G44" s="450">
        <v>2005</v>
      </c>
      <c r="H44" s="52">
        <f>SUMIF(126:126,G44,127:127)-SUMIF(126:126,C44,127:127)+100</f>
        <v>99.5</v>
      </c>
      <c r="I44" s="450">
        <v>2005</v>
      </c>
      <c r="J44" s="52">
        <f>SUMIF(126:126,I44,127:127)-SUMIF(126:126,C44,127:127)+100</f>
        <v>99.5</v>
      </c>
      <c r="K44" s="2399"/>
      <c r="L44" s="1245"/>
      <c r="M44" s="1246"/>
      <c r="N44" s="1246"/>
      <c r="O44" s="1246"/>
      <c r="P44" s="3035"/>
      <c r="Q44" s="1887" t="str">
        <f t="shared" si="11"/>
        <v>建成年代</v>
      </c>
      <c r="R44" s="749" t="s">
        <v>28</v>
      </c>
      <c r="S44" s="750">
        <f t="shared" si="12"/>
        <v>99.5</v>
      </c>
      <c r="T44" s="749" t="s">
        <v>28</v>
      </c>
      <c r="U44" s="750">
        <f t="shared" si="13"/>
        <v>99.5</v>
      </c>
      <c r="V44" s="749" t="s">
        <v>28</v>
      </c>
      <c r="W44" s="750">
        <f t="shared" si="14"/>
        <v>99.5</v>
      </c>
      <c r="X44" s="751"/>
      <c r="Y44" s="3037"/>
      <c r="Z44" s="23" t="str">
        <f t="shared" si="15"/>
        <v>建成年代</v>
      </c>
      <c r="AA44" s="752">
        <f t="shared" si="3"/>
        <v>1.0050251256281406</v>
      </c>
      <c r="AB44" s="752">
        <f t="shared" si="4"/>
        <v>1.0050251256281406</v>
      </c>
      <c r="AC44" s="752">
        <f t="shared" si="5"/>
        <v>1.0050251256281406</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35"/>
      <c r="Q45" s="1899">
        <f t="shared" si="11"/>
        <v>111</v>
      </c>
      <c r="R45" s="753" t="s">
        <v>28</v>
      </c>
      <c r="S45" s="754">
        <f t="shared" si="12"/>
        <v>100</v>
      </c>
      <c r="T45" s="753" t="s">
        <v>28</v>
      </c>
      <c r="U45" s="754">
        <f t="shared" si="13"/>
        <v>100</v>
      </c>
      <c r="V45" s="753" t="s">
        <v>28</v>
      </c>
      <c r="W45" s="754">
        <f t="shared" si="14"/>
        <v>100</v>
      </c>
      <c r="X45" s="1900"/>
      <c r="Y45" s="3037"/>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36"/>
      <c r="Q46" s="1899">
        <f t="shared" si="11"/>
        <v>111</v>
      </c>
      <c r="R46" s="753" t="s">
        <v>27</v>
      </c>
      <c r="S46" s="754">
        <f t="shared" si="12"/>
        <v>100</v>
      </c>
      <c r="T46" s="753" t="s">
        <v>27</v>
      </c>
      <c r="U46" s="754">
        <f t="shared" si="13"/>
        <v>100</v>
      </c>
      <c r="V46" s="753" t="s">
        <v>27</v>
      </c>
      <c r="W46" s="754">
        <f t="shared" si="14"/>
        <v>100</v>
      </c>
      <c r="X46" s="1900"/>
      <c r="Y46" s="3038"/>
      <c r="Z46" s="1902">
        <f t="shared" si="15"/>
        <v>111</v>
      </c>
      <c r="AA46" s="1903">
        <f t="shared" si="3"/>
        <v>1</v>
      </c>
      <c r="AB46" s="1903">
        <f t="shared" si="4"/>
        <v>1</v>
      </c>
      <c r="AC46" s="1903">
        <f t="shared" si="5"/>
        <v>1</v>
      </c>
    </row>
    <row r="47" spans="1:29" ht="15">
      <c r="A47" s="460" t="s">
        <v>2383</v>
      </c>
      <c r="B47" s="461"/>
      <c r="C47" s="1502" t="s">
        <v>26</v>
      </c>
      <c r="D47" s="1503"/>
      <c r="E47" s="1504">
        <v>93092</v>
      </c>
      <c r="F47" s="1505"/>
      <c r="G47" s="1506">
        <v>91275</v>
      </c>
      <c r="H47" s="1507"/>
      <c r="I47" s="1504">
        <v>95952</v>
      </c>
      <c r="J47" s="1507"/>
      <c r="K47" s="2416"/>
      <c r="L47" s="1256"/>
      <c r="M47" s="1257"/>
      <c r="N47" s="1244"/>
      <c r="O47" s="1257"/>
      <c r="P47" s="3029" t="str">
        <f>A47</f>
        <v>成交单价（元/平方米）</v>
      </c>
      <c r="Q47" s="3029"/>
      <c r="R47" s="3025">
        <f>E47</f>
        <v>93092</v>
      </c>
      <c r="S47" s="3025"/>
      <c r="T47" s="3025">
        <f>G47</f>
        <v>91275</v>
      </c>
      <c r="U47" s="3025"/>
      <c r="V47" s="3025">
        <f>I47</f>
        <v>95952</v>
      </c>
      <c r="W47" s="3025"/>
      <c r="X47" s="738"/>
      <c r="Y47" s="760"/>
      <c r="Z47" s="738"/>
      <c r="AA47" s="738"/>
      <c r="AB47" s="738"/>
      <c r="AC47" s="738"/>
    </row>
    <row r="48" spans="1:29" ht="15.75" thickBot="1">
      <c r="A48" s="467" t="s">
        <v>2384</v>
      </c>
      <c r="B48" s="468"/>
      <c r="C48" s="1508">
        <f>R49</f>
        <v>93860</v>
      </c>
      <c r="D48" s="1509"/>
      <c r="E48" s="1510">
        <f>R48</f>
        <v>93168</v>
      </c>
      <c r="F48" s="1510"/>
      <c r="G48" s="1508">
        <f>T48</f>
        <v>92754</v>
      </c>
      <c r="H48" s="1509"/>
      <c r="I48" s="1510">
        <f>V48</f>
        <v>95658</v>
      </c>
      <c r="J48" s="1509"/>
      <c r="K48" s="2417"/>
      <c r="L48" s="1256"/>
      <c r="M48" s="1257"/>
      <c r="N48" s="1257"/>
      <c r="O48" s="1257"/>
      <c r="P48" s="3029" t="str">
        <f>A48</f>
        <v>比较价值（元/平方米）</v>
      </c>
      <c r="Q48" s="3029"/>
      <c r="R48" s="3025">
        <f>IF(E1="售价",ROUND(PRODUCT(R47,AA7:AA46),0),ROUND(PRODUCT(R47,AA7:AA46),1))</f>
        <v>93168</v>
      </c>
      <c r="S48" s="3025"/>
      <c r="T48" s="3023">
        <f>IF(E1="售价",ROUND(PRODUCT(T47,AB7:AB46),0),ROUND(PRODUCT(T47,AB7:AB46),1))</f>
        <v>92754</v>
      </c>
      <c r="U48" s="3024"/>
      <c r="V48" s="3025">
        <f>IF(E1="售价",ROUND(PRODUCT(V47,AC7:AC46),0),ROUND(PRODUCT(V47,AC7:AC46),1))</f>
        <v>95658</v>
      </c>
      <c r="W48" s="3025"/>
      <c r="X48" s="738"/>
      <c r="Y48" s="738"/>
      <c r="Z48" s="738"/>
      <c r="AA48" s="738"/>
      <c r="AB48" s="738"/>
      <c r="AC48" s="738"/>
    </row>
    <row r="49" spans="1:29" ht="15.75" thickBot="1">
      <c r="A49" s="473" t="s">
        <v>2385</v>
      </c>
      <c r="B49" s="474"/>
      <c r="C49" s="1511">
        <f>R49</f>
        <v>93860</v>
      </c>
      <c r="D49" s="1512"/>
      <c r="E49" s="1512"/>
      <c r="F49" s="1512"/>
      <c r="G49" s="1512"/>
      <c r="H49" s="1512"/>
      <c r="I49" s="1512"/>
      <c r="J49" s="1512"/>
      <c r="K49" s="2418"/>
      <c r="L49" s="1256"/>
      <c r="M49" s="1257"/>
      <c r="N49" s="1257"/>
      <c r="O49" s="1257"/>
      <c r="P49" s="3026" t="str">
        <f>A49</f>
        <v>估价对象XX用房的比较价值（楼面单价，元/平方米）</v>
      </c>
      <c r="Q49" s="3027"/>
      <c r="R49" s="3028">
        <f>IF(E1="售价",ROUND(AVERAGE(R48:V48),0),ROUND(AVERAGE(R48:V48),1))</f>
        <v>93860</v>
      </c>
      <c r="S49" s="3028"/>
      <c r="T49" s="3028"/>
      <c r="U49" s="3028"/>
      <c r="V49" s="3028"/>
      <c r="W49" s="302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8.1639668285138356E-4</v>
      </c>
      <c r="F52" s="481" t="str">
        <f>IF(OR(E52&gt;=0.3,E52&lt;=-0.3),"超过30%","")</f>
        <v/>
      </c>
      <c r="G52" s="480">
        <f>IF(G47&lt;G48,G48/G47-1,G47/G48-1)</f>
        <v>1.6203779786359895E-2</v>
      </c>
      <c r="H52" s="481" t="str">
        <f>IF(OR(G52&gt;=0.3,G52&lt;=-0.3),"超过30%","")</f>
        <v/>
      </c>
      <c r="I52" s="480">
        <f>IF(I47&lt;I48,I48/I47-1,I47/I48-1)</f>
        <v>3.0734491626418503E-3</v>
      </c>
      <c r="J52" s="481" t="str">
        <f>IF(OR(I52&gt;=0.3,I52&lt;=-0.3),"超过30%","")</f>
        <v/>
      </c>
      <c r="K52" s="1262"/>
      <c r="L52" s="1258"/>
      <c r="M52" s="1257"/>
      <c r="N52" s="1257"/>
      <c r="O52" s="1257"/>
    </row>
    <row r="53" spans="1:29" ht="13.5" customHeight="1">
      <c r="A53" s="1257"/>
      <c r="B53" s="1257"/>
      <c r="C53" s="478" t="s">
        <v>2387</v>
      </c>
      <c r="D53" s="482"/>
      <c r="E53" s="480">
        <f>IF(E48&lt;G48,G48/E48-1,E48/G48-1)</f>
        <v>4.463419367358723E-3</v>
      </c>
      <c r="F53" s="481" t="str">
        <f>IF(OR(E53&gt;=0.2,E53&lt;=-0.2),"超过20%","")</f>
        <v/>
      </c>
      <c r="G53" s="480">
        <f>IF(G48&lt;I48,I48/G48-1,G48/I48-1)</f>
        <v>3.1308622808719822E-2</v>
      </c>
      <c r="H53" s="481" t="str">
        <f>IF(OR(G53&gt;=0.2,G53&lt;=-0.2),"超过20%","")</f>
        <v/>
      </c>
      <c r="I53" s="480">
        <f>IF(I48&lt;E48,E48/I48-1,I48/E48-1)</f>
        <v>2.6725914477073731E-2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1.9906874828814036E-2</v>
      </c>
      <c r="F54" s="481" t="str">
        <f>IF(OR(E54&gt;=0.3,E54&lt;=-0.3),"超过30%","")</f>
        <v/>
      </c>
      <c r="G54" s="480">
        <f>IF(G47&lt;I47,I47/G47-1,G47/I47-1)</f>
        <v>5.1240755957272066E-2</v>
      </c>
      <c r="H54" s="481" t="str">
        <f>IF(OR(G54&gt;=0.3,G54&lt;=-0.3),"超过30%","")</f>
        <v/>
      </c>
      <c r="I54" s="480">
        <f>IF(I47&lt;E47,E47/I47-1,I47/E47-1)</f>
        <v>3.0722296223091083E-2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v>100</v>
      </c>
      <c r="E59" s="493">
        <v>100</v>
      </c>
      <c r="F59" s="493">
        <v>100</v>
      </c>
      <c r="G59" s="493">
        <v>100</v>
      </c>
      <c r="H59" s="493">
        <v>100</v>
      </c>
      <c r="I59" s="493">
        <v>101</v>
      </c>
      <c r="J59" s="493">
        <v>101</v>
      </c>
      <c r="K59" s="493">
        <v>101</v>
      </c>
      <c r="L59" s="493">
        <v>101</v>
      </c>
      <c r="M59" s="494">
        <v>101</v>
      </c>
      <c r="N59" s="493">
        <v>101</v>
      </c>
      <c r="O59" s="494">
        <v>101</v>
      </c>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2363</v>
      </c>
      <c r="C67" s="530" t="str">
        <f>C68&amp;"（含）"&amp;"-"&amp;D68</f>
        <v>1（含）-1</v>
      </c>
      <c r="D67" s="530" t="str">
        <f t="shared" ref="D67:L67" si="18">D68&amp;"（含）"&amp;"-"&amp;E68</f>
        <v>1（含）-1</v>
      </c>
      <c r="E67" s="530" t="str">
        <f t="shared" si="18"/>
        <v>1（含）-1</v>
      </c>
      <c r="F67" s="530" t="str">
        <f t="shared" si="18"/>
        <v>1（含）-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v>1</v>
      </c>
      <c r="E68" s="532">
        <v>1</v>
      </c>
      <c r="F68" s="532">
        <v>1</v>
      </c>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5"/>
      <c r="Q81" s="485"/>
    </row>
    <row r="82" spans="1:17" ht="15.75" thickTop="1">
      <c r="A82" s="516"/>
      <c r="B82" s="529" t="s">
        <v>1750</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3122" t="s">
        <v>2871</v>
      </c>
      <c r="D88" s="3122" t="s">
        <v>2873</v>
      </c>
      <c r="E88" s="3122" t="s">
        <v>2872</v>
      </c>
      <c r="F88" s="3122" t="s">
        <v>2874</v>
      </c>
      <c r="G88" s="3122" t="s">
        <v>2875</v>
      </c>
      <c r="H88" s="3122" t="s">
        <v>2876</v>
      </c>
      <c r="I88" s="3122" t="s">
        <v>2877</v>
      </c>
      <c r="J88" s="3122" t="s">
        <v>2878</v>
      </c>
      <c r="K88" s="3122" t="s">
        <v>2879</v>
      </c>
      <c r="M88" s="565"/>
      <c r="N88" s="1266"/>
      <c r="O88" s="1266"/>
      <c r="P88" s="2425"/>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t="str">
        <f>B28</f>
        <v>楼层</v>
      </c>
      <c r="C92" s="3130" t="s">
        <v>2904</v>
      </c>
      <c r="D92" s="414" t="s">
        <v>2902</v>
      </c>
      <c r="E92" s="414" t="s">
        <v>2903</v>
      </c>
      <c r="F92" s="414" t="s">
        <v>2907</v>
      </c>
      <c r="G92" s="567"/>
      <c r="H92" s="567"/>
      <c r="I92" s="567"/>
      <c r="J92" s="567"/>
      <c r="K92" s="568"/>
      <c r="L92" s="569"/>
      <c r="M92" s="570"/>
      <c r="N92" s="1267"/>
      <c r="O92" s="1267"/>
      <c r="P92" s="2425"/>
      <c r="Q92" s="485"/>
    </row>
    <row r="93" spans="1:17" ht="15.75" thickBot="1">
      <c r="A93" s="516"/>
      <c r="B93" s="526"/>
      <c r="C93" s="544">
        <v>100</v>
      </c>
      <c r="D93" s="518">
        <v>100</v>
      </c>
      <c r="E93" s="518">
        <v>101</v>
      </c>
      <c r="F93" s="518">
        <v>102</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3123" t="s">
        <v>2880</v>
      </c>
      <c r="D100" s="3123" t="s">
        <v>2881</v>
      </c>
      <c r="E100" s="3123" t="s">
        <v>2882</v>
      </c>
      <c r="F100" s="3123" t="s">
        <v>2883</v>
      </c>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5"/>
      <c r="Q101" s="485"/>
    </row>
    <row r="102" spans="1:17" ht="15.75" thickTop="1">
      <c r="A102" s="516"/>
      <c r="B102" s="521" t="s">
        <v>2419</v>
      </c>
      <c r="C102" s="562" t="str">
        <f>C103&amp;"(含)"&amp;"-"&amp;D103</f>
        <v>1(含)-60</v>
      </c>
      <c r="D102" s="562" t="str">
        <f t="shared" ref="D102:L102" si="23">D103&amp;"(含)"&amp;"-"&amp;E103</f>
        <v>60(含)-90</v>
      </c>
      <c r="E102" s="562" t="str">
        <f t="shared" si="23"/>
        <v>90(含)-120</v>
      </c>
      <c r="F102" s="562" t="str">
        <f t="shared" si="23"/>
        <v>120(含)-150</v>
      </c>
      <c r="G102" s="562" t="str">
        <f t="shared" si="23"/>
        <v>150(含)-180</v>
      </c>
      <c r="H102" s="562" t="str">
        <f t="shared" si="23"/>
        <v>180(含)-200</v>
      </c>
      <c r="I102" s="562" t="str">
        <f t="shared" si="23"/>
        <v>200(含)-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1</v>
      </c>
      <c r="D103" s="579">
        <v>60</v>
      </c>
      <c r="E103" s="579">
        <v>90</v>
      </c>
      <c r="F103" s="579">
        <v>120</v>
      </c>
      <c r="G103" s="579">
        <v>150</v>
      </c>
      <c r="H103" s="579">
        <v>180</v>
      </c>
      <c r="I103" s="579">
        <v>200</v>
      </c>
      <c r="J103" s="580"/>
      <c r="K103" s="580"/>
      <c r="L103" s="581"/>
      <c r="M103" s="582"/>
      <c r="N103" s="1269"/>
      <c r="O103" s="1269"/>
      <c r="P103" s="2426"/>
      <c r="Q103" s="543"/>
    </row>
    <row r="104" spans="1:17" s="452" customFormat="1" ht="15.75" thickBot="1">
      <c r="A104" s="536"/>
      <c r="B104" s="526"/>
      <c r="C104" s="544">
        <v>100</v>
      </c>
      <c r="D104" s="518">
        <v>100</v>
      </c>
      <c r="E104" s="544">
        <v>100</v>
      </c>
      <c r="F104" s="518">
        <v>100</v>
      </c>
      <c r="G104" s="544">
        <v>100</v>
      </c>
      <c r="H104" s="518">
        <v>100</v>
      </c>
      <c r="I104" s="544">
        <v>100</v>
      </c>
      <c r="J104" s="518">
        <v>100</v>
      </c>
      <c r="K104" s="518"/>
      <c r="L104" s="518"/>
      <c r="M104" s="518"/>
      <c r="N104" s="1268"/>
      <c r="O104" s="1268"/>
      <c r="P104" s="2426"/>
      <c r="Q104" s="543"/>
    </row>
    <row r="105" spans="1:17" ht="15" thickTop="1">
      <c r="A105" s="583"/>
      <c r="B105" s="521" t="s">
        <v>2420</v>
      </c>
      <c r="C105" s="3122" t="s">
        <v>2884</v>
      </c>
      <c r="D105" s="3122" t="s">
        <v>2885</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3122" t="s">
        <v>2886</v>
      </c>
      <c r="D109" s="3122" t="s">
        <v>2887</v>
      </c>
      <c r="E109" s="3122" t="s">
        <v>2888</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2424</v>
      </c>
      <c r="C114" s="3124" t="s">
        <v>2889</v>
      </c>
      <c r="D114" s="3122" t="s">
        <v>2890</v>
      </c>
      <c r="E114" s="3122" t="s">
        <v>2891</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3122" t="s">
        <v>2892</v>
      </c>
      <c r="D116" s="3125" t="s">
        <v>2893</v>
      </c>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3126" t="s">
        <v>2895</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v>187.16</v>
      </c>
      <c r="D120" s="410">
        <v>102.05</v>
      </c>
      <c r="E120" s="409">
        <v>139.13999999999999</v>
      </c>
      <c r="F120" s="410">
        <v>76.08</v>
      </c>
      <c r="G120" s="537"/>
      <c r="H120" s="537"/>
      <c r="I120" s="537"/>
      <c r="J120" s="537"/>
      <c r="K120" s="537"/>
      <c r="L120" s="564"/>
      <c r="M120" s="565"/>
      <c r="N120" s="1269"/>
      <c r="O120" s="1269"/>
      <c r="P120" s="2426"/>
      <c r="Q120" s="543"/>
    </row>
    <row r="121" spans="1:17" s="452" customFormat="1" ht="15.75" thickBot="1">
      <c r="A121" s="536"/>
      <c r="B121" s="517"/>
      <c r="C121" s="544">
        <v>100</v>
      </c>
      <c r="D121" s="518">
        <v>103</v>
      </c>
      <c r="E121" s="518">
        <v>102</v>
      </c>
      <c r="F121" s="518">
        <v>105</v>
      </c>
      <c r="G121" s="518"/>
      <c r="H121" s="518"/>
      <c r="I121" s="518"/>
      <c r="J121" s="518"/>
      <c r="K121" s="518"/>
      <c r="L121" s="518"/>
      <c r="M121" s="518"/>
      <c r="N121" s="1269"/>
      <c r="O121" s="1269"/>
      <c r="P121" s="2426"/>
      <c r="Q121" s="543"/>
    </row>
    <row r="122" spans="1:17" ht="15" thickTop="1">
      <c r="A122" s="583"/>
      <c r="B122" s="521" t="s">
        <v>2427</v>
      </c>
      <c r="C122" s="3122" t="s">
        <v>2886</v>
      </c>
      <c r="D122" s="3122" t="s">
        <v>2887</v>
      </c>
      <c r="E122" s="3122" t="s">
        <v>2888</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2006</v>
      </c>
      <c r="D126" s="537">
        <v>2005</v>
      </c>
      <c r="E126" s="537"/>
      <c r="F126" s="537"/>
      <c r="G126" s="537"/>
      <c r="H126" s="538"/>
      <c r="I126" s="538"/>
      <c r="J126" s="538"/>
      <c r="K126" s="538"/>
      <c r="L126" s="539"/>
      <c r="M126" s="540"/>
      <c r="N126" s="1269"/>
      <c r="O126" s="1269"/>
      <c r="P126" s="2426"/>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9" priority="15" stopIfTrue="1" operator="containsText" text="超过">
      <formula>NOT(ISERROR(SEARCH("超过",F52)))</formula>
    </cfRule>
  </conditionalFormatting>
  <conditionalFormatting sqref="E52">
    <cfRule type="expression" dxfId="8" priority="10"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5 C25 I25 G25">
      <formula1>住宅楼层</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3" t="e">
        <f ca="1">SUMIF(INDIRECT("'"&amp;G2&amp;"'"&amp;"!A:A"),"承租人权益价值",INDIRECT("'"&amp;G2&amp;"'"&amp;"!c:c"))</f>
        <v>#REF!</v>
      </c>
      <c r="F2" s="2385" t="str">
        <f>C2</f>
        <v>元</v>
      </c>
      <c r="G2" s="2386"/>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187.16</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56" t="s">
        <v>2341</v>
      </c>
      <c r="D4" s="3057"/>
      <c r="E4" s="3058" t="s">
        <v>2342</v>
      </c>
      <c r="F4" s="3059"/>
      <c r="G4" s="3056" t="s">
        <v>2343</v>
      </c>
      <c r="H4" s="3057"/>
      <c r="I4" s="3056" t="s">
        <v>2344</v>
      </c>
      <c r="J4" s="3057"/>
      <c r="K4" s="594"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66" t="s">
        <v>2343</v>
      </c>
      <c r="AC4" s="3053" t="s">
        <v>2344</v>
      </c>
    </row>
    <row r="5" spans="1:29" ht="15">
      <c r="A5" s="383"/>
      <c r="B5" s="384"/>
      <c r="C5" s="3041" t="s">
        <v>2347</v>
      </c>
      <c r="D5" s="3042"/>
      <c r="E5" s="3067" t="s">
        <v>2348</v>
      </c>
      <c r="F5" s="3068"/>
      <c r="G5" s="3041" t="s">
        <v>2349</v>
      </c>
      <c r="H5" s="3042"/>
      <c r="I5" s="3041" t="s">
        <v>2350</v>
      </c>
      <c r="J5" s="3042"/>
      <c r="K5" s="594"/>
      <c r="L5" s="1243"/>
      <c r="M5" s="1244"/>
      <c r="N5" s="1244"/>
      <c r="O5" s="1244"/>
      <c r="P5" s="3062"/>
      <c r="Q5" s="3063"/>
      <c r="R5" s="3047"/>
      <c r="S5" s="3048"/>
      <c r="T5" s="3047"/>
      <c r="U5" s="3048"/>
      <c r="V5" s="3066"/>
      <c r="W5" s="3066"/>
      <c r="X5" s="1900"/>
      <c r="Y5" s="3047"/>
      <c r="Z5" s="3048"/>
      <c r="AA5" s="3054"/>
      <c r="AB5" s="3066"/>
      <c r="AC5" s="3054"/>
    </row>
    <row r="6" spans="1:29" ht="15.75" thickBot="1">
      <c r="A6" s="385"/>
      <c r="B6" s="386"/>
      <c r="C6" s="3039" t="s">
        <v>2351</v>
      </c>
      <c r="D6" s="3040"/>
      <c r="E6" s="3070" t="s">
        <v>2351</v>
      </c>
      <c r="F6" s="3071"/>
      <c r="G6" s="3039" t="s">
        <v>2351</v>
      </c>
      <c r="H6" s="3040"/>
      <c r="I6" s="3039" t="s">
        <v>2351</v>
      </c>
      <c r="J6" s="3040"/>
      <c r="K6" s="594" t="s">
        <v>2352</v>
      </c>
      <c r="L6" s="1243"/>
      <c r="M6" s="1244"/>
      <c r="N6" s="1244"/>
      <c r="O6" s="1244"/>
      <c r="P6" s="3064"/>
      <c r="Q6" s="3065"/>
      <c r="R6" s="3047"/>
      <c r="S6" s="3048"/>
      <c r="T6" s="3049"/>
      <c r="U6" s="3050"/>
      <c r="V6" s="3066"/>
      <c r="W6" s="3066"/>
      <c r="X6" s="1900"/>
      <c r="Y6" s="3049"/>
      <c r="Z6" s="3050"/>
      <c r="AA6" s="3055"/>
      <c r="AB6" s="3066"/>
      <c r="AC6" s="3055"/>
    </row>
    <row r="7" spans="1:29" s="35" customFormat="1" ht="15.75" thickBot="1">
      <c r="A7" s="387" t="s">
        <v>2353</v>
      </c>
      <c r="B7" s="388"/>
      <c r="C7" s="389">
        <f>'数据-取费表'!B2</f>
        <v>43272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3" t="s">
        <v>2354</v>
      </c>
      <c r="Q7" s="3051"/>
      <c r="R7" s="749" t="s">
        <v>25</v>
      </c>
      <c r="S7" s="750">
        <f t="shared" ref="S7:S15" si="0">F7</f>
        <v>0</v>
      </c>
      <c r="T7" s="749" t="s">
        <v>25</v>
      </c>
      <c r="U7" s="750">
        <f t="shared" ref="U7:U15" si="1">H7</f>
        <v>0</v>
      </c>
      <c r="V7" s="749" t="s">
        <v>25</v>
      </c>
      <c r="W7" s="750">
        <f t="shared" ref="W7:W15" si="2">J7</f>
        <v>0</v>
      </c>
      <c r="X7" s="751"/>
      <c r="Y7" s="3043" t="s">
        <v>2354</v>
      </c>
      <c r="Z7" s="304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3" t="s">
        <v>2357</v>
      </c>
      <c r="Q8" s="3044"/>
      <c r="R8" s="749" t="s">
        <v>25</v>
      </c>
      <c r="S8" s="750">
        <f t="shared" si="0"/>
        <v>0</v>
      </c>
      <c r="T8" s="749" t="s">
        <v>25</v>
      </c>
      <c r="U8" s="750">
        <f t="shared" si="1"/>
        <v>0</v>
      </c>
      <c r="V8" s="749" t="s">
        <v>25</v>
      </c>
      <c r="W8" s="750">
        <f t="shared" si="2"/>
        <v>0</v>
      </c>
      <c r="X8" s="751"/>
      <c r="Y8" s="3043" t="s">
        <v>2357</v>
      </c>
      <c r="Z8" s="304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2"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2"/>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2"/>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2"/>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2"/>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2"/>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71.25">
      <c r="A15" s="419" t="s">
        <v>2364</v>
      </c>
      <c r="B15" s="26" t="s">
        <v>2450</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0" t="s">
        <v>2365</v>
      </c>
      <c r="Q15" s="1899" t="str">
        <f t="shared" si="6"/>
        <v>商业繁华度</v>
      </c>
      <c r="R15" s="753" t="s">
        <v>25</v>
      </c>
      <c r="S15" s="754">
        <f t="shared" si="0"/>
        <v>100</v>
      </c>
      <c r="T15" s="753" t="s">
        <v>25</v>
      </c>
      <c r="U15" s="754">
        <f t="shared" si="1"/>
        <v>100</v>
      </c>
      <c r="V15" s="753" t="s">
        <v>25</v>
      </c>
      <c r="W15" s="754">
        <f t="shared" si="2"/>
        <v>100</v>
      </c>
      <c r="X15" s="1900"/>
      <c r="Y15" s="3032"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1"/>
      <c r="Q16" s="1899"/>
      <c r="R16" s="753"/>
      <c r="S16" s="754"/>
      <c r="T16" s="753"/>
      <c r="U16" s="754"/>
      <c r="V16" s="753"/>
      <c r="W16" s="754"/>
      <c r="X16" s="1900"/>
      <c r="Y16" s="3033"/>
      <c r="Z16" s="1902"/>
      <c r="AA16" s="1903">
        <v>1</v>
      </c>
      <c r="AB16" s="1903">
        <v>1</v>
      </c>
      <c r="AC16" s="1903">
        <v>1</v>
      </c>
    </row>
    <row r="17" spans="1:29" ht="114">
      <c r="A17" s="408"/>
      <c r="B17" s="431" t="s">
        <v>1749</v>
      </c>
      <c r="C17" s="2405" t="str">
        <f>估价对象房地状况!C6</f>
        <v>估价对象紧邻城市主干道—曙光西路，有132路、467路、515路等多条公交线路及地铁10号线太阳宫站通过，交通便捷度较好。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1"/>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31"/>
      <c r="Q18" s="1899"/>
      <c r="R18" s="753"/>
      <c r="S18" s="754"/>
      <c r="T18" s="753"/>
      <c r="U18" s="754"/>
      <c r="V18" s="753"/>
      <c r="W18" s="754"/>
      <c r="X18" s="1900"/>
      <c r="Y18" s="3033"/>
      <c r="Z18" s="1902"/>
      <c r="AA18" s="1903">
        <v>1</v>
      </c>
      <c r="AB18" s="1903">
        <v>1</v>
      </c>
      <c r="AC18" s="1903">
        <v>1</v>
      </c>
    </row>
    <row r="19" spans="1:29" ht="42.75">
      <c r="A19" s="408"/>
      <c r="B19" s="431" t="s">
        <v>2451</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1"/>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31"/>
      <c r="Q20" s="1899"/>
      <c r="R20" s="753"/>
      <c r="S20" s="754"/>
      <c r="T20" s="753"/>
      <c r="U20" s="754"/>
      <c r="V20" s="753"/>
      <c r="W20" s="754"/>
      <c r="X20" s="1900"/>
      <c r="Y20" s="3033"/>
      <c r="Z20" s="1902"/>
      <c r="AA20" s="1903">
        <v>1</v>
      </c>
      <c r="AB20" s="1903">
        <v>1</v>
      </c>
      <c r="AC20" s="1903">
        <v>1</v>
      </c>
    </row>
    <row r="21" spans="1:29" ht="15">
      <c r="A21" s="408"/>
      <c r="B21" s="2407" t="s">
        <v>2452</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1"/>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31"/>
      <c r="Q22" s="1899"/>
      <c r="R22" s="753"/>
      <c r="S22" s="754"/>
      <c r="T22" s="753"/>
      <c r="U22" s="754"/>
      <c r="V22" s="753"/>
      <c r="W22" s="754"/>
      <c r="X22" s="1900"/>
      <c r="Y22" s="3033"/>
      <c r="Z22" s="1902"/>
      <c r="AA22" s="1903">
        <v>1</v>
      </c>
      <c r="AB22" s="1903">
        <v>1</v>
      </c>
      <c r="AC22" s="1903">
        <v>1</v>
      </c>
    </row>
    <row r="23" spans="1:29" ht="128.25">
      <c r="A23" s="408"/>
      <c r="B23" s="431" t="s">
        <v>1754</v>
      </c>
      <c r="C23" s="2456" t="str">
        <f>估价对象房地状况!C9</f>
        <v>自然环境：太阳宫公园、金隅南湖公园、坝河等；人文环境：北京中医药大学、中央美术学院、园林科技研究所等；综合评价环境状况较好。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1"/>
      <c r="Q23" s="1899" t="str">
        <f>B23</f>
        <v>自然及人文环境</v>
      </c>
      <c r="R23" s="753" t="s">
        <v>25</v>
      </c>
      <c r="S23" s="754">
        <f>F23</f>
        <v>100</v>
      </c>
      <c r="T23" s="753" t="s">
        <v>25</v>
      </c>
      <c r="U23" s="754">
        <f>H23</f>
        <v>100</v>
      </c>
      <c r="V23" s="753" t="s">
        <v>25</v>
      </c>
      <c r="W23" s="754">
        <f>J23</f>
        <v>100</v>
      </c>
      <c r="X23" s="1900"/>
      <c r="Y23" s="3033"/>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31"/>
      <c r="Q24" s="1899"/>
      <c r="R24" s="753"/>
      <c r="S24" s="754"/>
      <c r="T24" s="753"/>
      <c r="U24" s="754"/>
      <c r="V24" s="753"/>
      <c r="W24" s="754"/>
      <c r="X24" s="1900"/>
      <c r="Y24" s="3033"/>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1"/>
      <c r="Q25" s="1899" t="str">
        <f t="shared" ref="Q25:Q46" si="11">B25</f>
        <v>临街状况</v>
      </c>
      <c r="R25" s="753" t="s">
        <v>25</v>
      </c>
      <c r="S25" s="754">
        <f>F25</f>
        <v>100</v>
      </c>
      <c r="T25" s="753" t="s">
        <v>25</v>
      </c>
      <c r="U25" s="754">
        <f>H25</f>
        <v>100</v>
      </c>
      <c r="V25" s="753" t="s">
        <v>25</v>
      </c>
      <c r="W25" s="754">
        <f>J25</f>
        <v>100</v>
      </c>
      <c r="X25" s="1900"/>
      <c r="Y25" s="3033"/>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1"/>
      <c r="Q26" s="1899" t="str">
        <f t="shared" si="11"/>
        <v>平面位置/可视性</v>
      </c>
      <c r="R26" s="753" t="s">
        <v>25</v>
      </c>
      <c r="S26" s="754">
        <f>F26</f>
        <v>100</v>
      </c>
      <c r="T26" s="753" t="s">
        <v>25</v>
      </c>
      <c r="U26" s="754">
        <f>H26</f>
        <v>100</v>
      </c>
      <c r="V26" s="753" t="s">
        <v>25</v>
      </c>
      <c r="W26" s="754">
        <f>J26</f>
        <v>100</v>
      </c>
      <c r="X26" s="1900"/>
      <c r="Y26" s="3033"/>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31"/>
      <c r="Q27" s="1887" t="str">
        <f t="shared" si="11"/>
        <v>人流量</v>
      </c>
      <c r="R27" s="749" t="s">
        <v>25</v>
      </c>
      <c r="S27" s="750">
        <f>F27</f>
        <v>100</v>
      </c>
      <c r="T27" s="749" t="s">
        <v>25</v>
      </c>
      <c r="U27" s="750">
        <f>H27</f>
        <v>100</v>
      </c>
      <c r="V27" s="749" t="s">
        <v>25</v>
      </c>
      <c r="W27" s="750">
        <f>J27</f>
        <v>100</v>
      </c>
      <c r="X27" s="751"/>
      <c r="Y27" s="3033"/>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3"/>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1"/>
      <c r="Q29" s="1899">
        <f t="shared" si="11"/>
        <v>111</v>
      </c>
      <c r="R29" s="753" t="s">
        <v>25</v>
      </c>
      <c r="S29" s="754">
        <f t="shared" si="12"/>
        <v>100</v>
      </c>
      <c r="T29" s="753" t="s">
        <v>25</v>
      </c>
      <c r="U29" s="754">
        <f t="shared" si="13"/>
        <v>100</v>
      </c>
      <c r="V29" s="753" t="s">
        <v>25</v>
      </c>
      <c r="W29" s="754">
        <f t="shared" si="14"/>
        <v>100</v>
      </c>
      <c r="X29" s="1900"/>
      <c r="Y29" s="3033"/>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1"/>
      <c r="Q30" s="1899">
        <f t="shared" si="11"/>
        <v>111</v>
      </c>
      <c r="R30" s="753" t="s">
        <v>25</v>
      </c>
      <c r="S30" s="754">
        <f t="shared" si="12"/>
        <v>100</v>
      </c>
      <c r="T30" s="753" t="s">
        <v>25</v>
      </c>
      <c r="U30" s="754">
        <f t="shared" si="13"/>
        <v>100</v>
      </c>
      <c r="V30" s="753" t="s">
        <v>25</v>
      </c>
      <c r="W30" s="754">
        <f t="shared" si="14"/>
        <v>100</v>
      </c>
      <c r="X30" s="1900"/>
      <c r="Y30" s="3033"/>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1"/>
      <c r="Q31" s="1899">
        <f t="shared" si="11"/>
        <v>111</v>
      </c>
      <c r="R31" s="753" t="s">
        <v>25</v>
      </c>
      <c r="S31" s="754">
        <f t="shared" si="12"/>
        <v>100</v>
      </c>
      <c r="T31" s="753" t="s">
        <v>25</v>
      </c>
      <c r="U31" s="754">
        <f t="shared" si="13"/>
        <v>100</v>
      </c>
      <c r="V31" s="753" t="s">
        <v>25</v>
      </c>
      <c r="W31" s="754">
        <f t="shared" si="14"/>
        <v>100</v>
      </c>
      <c r="X31" s="1900"/>
      <c r="Y31" s="3033"/>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34" t="s">
        <v>2371</v>
      </c>
      <c r="Q32" s="1899" t="str">
        <f t="shared" si="11"/>
        <v>商业类型</v>
      </c>
      <c r="R32" s="753" t="s">
        <v>25</v>
      </c>
      <c r="S32" s="754">
        <f t="shared" si="12"/>
        <v>100</v>
      </c>
      <c r="T32" s="753" t="s">
        <v>25</v>
      </c>
      <c r="U32" s="754">
        <f t="shared" si="13"/>
        <v>100</v>
      </c>
      <c r="V32" s="753" t="s">
        <v>25</v>
      </c>
      <c r="W32" s="754">
        <f t="shared" si="14"/>
        <v>100</v>
      </c>
      <c r="X32" s="1900"/>
      <c r="Y32" s="3037"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5"/>
      <c r="Q33" s="755" t="str">
        <f t="shared" si="11"/>
        <v>项目建筑规模</v>
      </c>
      <c r="R33" s="756" t="s">
        <v>25</v>
      </c>
      <c r="S33" s="757" t="e">
        <f t="shared" si="12"/>
        <v>#N/A</v>
      </c>
      <c r="T33" s="756" t="s">
        <v>25</v>
      </c>
      <c r="U33" s="757" t="e">
        <f t="shared" si="13"/>
        <v>#N/A</v>
      </c>
      <c r="V33" s="756" t="s">
        <v>25</v>
      </c>
      <c r="W33" s="757" t="e">
        <f t="shared" si="14"/>
        <v>#N/A</v>
      </c>
      <c r="X33" s="758"/>
      <c r="Y33" s="3037"/>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35"/>
      <c r="Q34" s="1899" t="str">
        <f t="shared" si="11"/>
        <v>建筑结构</v>
      </c>
      <c r="R34" s="753" t="s">
        <v>25</v>
      </c>
      <c r="S34" s="754">
        <f t="shared" si="12"/>
        <v>100</v>
      </c>
      <c r="T34" s="753" t="s">
        <v>25</v>
      </c>
      <c r="U34" s="754">
        <f t="shared" si="13"/>
        <v>100</v>
      </c>
      <c r="V34" s="753" t="s">
        <v>25</v>
      </c>
      <c r="W34" s="754">
        <f t="shared" si="14"/>
        <v>100</v>
      </c>
      <c r="X34" s="1900"/>
      <c r="Y34" s="3037"/>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35"/>
      <c r="Q35" s="1899" t="str">
        <f t="shared" si="11"/>
        <v>公共部分装修</v>
      </c>
      <c r="R35" s="753" t="s">
        <v>25</v>
      </c>
      <c r="S35" s="754">
        <f t="shared" si="12"/>
        <v>100</v>
      </c>
      <c r="T35" s="753" t="s">
        <v>25</v>
      </c>
      <c r="U35" s="754">
        <f t="shared" si="13"/>
        <v>100</v>
      </c>
      <c r="V35" s="753" t="s">
        <v>25</v>
      </c>
      <c r="W35" s="754">
        <f t="shared" si="14"/>
        <v>100</v>
      </c>
      <c r="X35" s="1900"/>
      <c r="Y35" s="3037"/>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5"/>
      <c r="Q36" s="1899" t="str">
        <f t="shared" si="11"/>
        <v>成新度</v>
      </c>
      <c r="R36" s="753" t="s">
        <v>25</v>
      </c>
      <c r="S36" s="754" t="e">
        <f t="shared" si="12"/>
        <v>#N/A</v>
      </c>
      <c r="T36" s="753" t="s">
        <v>25</v>
      </c>
      <c r="U36" s="754" t="e">
        <f t="shared" si="13"/>
        <v>#N/A</v>
      </c>
      <c r="V36" s="753" t="s">
        <v>25</v>
      </c>
      <c r="W36" s="754" t="e">
        <f t="shared" si="14"/>
        <v>#N/A</v>
      </c>
      <c r="X36" s="1900"/>
      <c r="Y36" s="3037"/>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35"/>
      <c r="Q37" s="1887" t="str">
        <f t="shared" si="11"/>
        <v>市政基础设施</v>
      </c>
      <c r="R37" s="749" t="s">
        <v>25</v>
      </c>
      <c r="S37" s="750">
        <f t="shared" si="12"/>
        <v>100</v>
      </c>
      <c r="T37" s="749" t="s">
        <v>25</v>
      </c>
      <c r="U37" s="750">
        <f t="shared" si="13"/>
        <v>100</v>
      </c>
      <c r="V37" s="749" t="s">
        <v>25</v>
      </c>
      <c r="W37" s="750">
        <f t="shared" si="14"/>
        <v>100</v>
      </c>
      <c r="X37" s="751"/>
      <c r="Y37" s="3037"/>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35" t="s">
        <v>2371</v>
      </c>
      <c r="Q38" s="1899" t="str">
        <f t="shared" si="11"/>
        <v>业态</v>
      </c>
      <c r="R38" s="753" t="s">
        <v>25</v>
      </c>
      <c r="S38" s="754">
        <f t="shared" si="12"/>
        <v>100</v>
      </c>
      <c r="T38" s="753" t="s">
        <v>25</v>
      </c>
      <c r="U38" s="754">
        <f t="shared" si="13"/>
        <v>100</v>
      </c>
      <c r="V38" s="753" t="s">
        <v>25</v>
      </c>
      <c r="W38" s="754">
        <f t="shared" si="14"/>
        <v>100</v>
      </c>
      <c r="X38" s="1900"/>
      <c r="Y38" s="3037"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35"/>
      <c r="Q39" s="1899" t="str">
        <f t="shared" si="11"/>
        <v>层高</v>
      </c>
      <c r="R39" s="753" t="s">
        <v>25</v>
      </c>
      <c r="S39" s="754">
        <f t="shared" si="12"/>
        <v>100</v>
      </c>
      <c r="T39" s="753" t="s">
        <v>25</v>
      </c>
      <c r="U39" s="754">
        <f t="shared" si="13"/>
        <v>100</v>
      </c>
      <c r="V39" s="753" t="s">
        <v>25</v>
      </c>
      <c r="W39" s="754">
        <f t="shared" si="14"/>
        <v>100</v>
      </c>
      <c r="X39" s="1900"/>
      <c r="Y39" s="3037"/>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5"/>
      <c r="Q40" s="1899" t="str">
        <f t="shared" si="11"/>
        <v>单套建筑面积</v>
      </c>
      <c r="R40" s="753" t="s">
        <v>25</v>
      </c>
      <c r="S40" s="754">
        <f t="shared" si="12"/>
        <v>100</v>
      </c>
      <c r="T40" s="753" t="s">
        <v>25</v>
      </c>
      <c r="U40" s="754">
        <f t="shared" si="13"/>
        <v>100</v>
      </c>
      <c r="V40" s="753" t="s">
        <v>25</v>
      </c>
      <c r="W40" s="754">
        <f t="shared" si="14"/>
        <v>100</v>
      </c>
      <c r="X40" s="1900"/>
      <c r="Y40" s="3037"/>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5"/>
      <c r="Q41" s="755" t="str">
        <f t="shared" si="11"/>
        <v>进深比</v>
      </c>
      <c r="R41" s="756" t="s">
        <v>25</v>
      </c>
      <c r="S41" s="757">
        <f t="shared" si="12"/>
        <v>100</v>
      </c>
      <c r="T41" s="756" t="s">
        <v>25</v>
      </c>
      <c r="U41" s="757">
        <f t="shared" si="13"/>
        <v>100</v>
      </c>
      <c r="V41" s="756" t="s">
        <v>25</v>
      </c>
      <c r="W41" s="757">
        <f t="shared" si="14"/>
        <v>100</v>
      </c>
      <c r="X41" s="758"/>
      <c r="Y41" s="3037"/>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35"/>
      <c r="Q42" s="1899" t="str">
        <f t="shared" si="11"/>
        <v>内部装修</v>
      </c>
      <c r="R42" s="753" t="s">
        <v>25</v>
      </c>
      <c r="S42" s="754">
        <f t="shared" si="12"/>
        <v>100</v>
      </c>
      <c r="T42" s="753" t="s">
        <v>25</v>
      </c>
      <c r="U42" s="754">
        <f t="shared" si="13"/>
        <v>100</v>
      </c>
      <c r="V42" s="753" t="s">
        <v>25</v>
      </c>
      <c r="W42" s="754">
        <f t="shared" si="14"/>
        <v>100</v>
      </c>
      <c r="X42" s="1900"/>
      <c r="Y42" s="3037"/>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35"/>
      <c r="Q43" s="1899" t="str">
        <f t="shared" si="11"/>
        <v>内部装修维护情况</v>
      </c>
      <c r="R43" s="753" t="s">
        <v>25</v>
      </c>
      <c r="S43" s="754">
        <f t="shared" si="12"/>
        <v>100</v>
      </c>
      <c r="T43" s="753" t="s">
        <v>25</v>
      </c>
      <c r="U43" s="754">
        <f t="shared" si="13"/>
        <v>100</v>
      </c>
      <c r="V43" s="753" t="s">
        <v>25</v>
      </c>
      <c r="W43" s="754">
        <f t="shared" si="14"/>
        <v>100</v>
      </c>
      <c r="X43" s="1900"/>
      <c r="Y43" s="3037"/>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5"/>
      <c r="Q44" s="1887">
        <f t="shared" si="11"/>
        <v>111</v>
      </c>
      <c r="R44" s="749" t="s">
        <v>25</v>
      </c>
      <c r="S44" s="750">
        <f t="shared" si="12"/>
        <v>100</v>
      </c>
      <c r="T44" s="749" t="s">
        <v>25</v>
      </c>
      <c r="U44" s="750">
        <f t="shared" si="13"/>
        <v>100</v>
      </c>
      <c r="V44" s="749" t="s">
        <v>25</v>
      </c>
      <c r="W44" s="750">
        <f t="shared" si="14"/>
        <v>100</v>
      </c>
      <c r="X44" s="751"/>
      <c r="Y44" s="303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5"/>
      <c r="Q45" s="1899">
        <f t="shared" si="11"/>
        <v>111</v>
      </c>
      <c r="R45" s="753" t="s">
        <v>25</v>
      </c>
      <c r="S45" s="754">
        <f t="shared" si="12"/>
        <v>100</v>
      </c>
      <c r="T45" s="753" t="s">
        <v>25</v>
      </c>
      <c r="U45" s="754">
        <f t="shared" si="13"/>
        <v>100</v>
      </c>
      <c r="V45" s="753" t="s">
        <v>25</v>
      </c>
      <c r="W45" s="754">
        <f t="shared" si="14"/>
        <v>100</v>
      </c>
      <c r="X45" s="1900"/>
      <c r="Y45" s="3037"/>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6"/>
      <c r="Q46" s="1899">
        <f t="shared" si="11"/>
        <v>111</v>
      </c>
      <c r="R46" s="753" t="s">
        <v>25</v>
      </c>
      <c r="S46" s="754">
        <f t="shared" si="12"/>
        <v>100</v>
      </c>
      <c r="T46" s="753" t="s">
        <v>25</v>
      </c>
      <c r="U46" s="754">
        <f t="shared" si="13"/>
        <v>100</v>
      </c>
      <c r="V46" s="753" t="s">
        <v>25</v>
      </c>
      <c r="W46" s="754">
        <f t="shared" si="14"/>
        <v>100</v>
      </c>
      <c r="X46" s="1900"/>
      <c r="Y46" s="3038"/>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29" t="str">
        <f>A47</f>
        <v>成交单价（元/平方米）</v>
      </c>
      <c r="Q47" s="3029"/>
      <c r="R47" s="3025">
        <f>E47</f>
        <v>0</v>
      </c>
      <c r="S47" s="3025"/>
      <c r="T47" s="3025">
        <f>G47</f>
        <v>0</v>
      </c>
      <c r="U47" s="3025"/>
      <c r="V47" s="3025">
        <f>I47</f>
        <v>0</v>
      </c>
      <c r="W47" s="302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29" t="str">
        <f>A48</f>
        <v>比较价值（元/平方米）</v>
      </c>
      <c r="Q48" s="3029"/>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26" t="str">
        <f>A49</f>
        <v>估价对象XX用房的比较价值（楼面单价，元/平方米）</v>
      </c>
      <c r="Q49" s="3027"/>
      <c r="R49" s="3028" t="e">
        <f>IF(E1="售价",ROUND(AVERAGE(R48:V48),0),ROUND(AVERAGE(R48:V48),1))</f>
        <v>#DIV/0!</v>
      </c>
      <c r="S49" s="3028"/>
      <c r="T49" s="3028"/>
      <c r="U49" s="3028"/>
      <c r="V49" s="3028"/>
      <c r="W49" s="302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1" priority="17" stopIfTrue="1" operator="containsText" text="超过">
      <formula>NOT(ISERROR(SEARCH("超过",F52)))</formula>
    </cfRule>
  </conditionalFormatting>
  <conditionalFormatting sqref="H54">
    <cfRule type="containsText" dxfId="120" priority="15" stopIfTrue="1" operator="containsText" text="超过">
      <formula>NOT(ISERROR(SEARCH("超过",H54)))</formula>
    </cfRule>
  </conditionalFormatting>
  <conditionalFormatting sqref="F54">
    <cfRule type="containsText" dxfId="119" priority="14" stopIfTrue="1" operator="containsText" text="超过">
      <formula>NOT(ISERROR(SEARCH("超过",F54)))</formula>
    </cfRule>
  </conditionalFormatting>
  <conditionalFormatting sqref="F53 H53">
    <cfRule type="containsText" dxfId="118" priority="13" stopIfTrue="1" operator="containsText" text="超过">
      <formula>NOT(ISERROR(SEARCH("超过",F53)))</formula>
    </cfRule>
  </conditionalFormatting>
  <conditionalFormatting sqref="E52">
    <cfRule type="expression" dxfId="117" priority="12" stopIfTrue="1">
      <formula>$F$52="超过30%"</formula>
    </cfRule>
  </conditionalFormatting>
  <conditionalFormatting sqref="E53">
    <cfRule type="expression" dxfId="116" priority="11" stopIfTrue="1">
      <formula>$F$53="超过20%"</formula>
    </cfRule>
  </conditionalFormatting>
  <conditionalFormatting sqref="E54">
    <cfRule type="expression" dxfId="115" priority="10" stopIfTrue="1">
      <formula>$F$54="超过30%"</formula>
    </cfRule>
  </conditionalFormatting>
  <conditionalFormatting sqref="G54">
    <cfRule type="expression" dxfId="114" priority="9" stopIfTrue="1">
      <formula>$H$54="超过30%"</formula>
    </cfRule>
  </conditionalFormatting>
  <conditionalFormatting sqref="G52">
    <cfRule type="expression" dxfId="113" priority="8" stopIfTrue="1">
      <formula>$H$52="超过30%"</formula>
    </cfRule>
  </conditionalFormatting>
  <conditionalFormatting sqref="G53">
    <cfRule type="expression" dxfId="112" priority="7" stopIfTrue="1">
      <formula>$H$53="超过20%"</formula>
    </cfRule>
  </conditionalFormatting>
  <conditionalFormatting sqref="J52">
    <cfRule type="containsText" dxfId="111" priority="6" stopIfTrue="1" operator="containsText" text="超过">
      <formula>NOT(ISERROR(SEARCH("超过",J52)))</formula>
    </cfRule>
  </conditionalFormatting>
  <conditionalFormatting sqref="J54">
    <cfRule type="containsText" dxfId="110" priority="5" stopIfTrue="1" operator="containsText" text="超过">
      <formula>NOT(ISERROR(SEARCH("超过",J54)))</formula>
    </cfRule>
  </conditionalFormatting>
  <conditionalFormatting sqref="J53">
    <cfRule type="containsText" dxfId="109" priority="4" stopIfTrue="1" operator="containsText" text="超过">
      <formula>NOT(ISERROR(SEARCH("超过",J53)))</formula>
    </cfRule>
  </conditionalFormatting>
  <conditionalFormatting sqref="I52">
    <cfRule type="expression" dxfId="108" priority="3" stopIfTrue="1">
      <formula>$J$52="超过30%"</formula>
    </cfRule>
  </conditionalFormatting>
  <conditionalFormatting sqref="I53">
    <cfRule type="expression" dxfId="107" priority="2" stopIfTrue="1">
      <formula>$J$53="超过20%"</formula>
    </cfRule>
  </conditionalFormatting>
  <conditionalFormatting sqref="I54">
    <cfRule type="expression" dxfId="10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2339</v>
      </c>
      <c r="D3" s="378">
        <f>IF(C1="仅计算典型户型",'数据-取费表'!E5,'数据-取费表'!B5)</f>
        <v>187.16</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56" t="s">
        <v>2341</v>
      </c>
      <c r="D4" s="3057"/>
      <c r="E4" s="3058" t="s">
        <v>2342</v>
      </c>
      <c r="F4" s="3059"/>
      <c r="G4" s="3056" t="s">
        <v>2343</v>
      </c>
      <c r="H4" s="3057"/>
      <c r="I4" s="3056" t="s">
        <v>2344</v>
      </c>
      <c r="J4" s="3057"/>
      <c r="K4" s="594" t="s">
        <v>2345</v>
      </c>
      <c r="L4" s="1243"/>
      <c r="M4" s="1244"/>
      <c r="N4" s="1244"/>
      <c r="O4" s="1244"/>
      <c r="P4" s="3076" t="s">
        <v>2346</v>
      </c>
      <c r="Q4" s="3061"/>
      <c r="R4" s="3045" t="s">
        <v>2342</v>
      </c>
      <c r="S4" s="3046"/>
      <c r="T4" s="3045" t="s">
        <v>2343</v>
      </c>
      <c r="U4" s="3046"/>
      <c r="V4" s="3066" t="s">
        <v>2344</v>
      </c>
      <c r="W4" s="3066"/>
      <c r="X4" s="1900"/>
      <c r="Y4" s="3045" t="s">
        <v>2346</v>
      </c>
      <c r="Z4" s="3046"/>
      <c r="AA4" s="3053" t="s">
        <v>2342</v>
      </c>
      <c r="AB4" s="3053" t="s">
        <v>2343</v>
      </c>
      <c r="AC4" s="3053" t="s">
        <v>2344</v>
      </c>
    </row>
    <row r="5" spans="1:29" ht="15">
      <c r="A5" s="383"/>
      <c r="B5" s="384"/>
      <c r="C5" s="3041" t="s">
        <v>2347</v>
      </c>
      <c r="D5" s="3042"/>
      <c r="E5" s="3067" t="s">
        <v>2348</v>
      </c>
      <c r="F5" s="3068"/>
      <c r="G5" s="3041" t="s">
        <v>2349</v>
      </c>
      <c r="H5" s="3042"/>
      <c r="I5" s="3041" t="s">
        <v>2350</v>
      </c>
      <c r="J5" s="3042"/>
      <c r="K5" s="594"/>
      <c r="L5" s="1243"/>
      <c r="M5" s="1244"/>
      <c r="N5" s="1244"/>
      <c r="O5" s="1244"/>
      <c r="P5" s="3077"/>
      <c r="Q5" s="3063"/>
      <c r="R5" s="3047"/>
      <c r="S5" s="3048"/>
      <c r="T5" s="3047"/>
      <c r="U5" s="3048"/>
      <c r="V5" s="3066"/>
      <c r="W5" s="3066"/>
      <c r="X5" s="1900"/>
      <c r="Y5" s="3047"/>
      <c r="Z5" s="3048"/>
      <c r="AA5" s="3054"/>
      <c r="AB5" s="3054"/>
      <c r="AC5" s="3054"/>
    </row>
    <row r="6" spans="1:29" ht="15.75" thickBot="1">
      <c r="A6" s="385"/>
      <c r="B6" s="386"/>
      <c r="C6" s="3039" t="s">
        <v>2351</v>
      </c>
      <c r="D6" s="3040"/>
      <c r="E6" s="3070" t="s">
        <v>2351</v>
      </c>
      <c r="F6" s="3071"/>
      <c r="G6" s="3039" t="s">
        <v>2351</v>
      </c>
      <c r="H6" s="3040"/>
      <c r="I6" s="3039" t="s">
        <v>2351</v>
      </c>
      <c r="J6" s="3040"/>
      <c r="K6" s="594" t="s">
        <v>2352</v>
      </c>
      <c r="L6" s="1243"/>
      <c r="M6" s="1244"/>
      <c r="N6" s="1244"/>
      <c r="O6" s="1244"/>
      <c r="P6" s="3078"/>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51" t="s">
        <v>2354</v>
      </c>
      <c r="Q7" s="3051"/>
      <c r="R7" s="749" t="s">
        <v>25</v>
      </c>
      <c r="S7" s="750">
        <f t="shared" ref="S7:S15" si="0">F7</f>
        <v>0</v>
      </c>
      <c r="T7" s="749" t="s">
        <v>25</v>
      </c>
      <c r="U7" s="750">
        <f t="shared" ref="U7:U15" si="1">H7</f>
        <v>0</v>
      </c>
      <c r="V7" s="749" t="s">
        <v>25</v>
      </c>
      <c r="W7" s="750">
        <f t="shared" ref="W7:W15" si="2">J7</f>
        <v>0</v>
      </c>
      <c r="X7" s="751"/>
      <c r="Y7" s="3043" t="s">
        <v>2354</v>
      </c>
      <c r="Z7" s="304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1" t="s">
        <v>2357</v>
      </c>
      <c r="Q8" s="3044"/>
      <c r="R8" s="749" t="s">
        <v>25</v>
      </c>
      <c r="S8" s="750">
        <f t="shared" si="0"/>
        <v>0</v>
      </c>
      <c r="T8" s="749" t="s">
        <v>25</v>
      </c>
      <c r="U8" s="750">
        <f t="shared" si="1"/>
        <v>0</v>
      </c>
      <c r="V8" s="749" t="s">
        <v>25</v>
      </c>
      <c r="W8" s="750">
        <f t="shared" si="2"/>
        <v>0</v>
      </c>
      <c r="X8" s="751"/>
      <c r="Y8" s="3043" t="s">
        <v>2357</v>
      </c>
      <c r="Z8" s="304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7"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7"/>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7"/>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7"/>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7"/>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7"/>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1" t="s">
        <v>2365</v>
      </c>
      <c r="Q15" s="1899" t="str">
        <f t="shared" si="6"/>
        <v>办公集聚程度</v>
      </c>
      <c r="R15" s="753" t="s">
        <v>25</v>
      </c>
      <c r="S15" s="754">
        <f t="shared" si="0"/>
        <v>100</v>
      </c>
      <c r="T15" s="753" t="s">
        <v>25</v>
      </c>
      <c r="U15" s="754">
        <f t="shared" si="1"/>
        <v>100</v>
      </c>
      <c r="V15" s="753" t="s">
        <v>25</v>
      </c>
      <c r="W15" s="754">
        <f t="shared" si="2"/>
        <v>100</v>
      </c>
      <c r="X15" s="1900"/>
      <c r="Y15" s="3032"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3"/>
      <c r="Q16" s="1899"/>
      <c r="R16" s="753"/>
      <c r="S16" s="754"/>
      <c r="T16" s="753"/>
      <c r="U16" s="754"/>
      <c r="V16" s="753"/>
      <c r="W16" s="754"/>
      <c r="X16" s="1900"/>
      <c r="Y16" s="3033"/>
      <c r="Z16" s="1902"/>
      <c r="AA16" s="1903">
        <v>1</v>
      </c>
      <c r="AB16" s="1903">
        <v>1</v>
      </c>
      <c r="AC16" s="1903">
        <v>1</v>
      </c>
    </row>
    <row r="17" spans="1:29" ht="114">
      <c r="A17" s="408"/>
      <c r="B17" s="615" t="s">
        <v>1749</v>
      </c>
      <c r="C17" s="2467" t="str">
        <f>估价对象房地状况!C6</f>
        <v>估价对象紧邻城市主干道—曙光西路，有132路、467路、515路等多条公交线路及地铁10号线太阳宫站通过，交通便捷度较好。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63"/>
      <c r="Q18" s="1899"/>
      <c r="R18" s="753"/>
      <c r="S18" s="754"/>
      <c r="T18" s="753"/>
      <c r="U18" s="754"/>
      <c r="V18" s="753"/>
      <c r="W18" s="754"/>
      <c r="X18" s="1900"/>
      <c r="Y18" s="3033"/>
      <c r="Z18" s="1902"/>
      <c r="AA18" s="1903">
        <v>1</v>
      </c>
      <c r="AB18" s="1903">
        <v>1</v>
      </c>
      <c r="AC18" s="1903">
        <v>1</v>
      </c>
    </row>
    <row r="19" spans="1:29" ht="42.75">
      <c r="A19" s="408"/>
      <c r="B19" s="615" t="s">
        <v>2480</v>
      </c>
      <c r="C19" s="2467"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3"/>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63"/>
      <c r="Q20" s="1899"/>
      <c r="R20" s="753"/>
      <c r="S20" s="754"/>
      <c r="T20" s="753"/>
      <c r="U20" s="754"/>
      <c r="V20" s="753"/>
      <c r="W20" s="754"/>
      <c r="X20" s="1900"/>
      <c r="Y20" s="3033"/>
      <c r="Z20" s="1902"/>
      <c r="AA20" s="1903">
        <v>1</v>
      </c>
      <c r="AB20" s="1903">
        <v>1</v>
      </c>
      <c r="AC20" s="1903">
        <v>1</v>
      </c>
    </row>
    <row r="21" spans="1:29" ht="15">
      <c r="A21" s="408"/>
      <c r="B21" s="617" t="s">
        <v>2481</v>
      </c>
      <c r="C21" s="2467"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3"/>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63"/>
      <c r="Q22" s="1899"/>
      <c r="R22" s="753"/>
      <c r="S22" s="754"/>
      <c r="T22" s="753"/>
      <c r="U22" s="754"/>
      <c r="V22" s="753"/>
      <c r="W22" s="754"/>
      <c r="X22" s="1900"/>
      <c r="Y22" s="3033"/>
      <c r="Z22" s="1902"/>
      <c r="AA22" s="1903">
        <v>1</v>
      </c>
      <c r="AB22" s="1903">
        <v>1</v>
      </c>
      <c r="AC22" s="1903">
        <v>1</v>
      </c>
    </row>
    <row r="23" spans="1:29" ht="128.25">
      <c r="A23" s="408"/>
      <c r="B23" s="615" t="s">
        <v>2482</v>
      </c>
      <c r="C23" s="2467" t="str">
        <f>估价对象房地状况!C9</f>
        <v>自然环境：太阳宫公园、金隅南湖公园、坝河等；人文环境：北京中医药大学、中央美术学院、园林科技研究所等；综合评价环境状况较好。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3"/>
      <c r="Q23" s="1899" t="str">
        <f>B23</f>
        <v>环境质量</v>
      </c>
      <c r="R23" s="753" t="s">
        <v>25</v>
      </c>
      <c r="S23" s="754">
        <f>F23</f>
        <v>100</v>
      </c>
      <c r="T23" s="753" t="s">
        <v>25</v>
      </c>
      <c r="U23" s="754">
        <f>H23</f>
        <v>100</v>
      </c>
      <c r="V23" s="753" t="s">
        <v>25</v>
      </c>
      <c r="W23" s="754">
        <f>J23</f>
        <v>100</v>
      </c>
      <c r="X23" s="1900"/>
      <c r="Y23" s="3033"/>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63"/>
      <c r="Q24" s="1899"/>
      <c r="R24" s="753"/>
      <c r="S24" s="754"/>
      <c r="T24" s="753"/>
      <c r="U24" s="754"/>
      <c r="V24" s="753"/>
      <c r="W24" s="754"/>
      <c r="X24" s="1900"/>
      <c r="Y24" s="3033"/>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63"/>
      <c r="Q25" s="1899" t="str">
        <f>B25</f>
        <v>毗邻道路的类型与等级</v>
      </c>
      <c r="R25" s="753" t="s">
        <v>25</v>
      </c>
      <c r="S25" s="754">
        <f>F25</f>
        <v>100</v>
      </c>
      <c r="T25" s="753" t="s">
        <v>25</v>
      </c>
      <c r="U25" s="754">
        <f>H25</f>
        <v>100</v>
      </c>
      <c r="V25" s="753" t="s">
        <v>25</v>
      </c>
      <c r="W25" s="754">
        <f>J25</f>
        <v>100</v>
      </c>
      <c r="X25" s="1900"/>
      <c r="Y25" s="303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3"/>
      <c r="Q26" s="1899"/>
      <c r="R26" s="753"/>
      <c r="S26" s="754"/>
      <c r="T26" s="753"/>
      <c r="U26" s="754"/>
      <c r="V26" s="753"/>
      <c r="W26" s="754"/>
      <c r="X26" s="1900"/>
      <c r="Y26" s="3033"/>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3"/>
      <c r="Q27" s="1899" t="str">
        <f t="shared" ref="Q27:Q47" si="11">B27</f>
        <v>楼层</v>
      </c>
      <c r="R27" s="753" t="s">
        <v>25</v>
      </c>
      <c r="S27" s="754">
        <f>F27</f>
        <v>100</v>
      </c>
      <c r="T27" s="753" t="s">
        <v>25</v>
      </c>
      <c r="U27" s="754">
        <f>H27</f>
        <v>100</v>
      </c>
      <c r="V27" s="753" t="s">
        <v>25</v>
      </c>
      <c r="W27" s="754">
        <f>J27</f>
        <v>100</v>
      </c>
      <c r="X27" s="1900"/>
      <c r="Y27" s="3033"/>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63"/>
      <c r="Q28" s="1887" t="str">
        <f t="shared" si="11"/>
        <v>朝向</v>
      </c>
      <c r="R28" s="749" t="s">
        <v>25</v>
      </c>
      <c r="S28" s="750">
        <f>F28</f>
        <v>100</v>
      </c>
      <c r="T28" s="749" t="s">
        <v>25</v>
      </c>
      <c r="U28" s="750">
        <f>H28</f>
        <v>100</v>
      </c>
      <c r="V28" s="749" t="s">
        <v>25</v>
      </c>
      <c r="W28" s="750">
        <f>J28</f>
        <v>100</v>
      </c>
      <c r="X28" s="751"/>
      <c r="Y28" s="3033"/>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3"/>
      <c r="Q29" s="1899">
        <f t="shared" si="11"/>
        <v>111</v>
      </c>
      <c r="R29" s="753" t="s">
        <v>25</v>
      </c>
      <c r="S29" s="754">
        <f t="shared" ref="S29:S47" si="12">F29</f>
        <v>100</v>
      </c>
      <c r="T29" s="753" t="s">
        <v>25</v>
      </c>
      <c r="U29" s="754">
        <f t="shared" ref="U29:U47" si="13">H29</f>
        <v>100</v>
      </c>
      <c r="V29" s="753" t="s">
        <v>25</v>
      </c>
      <c r="W29" s="754">
        <f t="shared" ref="W29:W47" si="14">J29</f>
        <v>100</v>
      </c>
      <c r="X29" s="1900"/>
      <c r="Y29" s="3033"/>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3"/>
      <c r="Q30" s="1899">
        <f t="shared" si="11"/>
        <v>111</v>
      </c>
      <c r="R30" s="753" t="s">
        <v>25</v>
      </c>
      <c r="S30" s="754">
        <f t="shared" si="12"/>
        <v>100</v>
      </c>
      <c r="T30" s="753" t="s">
        <v>25</v>
      </c>
      <c r="U30" s="754">
        <f t="shared" si="13"/>
        <v>100</v>
      </c>
      <c r="V30" s="753" t="s">
        <v>25</v>
      </c>
      <c r="W30" s="754">
        <f t="shared" si="14"/>
        <v>100</v>
      </c>
      <c r="X30" s="1900"/>
      <c r="Y30" s="3033"/>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3"/>
      <c r="Q31" s="1899">
        <f t="shared" si="11"/>
        <v>111</v>
      </c>
      <c r="R31" s="753" t="s">
        <v>25</v>
      </c>
      <c r="S31" s="754">
        <f t="shared" si="12"/>
        <v>100</v>
      </c>
      <c r="T31" s="753" t="s">
        <v>25</v>
      </c>
      <c r="U31" s="754">
        <f t="shared" si="13"/>
        <v>100</v>
      </c>
      <c r="V31" s="753" t="s">
        <v>25</v>
      </c>
      <c r="W31" s="754">
        <f t="shared" si="14"/>
        <v>100</v>
      </c>
      <c r="X31" s="1900"/>
      <c r="Y31" s="303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3"/>
      <c r="Q32" s="1899">
        <f t="shared" si="11"/>
        <v>111</v>
      </c>
      <c r="R32" s="753" t="s">
        <v>25</v>
      </c>
      <c r="S32" s="754">
        <f t="shared" si="12"/>
        <v>100</v>
      </c>
      <c r="T32" s="753" t="s">
        <v>25</v>
      </c>
      <c r="U32" s="754">
        <f t="shared" si="13"/>
        <v>100</v>
      </c>
      <c r="V32" s="753" t="s">
        <v>25</v>
      </c>
      <c r="W32" s="754">
        <f t="shared" si="14"/>
        <v>100</v>
      </c>
      <c r="X32" s="1900"/>
      <c r="Y32" s="3033"/>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73" t="s">
        <v>2371</v>
      </c>
      <c r="Q33" s="1899" t="str">
        <f t="shared" si="11"/>
        <v>建筑类型</v>
      </c>
      <c r="R33" s="753" t="s">
        <v>25</v>
      </c>
      <c r="S33" s="754">
        <f t="shared" si="12"/>
        <v>100</v>
      </c>
      <c r="T33" s="753" t="s">
        <v>25</v>
      </c>
      <c r="U33" s="754">
        <f t="shared" si="13"/>
        <v>100</v>
      </c>
      <c r="V33" s="753" t="s">
        <v>25</v>
      </c>
      <c r="W33" s="754">
        <f t="shared" si="14"/>
        <v>100</v>
      </c>
      <c r="X33" s="1900"/>
      <c r="Y33" s="3037"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4"/>
      <c r="Q34" s="755" t="str">
        <f t="shared" si="11"/>
        <v>项目建筑规模</v>
      </c>
      <c r="R34" s="756" t="s">
        <v>25</v>
      </c>
      <c r="S34" s="757" t="e">
        <f t="shared" si="12"/>
        <v>#N/A</v>
      </c>
      <c r="T34" s="756" t="s">
        <v>25</v>
      </c>
      <c r="U34" s="757" t="e">
        <f t="shared" si="13"/>
        <v>#N/A</v>
      </c>
      <c r="V34" s="756" t="s">
        <v>25</v>
      </c>
      <c r="W34" s="757" t="e">
        <f t="shared" si="14"/>
        <v>#N/A</v>
      </c>
      <c r="X34" s="758"/>
      <c r="Y34" s="3037"/>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4"/>
      <c r="Q35" s="1899" t="str">
        <f t="shared" si="11"/>
        <v>建筑结构</v>
      </c>
      <c r="R35" s="753" t="s">
        <v>25</v>
      </c>
      <c r="S35" s="754">
        <f t="shared" si="12"/>
        <v>100</v>
      </c>
      <c r="T35" s="753" t="s">
        <v>25</v>
      </c>
      <c r="U35" s="754">
        <f t="shared" si="13"/>
        <v>100</v>
      </c>
      <c r="V35" s="753" t="s">
        <v>25</v>
      </c>
      <c r="W35" s="754">
        <f t="shared" si="14"/>
        <v>100</v>
      </c>
      <c r="X35" s="1900"/>
      <c r="Y35" s="3037"/>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4"/>
      <c r="Q36" s="1899" t="str">
        <f t="shared" si="11"/>
        <v>公共部分装修</v>
      </c>
      <c r="R36" s="753" t="s">
        <v>25</v>
      </c>
      <c r="S36" s="754">
        <f t="shared" si="12"/>
        <v>100</v>
      </c>
      <c r="T36" s="753" t="s">
        <v>25</v>
      </c>
      <c r="U36" s="754">
        <f t="shared" si="13"/>
        <v>100</v>
      </c>
      <c r="V36" s="753" t="s">
        <v>25</v>
      </c>
      <c r="W36" s="754">
        <f t="shared" si="14"/>
        <v>100</v>
      </c>
      <c r="X36" s="1900"/>
      <c r="Y36" s="3037"/>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4"/>
      <c r="Q37" s="1899" t="str">
        <f t="shared" si="11"/>
        <v>成新度</v>
      </c>
      <c r="R37" s="753" t="s">
        <v>25</v>
      </c>
      <c r="S37" s="754" t="e">
        <f t="shared" si="12"/>
        <v>#N/A</v>
      </c>
      <c r="T37" s="753" t="s">
        <v>25</v>
      </c>
      <c r="U37" s="754" t="e">
        <f t="shared" si="13"/>
        <v>#N/A</v>
      </c>
      <c r="V37" s="753" t="s">
        <v>25</v>
      </c>
      <c r="W37" s="754" t="e">
        <f t="shared" si="14"/>
        <v>#N/A</v>
      </c>
      <c r="X37" s="1900"/>
      <c r="Y37" s="3037"/>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4"/>
      <c r="Q38" s="1887" t="str">
        <f t="shared" si="11"/>
        <v>写字楼等级</v>
      </c>
      <c r="R38" s="749" t="s">
        <v>25</v>
      </c>
      <c r="S38" s="750">
        <f t="shared" si="12"/>
        <v>100</v>
      </c>
      <c r="T38" s="749" t="s">
        <v>25</v>
      </c>
      <c r="U38" s="750">
        <f t="shared" si="13"/>
        <v>100</v>
      </c>
      <c r="V38" s="749" t="s">
        <v>25</v>
      </c>
      <c r="W38" s="750">
        <f t="shared" si="14"/>
        <v>100</v>
      </c>
      <c r="X38" s="751"/>
      <c r="Y38" s="3037"/>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4" t="s">
        <v>2371</v>
      </c>
      <c r="Q39" s="1899" t="str">
        <f t="shared" si="11"/>
        <v>物业管理</v>
      </c>
      <c r="R39" s="753" t="s">
        <v>25</v>
      </c>
      <c r="S39" s="754">
        <f t="shared" si="12"/>
        <v>100</v>
      </c>
      <c r="T39" s="753" t="s">
        <v>25</v>
      </c>
      <c r="U39" s="754">
        <f t="shared" si="13"/>
        <v>100</v>
      </c>
      <c r="V39" s="753" t="s">
        <v>25</v>
      </c>
      <c r="W39" s="754">
        <f t="shared" si="14"/>
        <v>100</v>
      </c>
      <c r="X39" s="1900"/>
      <c r="Y39" s="3037"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4"/>
      <c r="Q40" s="1899" t="str">
        <f t="shared" si="11"/>
        <v>市政基础设施</v>
      </c>
      <c r="R40" s="753" t="s">
        <v>25</v>
      </c>
      <c r="S40" s="754">
        <f t="shared" si="12"/>
        <v>100</v>
      </c>
      <c r="T40" s="753" t="s">
        <v>25</v>
      </c>
      <c r="U40" s="754">
        <f t="shared" si="13"/>
        <v>100</v>
      </c>
      <c r="V40" s="753" t="s">
        <v>25</v>
      </c>
      <c r="W40" s="754">
        <f t="shared" si="14"/>
        <v>100</v>
      </c>
      <c r="X40" s="1900"/>
      <c r="Y40" s="3037"/>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4"/>
      <c r="Q41" s="1899" t="str">
        <f t="shared" si="11"/>
        <v>层高</v>
      </c>
      <c r="R41" s="753" t="s">
        <v>25</v>
      </c>
      <c r="S41" s="754">
        <f t="shared" si="12"/>
        <v>100</v>
      </c>
      <c r="T41" s="753" t="s">
        <v>25</v>
      </c>
      <c r="U41" s="754">
        <f t="shared" si="13"/>
        <v>100</v>
      </c>
      <c r="V41" s="753" t="s">
        <v>25</v>
      </c>
      <c r="W41" s="754">
        <f t="shared" si="14"/>
        <v>100</v>
      </c>
      <c r="X41" s="1900"/>
      <c r="Y41" s="3037"/>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4"/>
      <c r="Q42" s="755" t="str">
        <f t="shared" si="11"/>
        <v>单套建筑面积</v>
      </c>
      <c r="R42" s="756" t="s">
        <v>25</v>
      </c>
      <c r="S42" s="757">
        <f t="shared" si="12"/>
        <v>100</v>
      </c>
      <c r="T42" s="756" t="s">
        <v>25</v>
      </c>
      <c r="U42" s="757">
        <f t="shared" si="13"/>
        <v>100</v>
      </c>
      <c r="V42" s="756" t="s">
        <v>25</v>
      </c>
      <c r="W42" s="757">
        <f t="shared" si="14"/>
        <v>100</v>
      </c>
      <c r="X42" s="758"/>
      <c r="Y42" s="3037"/>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4"/>
      <c r="Q43" s="1899" t="str">
        <f t="shared" si="11"/>
        <v>内部装修</v>
      </c>
      <c r="R43" s="753" t="s">
        <v>25</v>
      </c>
      <c r="S43" s="754">
        <f t="shared" si="12"/>
        <v>100</v>
      </c>
      <c r="T43" s="753" t="s">
        <v>25</v>
      </c>
      <c r="U43" s="754">
        <f t="shared" si="13"/>
        <v>100</v>
      </c>
      <c r="V43" s="753" t="s">
        <v>25</v>
      </c>
      <c r="W43" s="754">
        <f t="shared" si="14"/>
        <v>100</v>
      </c>
      <c r="X43" s="1900"/>
      <c r="Y43" s="3037"/>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74"/>
      <c r="Q44" s="1899" t="str">
        <f t="shared" si="11"/>
        <v>内部装修维护情况</v>
      </c>
      <c r="R44" s="753" t="s">
        <v>25</v>
      </c>
      <c r="S44" s="754">
        <f t="shared" si="12"/>
        <v>100</v>
      </c>
      <c r="T44" s="753" t="s">
        <v>25</v>
      </c>
      <c r="U44" s="754">
        <f t="shared" si="13"/>
        <v>100</v>
      </c>
      <c r="V44" s="753" t="s">
        <v>25</v>
      </c>
      <c r="W44" s="754">
        <f t="shared" si="14"/>
        <v>100</v>
      </c>
      <c r="X44" s="1900"/>
      <c r="Y44" s="3037"/>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4"/>
      <c r="Q45" s="1887">
        <f t="shared" si="11"/>
        <v>111</v>
      </c>
      <c r="R45" s="749" t="s">
        <v>25</v>
      </c>
      <c r="S45" s="750">
        <f t="shared" si="12"/>
        <v>100</v>
      </c>
      <c r="T45" s="749" t="s">
        <v>25</v>
      </c>
      <c r="U45" s="750">
        <f t="shared" si="13"/>
        <v>100</v>
      </c>
      <c r="V45" s="749" t="s">
        <v>25</v>
      </c>
      <c r="W45" s="750">
        <f t="shared" si="14"/>
        <v>100</v>
      </c>
      <c r="X45" s="751"/>
      <c r="Y45" s="3037"/>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4"/>
      <c r="Q46" s="1899">
        <f t="shared" si="11"/>
        <v>111</v>
      </c>
      <c r="R46" s="753" t="s">
        <v>25</v>
      </c>
      <c r="S46" s="754">
        <f t="shared" si="12"/>
        <v>100</v>
      </c>
      <c r="T46" s="753" t="s">
        <v>25</v>
      </c>
      <c r="U46" s="754">
        <f t="shared" si="13"/>
        <v>100</v>
      </c>
      <c r="V46" s="753" t="s">
        <v>25</v>
      </c>
      <c r="W46" s="754">
        <f t="shared" si="14"/>
        <v>100</v>
      </c>
      <c r="X46" s="1900"/>
      <c r="Y46" s="3037"/>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5"/>
      <c r="Q47" s="1899">
        <f t="shared" si="11"/>
        <v>111</v>
      </c>
      <c r="R47" s="753" t="s">
        <v>25</v>
      </c>
      <c r="S47" s="754">
        <f t="shared" si="12"/>
        <v>100</v>
      </c>
      <c r="T47" s="753" t="s">
        <v>25</v>
      </c>
      <c r="U47" s="754">
        <f t="shared" si="13"/>
        <v>100</v>
      </c>
      <c r="V47" s="753" t="s">
        <v>25</v>
      </c>
      <c r="W47" s="754">
        <f t="shared" si="14"/>
        <v>100</v>
      </c>
      <c r="X47" s="1900"/>
      <c r="Y47" s="3038"/>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27" t="str">
        <f>A48</f>
        <v>成交单价（元/平方米）</v>
      </c>
      <c r="Q48" s="3029"/>
      <c r="R48" s="3025">
        <f>E48</f>
        <v>0</v>
      </c>
      <c r="S48" s="3025"/>
      <c r="T48" s="3025">
        <f>G48</f>
        <v>0</v>
      </c>
      <c r="U48" s="3025"/>
      <c r="V48" s="3025">
        <f>I48</f>
        <v>0</v>
      </c>
      <c r="W48" s="302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27" t="str">
        <f>A49</f>
        <v>比较价值（元/平方米）</v>
      </c>
      <c r="Q49" s="3029"/>
      <c r="R49" s="3025" t="e">
        <f>IF(E1="售价",ROUND(PRODUCT(R48,AA7:AA47),0),ROUND(PRODUCT(R48,AA7:AA47),1))</f>
        <v>#DIV/0!</v>
      </c>
      <c r="S49" s="3025"/>
      <c r="T49" s="3025" t="e">
        <f>IF(E1="售价",ROUND(PRODUCT(T48,AB7:AB47),0),ROUND(PRODUCT(T48,AB7:AB47),1))</f>
        <v>#DIV/0!</v>
      </c>
      <c r="U49" s="3025"/>
      <c r="V49" s="3025" t="e">
        <f>IF(E1="售价",ROUND(PRODUCT(V48,AC7:AC47),0),ROUND(PRODUCT(V48,AC7:AC47),1))</f>
        <v>#DIV/0!</v>
      </c>
      <c r="W49" s="302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3027"/>
      <c r="R50" s="3028" t="e">
        <f>IF(E1="售价",ROUND(AVERAGE(R49:V49),0),ROUND(AVERAGE(R49:V49),1))</f>
        <v>#DIV/0!</v>
      </c>
      <c r="S50" s="3028"/>
      <c r="T50" s="3028"/>
      <c r="U50" s="3028"/>
      <c r="V50" s="3028"/>
      <c r="W50" s="302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5" priority="16" stopIfTrue="1" operator="containsText" text="超过">
      <formula>NOT(ISERROR(SEARCH("超过",F53)))</formula>
    </cfRule>
  </conditionalFormatting>
  <conditionalFormatting sqref="H55">
    <cfRule type="containsText" dxfId="104" priority="15" stopIfTrue="1" operator="containsText" text="超过">
      <formula>NOT(ISERROR(SEARCH("超过",H55)))</formula>
    </cfRule>
  </conditionalFormatting>
  <conditionalFormatting sqref="F55">
    <cfRule type="containsText" dxfId="103" priority="14" stopIfTrue="1" operator="containsText" text="超过">
      <formula>NOT(ISERROR(SEARCH("超过",F55)))</formula>
    </cfRule>
  </conditionalFormatting>
  <conditionalFormatting sqref="F54 H54">
    <cfRule type="containsText" dxfId="102" priority="13" stopIfTrue="1" operator="containsText" text="超过">
      <formula>NOT(ISERROR(SEARCH("超过",F54)))</formula>
    </cfRule>
  </conditionalFormatting>
  <conditionalFormatting sqref="E53">
    <cfRule type="expression" dxfId="101" priority="12" stopIfTrue="1">
      <formula>$F$53="超过30%"</formula>
    </cfRule>
  </conditionalFormatting>
  <conditionalFormatting sqref="E54">
    <cfRule type="expression" dxfId="100" priority="11" stopIfTrue="1">
      <formula>$F$54="超过20%"</formula>
    </cfRule>
  </conditionalFormatting>
  <conditionalFormatting sqref="E55">
    <cfRule type="expression" dxfId="99" priority="10" stopIfTrue="1">
      <formula>$F$55="超过30%"</formula>
    </cfRule>
  </conditionalFormatting>
  <conditionalFormatting sqref="G55">
    <cfRule type="expression" dxfId="98" priority="9" stopIfTrue="1">
      <formula>$H$55="超过30%"</formula>
    </cfRule>
  </conditionalFormatting>
  <conditionalFormatting sqref="G53">
    <cfRule type="expression" dxfId="97" priority="8" stopIfTrue="1">
      <formula>$H$53="超过30%"</formula>
    </cfRule>
  </conditionalFormatting>
  <conditionalFormatting sqref="G54">
    <cfRule type="expression" dxfId="96" priority="7" stopIfTrue="1">
      <formula>$H$54="超过20%"</formula>
    </cfRule>
  </conditionalFormatting>
  <conditionalFormatting sqref="J53">
    <cfRule type="containsText" dxfId="95" priority="6" stopIfTrue="1" operator="containsText" text="超过">
      <formula>NOT(ISERROR(SEARCH("超过",J53)))</formula>
    </cfRule>
  </conditionalFormatting>
  <conditionalFormatting sqref="J55">
    <cfRule type="containsText" dxfId="94" priority="5" stopIfTrue="1" operator="containsText" text="超过">
      <formula>NOT(ISERROR(SEARCH("超过",J55)))</formula>
    </cfRule>
  </conditionalFormatting>
  <conditionalFormatting sqref="J54">
    <cfRule type="containsText" dxfId="93" priority="4" stopIfTrue="1" operator="containsText" text="超过">
      <formula>NOT(ISERROR(SEARCH("超过",J54)))</formula>
    </cfRule>
  </conditionalFormatting>
  <conditionalFormatting sqref="I53">
    <cfRule type="expression" dxfId="92" priority="3" stopIfTrue="1">
      <formula>$J$53="超过30%"</formula>
    </cfRule>
  </conditionalFormatting>
  <conditionalFormatting sqref="I54">
    <cfRule type="expression" dxfId="91" priority="2" stopIfTrue="1">
      <formula>$J$53+$J$54="超过20%"</formula>
    </cfRule>
  </conditionalFormatting>
  <conditionalFormatting sqref="I55">
    <cfRule type="expression" dxfId="9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6"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187.16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6" t="s">
        <v>2341</v>
      </c>
      <c r="D4" s="3057"/>
      <c r="E4" s="3058" t="s">
        <v>2342</v>
      </c>
      <c r="F4" s="3059"/>
      <c r="G4" s="3056" t="s">
        <v>2343</v>
      </c>
      <c r="H4" s="3057"/>
      <c r="I4" s="3056" t="s">
        <v>2344</v>
      </c>
      <c r="J4" s="3057"/>
      <c r="K4" s="594"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54" t="s">
        <v>2343</v>
      </c>
      <c r="AC4" s="3053" t="s">
        <v>2344</v>
      </c>
    </row>
    <row r="5" spans="1:29" ht="15">
      <c r="A5" s="383"/>
      <c r="B5" s="384"/>
      <c r="C5" s="3041" t="s">
        <v>2347</v>
      </c>
      <c r="D5" s="3042"/>
      <c r="E5" s="3067" t="s">
        <v>2348</v>
      </c>
      <c r="F5" s="3068"/>
      <c r="G5" s="3041" t="s">
        <v>2349</v>
      </c>
      <c r="H5" s="3042"/>
      <c r="I5" s="3041" t="s">
        <v>2350</v>
      </c>
      <c r="J5" s="3042"/>
      <c r="K5" s="594"/>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
        <v>2351</v>
      </c>
      <c r="D6" s="3040"/>
      <c r="E6" s="3070" t="s">
        <v>2351</v>
      </c>
      <c r="F6" s="3071"/>
      <c r="G6" s="3039" t="s">
        <v>2351</v>
      </c>
      <c r="H6" s="3040"/>
      <c r="I6" s="3039" t="s">
        <v>2351</v>
      </c>
      <c r="J6" s="3040"/>
      <c r="K6" s="594" t="s">
        <v>2352</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3" t="s">
        <v>2354</v>
      </c>
      <c r="Q7" s="3051"/>
      <c r="R7" s="749" t="s">
        <v>25</v>
      </c>
      <c r="S7" s="750">
        <f t="shared" ref="S7:S15" si="0">F7</f>
        <v>0</v>
      </c>
      <c r="T7" s="749" t="s">
        <v>25</v>
      </c>
      <c r="U7" s="750">
        <f t="shared" ref="U7:U15" si="1">H7</f>
        <v>0</v>
      </c>
      <c r="V7" s="749" t="s">
        <v>25</v>
      </c>
      <c r="W7" s="750">
        <f t="shared" ref="W7:W15" si="2">J7</f>
        <v>0</v>
      </c>
      <c r="X7" s="751"/>
      <c r="Y7" s="3043" t="s">
        <v>2354</v>
      </c>
      <c r="Z7" s="304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3" t="s">
        <v>2357</v>
      </c>
      <c r="Q8" s="3044"/>
      <c r="R8" s="749" t="s">
        <v>25</v>
      </c>
      <c r="S8" s="750">
        <f t="shared" si="0"/>
        <v>100</v>
      </c>
      <c r="T8" s="749" t="s">
        <v>25</v>
      </c>
      <c r="U8" s="750">
        <f t="shared" si="1"/>
        <v>100</v>
      </c>
      <c r="V8" s="749" t="s">
        <v>25</v>
      </c>
      <c r="W8" s="750">
        <f t="shared" si="2"/>
        <v>100</v>
      </c>
      <c r="X8" s="751"/>
      <c r="Y8" s="3043" t="s">
        <v>2357</v>
      </c>
      <c r="Z8" s="304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9"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2" t="s">
        <v>2365</v>
      </c>
      <c r="Q15" s="1899" t="str">
        <f t="shared" si="6"/>
        <v>产业集聚程度</v>
      </c>
      <c r="R15" s="753" t="s">
        <v>25</v>
      </c>
      <c r="S15" s="754">
        <f t="shared" si="0"/>
        <v>100</v>
      </c>
      <c r="T15" s="753" t="s">
        <v>25</v>
      </c>
      <c r="U15" s="754">
        <f t="shared" si="1"/>
        <v>100</v>
      </c>
      <c r="V15" s="753" t="s">
        <v>25</v>
      </c>
      <c r="W15" s="754">
        <f t="shared" si="2"/>
        <v>100</v>
      </c>
      <c r="X15" s="1900"/>
      <c r="Y15" s="3032"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3"/>
      <c r="Q16" s="1899"/>
      <c r="R16" s="753"/>
      <c r="S16" s="754"/>
      <c r="T16" s="753"/>
      <c r="U16" s="754"/>
      <c r="V16" s="753"/>
      <c r="W16" s="754"/>
      <c r="X16" s="1900"/>
      <c r="Y16" s="3033"/>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33"/>
      <c r="Q18" s="1899"/>
      <c r="R18" s="753"/>
      <c r="S18" s="754"/>
      <c r="T18" s="753"/>
      <c r="U18" s="754"/>
      <c r="V18" s="753"/>
      <c r="W18" s="754"/>
      <c r="X18" s="1900"/>
      <c r="Y18" s="3033"/>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3"/>
      <c r="Q19" s="1899" t="str">
        <f>B19</f>
        <v>公共配套设施</v>
      </c>
      <c r="R19" s="753" t="s">
        <v>25</v>
      </c>
      <c r="S19" s="754">
        <f>F19</f>
        <v>100</v>
      </c>
      <c r="T19" s="753" t="s">
        <v>25</v>
      </c>
      <c r="U19" s="754">
        <f>H19</f>
        <v>100</v>
      </c>
      <c r="V19" s="753" t="s">
        <v>25</v>
      </c>
      <c r="W19" s="754">
        <f>J19</f>
        <v>100</v>
      </c>
      <c r="X19" s="1900"/>
      <c r="Y19" s="3033"/>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33"/>
      <c r="Q20" s="1899"/>
      <c r="R20" s="753"/>
      <c r="S20" s="754"/>
      <c r="T20" s="753"/>
      <c r="U20" s="754"/>
      <c r="V20" s="753"/>
      <c r="W20" s="754"/>
      <c r="X20" s="1900"/>
      <c r="Y20" s="3033"/>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3"/>
      <c r="Q21" s="1899" t="str">
        <f>B21</f>
        <v>基础设施水平</v>
      </c>
      <c r="R21" s="753" t="s">
        <v>25</v>
      </c>
      <c r="S21" s="754">
        <f>F21</f>
        <v>100</v>
      </c>
      <c r="T21" s="753" t="s">
        <v>25</v>
      </c>
      <c r="U21" s="754">
        <f>H21</f>
        <v>100</v>
      </c>
      <c r="V21" s="753" t="s">
        <v>25</v>
      </c>
      <c r="W21" s="754">
        <f>J21</f>
        <v>100</v>
      </c>
      <c r="X21" s="1900"/>
      <c r="Y21" s="303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33"/>
      <c r="Q22" s="1899"/>
      <c r="R22" s="753"/>
      <c r="S22" s="754"/>
      <c r="T22" s="753"/>
      <c r="U22" s="754"/>
      <c r="V22" s="753"/>
      <c r="W22" s="754"/>
      <c r="X22" s="1900"/>
      <c r="Y22" s="3033"/>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3"/>
      <c r="Q23" s="1899" t="str">
        <f>B23</f>
        <v>环境质量</v>
      </c>
      <c r="R23" s="753" t="s">
        <v>25</v>
      </c>
      <c r="S23" s="754">
        <f>F23</f>
        <v>100</v>
      </c>
      <c r="T23" s="753" t="s">
        <v>25</v>
      </c>
      <c r="U23" s="754">
        <f>H23</f>
        <v>100</v>
      </c>
      <c r="V23" s="753" t="s">
        <v>25</v>
      </c>
      <c r="W23" s="754">
        <f>J23</f>
        <v>100</v>
      </c>
      <c r="X23" s="1900"/>
      <c r="Y23" s="3033"/>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33"/>
      <c r="Q24" s="1899"/>
      <c r="R24" s="753"/>
      <c r="S24" s="754"/>
      <c r="T24" s="753"/>
      <c r="U24" s="754"/>
      <c r="V24" s="753"/>
      <c r="W24" s="754"/>
      <c r="X24" s="1900"/>
      <c r="Y24" s="3033"/>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3"/>
      <c r="Q25" s="1899">
        <f>B25</f>
        <v>111</v>
      </c>
      <c r="R25" s="753" t="s">
        <v>25</v>
      </c>
      <c r="S25" s="754">
        <f>F25</f>
        <v>100</v>
      </c>
      <c r="T25" s="753" t="s">
        <v>25</v>
      </c>
      <c r="U25" s="754">
        <f>H25</f>
        <v>100</v>
      </c>
      <c r="V25" s="753" t="s">
        <v>25</v>
      </c>
      <c r="W25" s="754">
        <f>J25</f>
        <v>100</v>
      </c>
      <c r="X25" s="1900"/>
      <c r="Y25" s="3033"/>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3"/>
      <c r="Q26" s="1899">
        <f t="shared" ref="Q26:Q40" si="11">B26</f>
        <v>111</v>
      </c>
      <c r="R26" s="753" t="s">
        <v>25</v>
      </c>
      <c r="S26" s="754">
        <f>F26</f>
        <v>100</v>
      </c>
      <c r="T26" s="753" t="s">
        <v>25</v>
      </c>
      <c r="U26" s="754">
        <f>H26</f>
        <v>100</v>
      </c>
      <c r="V26" s="753" t="s">
        <v>25</v>
      </c>
      <c r="W26" s="754">
        <f>J26</f>
        <v>100</v>
      </c>
      <c r="X26" s="1900"/>
      <c r="Y26" s="3033"/>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3"/>
      <c r="Q27" s="1887">
        <f t="shared" si="11"/>
        <v>111</v>
      </c>
      <c r="R27" s="749" t="s">
        <v>25</v>
      </c>
      <c r="S27" s="750">
        <f>F27</f>
        <v>100</v>
      </c>
      <c r="T27" s="749" t="s">
        <v>25</v>
      </c>
      <c r="U27" s="750">
        <f>H27</f>
        <v>100</v>
      </c>
      <c r="V27" s="749" t="s">
        <v>25</v>
      </c>
      <c r="W27" s="750">
        <f>J27</f>
        <v>100</v>
      </c>
      <c r="X27" s="751"/>
      <c r="Y27" s="3033"/>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3"/>
      <c r="Q28" s="1899">
        <f t="shared" si="11"/>
        <v>111</v>
      </c>
      <c r="R28" s="753" t="s">
        <v>25</v>
      </c>
      <c r="S28" s="754">
        <f t="shared" ref="S28:S40" si="12">F28</f>
        <v>100</v>
      </c>
      <c r="T28" s="753" t="s">
        <v>25</v>
      </c>
      <c r="U28" s="754">
        <f t="shared" ref="U28:U40" si="13">H28</f>
        <v>100</v>
      </c>
      <c r="V28" s="753" t="s">
        <v>25</v>
      </c>
      <c r="W28" s="754">
        <f t="shared" ref="W28:W40" si="14">J28</f>
        <v>100</v>
      </c>
      <c r="X28" s="1900"/>
      <c r="Y28" s="3033"/>
      <c r="Z28" s="1902">
        <f t="shared" ref="Z28:Z40" si="15">Q28</f>
        <v>111</v>
      </c>
      <c r="AA28" s="1903">
        <f t="shared" si="3"/>
        <v>1</v>
      </c>
      <c r="AB28" s="1903">
        <f t="shared" si="4"/>
        <v>1</v>
      </c>
      <c r="AC28" s="1903">
        <f t="shared" si="5"/>
        <v>1</v>
      </c>
    </row>
    <row r="29" spans="1:29" ht="1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79" t="s">
        <v>2371</v>
      </c>
      <c r="Q29" s="1899" t="str">
        <f t="shared" si="11"/>
        <v>建筑类型</v>
      </c>
      <c r="R29" s="753" t="s">
        <v>25</v>
      </c>
      <c r="S29" s="754">
        <f t="shared" si="12"/>
        <v>100</v>
      </c>
      <c r="T29" s="753" t="s">
        <v>25</v>
      </c>
      <c r="U29" s="754">
        <f t="shared" si="13"/>
        <v>100</v>
      </c>
      <c r="V29" s="753" t="s">
        <v>25</v>
      </c>
      <c r="W29" s="754">
        <f t="shared" si="14"/>
        <v>100</v>
      </c>
      <c r="X29" s="1900"/>
      <c r="Y29" s="3037"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7"/>
      <c r="Q30" s="755" t="str">
        <f t="shared" si="11"/>
        <v>项目建筑规模</v>
      </c>
      <c r="R30" s="756" t="s">
        <v>25</v>
      </c>
      <c r="S30" s="757" t="e">
        <f t="shared" si="12"/>
        <v>#N/A</v>
      </c>
      <c r="T30" s="756" t="s">
        <v>25</v>
      </c>
      <c r="U30" s="757" t="e">
        <f t="shared" si="13"/>
        <v>#N/A</v>
      </c>
      <c r="V30" s="756" t="s">
        <v>25</v>
      </c>
      <c r="W30" s="757" t="e">
        <f t="shared" si="14"/>
        <v>#N/A</v>
      </c>
      <c r="X30" s="758"/>
      <c r="Y30" s="3037"/>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7"/>
      <c r="Q31" s="1899" t="str">
        <f t="shared" si="11"/>
        <v>建筑结构</v>
      </c>
      <c r="R31" s="753" t="s">
        <v>25</v>
      </c>
      <c r="S31" s="754">
        <f t="shared" si="12"/>
        <v>100</v>
      </c>
      <c r="T31" s="753" t="s">
        <v>25</v>
      </c>
      <c r="U31" s="754">
        <f t="shared" si="13"/>
        <v>100</v>
      </c>
      <c r="V31" s="753" t="s">
        <v>25</v>
      </c>
      <c r="W31" s="754">
        <f t="shared" si="14"/>
        <v>100</v>
      </c>
      <c r="X31" s="1900"/>
      <c r="Y31" s="3037"/>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7"/>
      <c r="Q32" s="1899" t="str">
        <f t="shared" si="11"/>
        <v>公共部分装修</v>
      </c>
      <c r="R32" s="753" t="s">
        <v>25</v>
      </c>
      <c r="S32" s="754">
        <f t="shared" si="12"/>
        <v>100</v>
      </c>
      <c r="T32" s="753" t="s">
        <v>25</v>
      </c>
      <c r="U32" s="754">
        <f t="shared" si="13"/>
        <v>100</v>
      </c>
      <c r="V32" s="753" t="s">
        <v>25</v>
      </c>
      <c r="W32" s="754">
        <f t="shared" si="14"/>
        <v>100</v>
      </c>
      <c r="X32" s="1900"/>
      <c r="Y32" s="3037"/>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7"/>
      <c r="Q33" s="1899" t="str">
        <f t="shared" si="11"/>
        <v>成新度</v>
      </c>
      <c r="R33" s="753" t="s">
        <v>25</v>
      </c>
      <c r="S33" s="754" t="e">
        <f t="shared" si="12"/>
        <v>#N/A</v>
      </c>
      <c r="T33" s="753" t="s">
        <v>25</v>
      </c>
      <c r="U33" s="754" t="e">
        <f t="shared" si="13"/>
        <v>#N/A</v>
      </c>
      <c r="V33" s="753" t="s">
        <v>25</v>
      </c>
      <c r="W33" s="754" t="e">
        <f t="shared" si="14"/>
        <v>#N/A</v>
      </c>
      <c r="X33" s="1900"/>
      <c r="Y33" s="3037"/>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7"/>
      <c r="Q34" s="1887" t="str">
        <f t="shared" si="11"/>
        <v>物业管理</v>
      </c>
      <c r="R34" s="749" t="s">
        <v>25</v>
      </c>
      <c r="S34" s="750">
        <f t="shared" si="12"/>
        <v>100</v>
      </c>
      <c r="T34" s="749" t="s">
        <v>25</v>
      </c>
      <c r="U34" s="750">
        <f t="shared" si="13"/>
        <v>100</v>
      </c>
      <c r="V34" s="749" t="s">
        <v>25</v>
      </c>
      <c r="W34" s="750">
        <f t="shared" si="14"/>
        <v>100</v>
      </c>
      <c r="X34" s="751"/>
      <c r="Y34" s="3037"/>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7" t="s">
        <v>2371</v>
      </c>
      <c r="Q35" s="1899" t="str">
        <f t="shared" si="11"/>
        <v>市政基础设施</v>
      </c>
      <c r="R35" s="753" t="s">
        <v>25</v>
      </c>
      <c r="S35" s="754">
        <f t="shared" si="12"/>
        <v>100</v>
      </c>
      <c r="T35" s="753" t="s">
        <v>25</v>
      </c>
      <c r="U35" s="754">
        <f t="shared" si="13"/>
        <v>100</v>
      </c>
      <c r="V35" s="753" t="s">
        <v>25</v>
      </c>
      <c r="W35" s="754">
        <f t="shared" si="14"/>
        <v>100</v>
      </c>
      <c r="X35" s="1900"/>
      <c r="Y35" s="3037"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7"/>
      <c r="Q36" s="1899" t="str">
        <f t="shared" si="11"/>
        <v>内部装修</v>
      </c>
      <c r="R36" s="753" t="s">
        <v>25</v>
      </c>
      <c r="S36" s="754">
        <f t="shared" si="12"/>
        <v>100</v>
      </c>
      <c r="T36" s="753" t="s">
        <v>25</v>
      </c>
      <c r="U36" s="754">
        <f t="shared" si="13"/>
        <v>100</v>
      </c>
      <c r="V36" s="753" t="s">
        <v>25</v>
      </c>
      <c r="W36" s="754">
        <f t="shared" si="14"/>
        <v>100</v>
      </c>
      <c r="X36" s="1900"/>
      <c r="Y36" s="3037"/>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7"/>
      <c r="Q37" s="1899" t="str">
        <f t="shared" si="11"/>
        <v>内部装修状况</v>
      </c>
      <c r="R37" s="753" t="s">
        <v>25</v>
      </c>
      <c r="S37" s="754">
        <f t="shared" si="12"/>
        <v>0</v>
      </c>
      <c r="T37" s="753" t="s">
        <v>25</v>
      </c>
      <c r="U37" s="754">
        <f t="shared" si="13"/>
        <v>0</v>
      </c>
      <c r="V37" s="753" t="s">
        <v>25</v>
      </c>
      <c r="W37" s="754">
        <f t="shared" si="14"/>
        <v>0</v>
      </c>
      <c r="X37" s="1900"/>
      <c r="Y37" s="3037"/>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7"/>
      <c r="Q38" s="755">
        <f t="shared" si="11"/>
        <v>111</v>
      </c>
      <c r="R38" s="756" t="s">
        <v>25</v>
      </c>
      <c r="S38" s="757">
        <f t="shared" si="12"/>
        <v>100</v>
      </c>
      <c r="T38" s="756" t="s">
        <v>25</v>
      </c>
      <c r="U38" s="757">
        <f t="shared" si="13"/>
        <v>100</v>
      </c>
      <c r="V38" s="756" t="s">
        <v>25</v>
      </c>
      <c r="W38" s="757">
        <f t="shared" si="14"/>
        <v>100</v>
      </c>
      <c r="X38" s="758"/>
      <c r="Y38" s="3037"/>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7"/>
      <c r="Q39" s="1899">
        <f t="shared" si="11"/>
        <v>111</v>
      </c>
      <c r="R39" s="753" t="s">
        <v>25</v>
      </c>
      <c r="S39" s="754">
        <f t="shared" si="12"/>
        <v>100</v>
      </c>
      <c r="T39" s="753" t="s">
        <v>25</v>
      </c>
      <c r="U39" s="754">
        <f t="shared" si="13"/>
        <v>100</v>
      </c>
      <c r="V39" s="753" t="s">
        <v>25</v>
      </c>
      <c r="W39" s="754">
        <f t="shared" si="14"/>
        <v>100</v>
      </c>
      <c r="X39" s="1900"/>
      <c r="Y39" s="3037"/>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8"/>
      <c r="Q40" s="1899">
        <f t="shared" si="11"/>
        <v>111</v>
      </c>
      <c r="R40" s="753" t="s">
        <v>25</v>
      </c>
      <c r="S40" s="754">
        <f t="shared" si="12"/>
        <v>100</v>
      </c>
      <c r="T40" s="753" t="s">
        <v>25</v>
      </c>
      <c r="U40" s="754">
        <f t="shared" si="13"/>
        <v>100</v>
      </c>
      <c r="V40" s="753" t="s">
        <v>25</v>
      </c>
      <c r="W40" s="754">
        <f t="shared" si="14"/>
        <v>100</v>
      </c>
      <c r="X40" s="1900"/>
      <c r="Y40" s="3038"/>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29" t="str">
        <f>A41</f>
        <v>成交单价（元/平方米）</v>
      </c>
      <c r="Q41" s="3029"/>
      <c r="R41" s="3025">
        <f>E41</f>
        <v>0</v>
      </c>
      <c r="S41" s="3025"/>
      <c r="T41" s="3025">
        <f>G41</f>
        <v>0</v>
      </c>
      <c r="U41" s="3025"/>
      <c r="V41" s="3025">
        <f>I41</f>
        <v>0</v>
      </c>
      <c r="W41" s="302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29" t="str">
        <f>A42</f>
        <v>比较价值（元/平方米）</v>
      </c>
      <c r="Q42" s="3029"/>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26" t="str">
        <f>A43</f>
        <v>估价对象XX用房的比较价值（楼面单价，元/平方米）</v>
      </c>
      <c r="Q43" s="3027"/>
      <c r="R43" s="3028" t="e">
        <f>IF(E1="售价",ROUND(AVERAGE(R42:V42),0),ROUND(AVERAGE(R42:V42),1))</f>
        <v>#DIV/0!</v>
      </c>
      <c r="S43" s="3028"/>
      <c r="T43" s="3028"/>
      <c r="U43" s="3028"/>
      <c r="V43" s="3028"/>
      <c r="W43" s="302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9" priority="16" stopIfTrue="1" operator="containsText" text="超过">
      <formula>NOT(ISERROR(SEARCH("超过",F46)))</formula>
    </cfRule>
  </conditionalFormatting>
  <conditionalFormatting sqref="H48">
    <cfRule type="containsText" dxfId="88" priority="15" stopIfTrue="1" operator="containsText" text="超过">
      <formula>NOT(ISERROR(SEARCH("超过",H48)))</formula>
    </cfRule>
  </conditionalFormatting>
  <conditionalFormatting sqref="F48">
    <cfRule type="containsText" dxfId="87" priority="14" stopIfTrue="1" operator="containsText" text="超过">
      <formula>NOT(ISERROR(SEARCH("超过",F48)))</formula>
    </cfRule>
  </conditionalFormatting>
  <conditionalFormatting sqref="F47 H47">
    <cfRule type="containsText" dxfId="86" priority="13" stopIfTrue="1" operator="containsText" text="超过">
      <formula>NOT(ISERROR(SEARCH("超过",F47)))</formula>
    </cfRule>
  </conditionalFormatting>
  <conditionalFormatting sqref="E46">
    <cfRule type="expression" dxfId="85" priority="12" stopIfTrue="1">
      <formula>$F$46="超过30%"</formula>
    </cfRule>
  </conditionalFormatting>
  <conditionalFormatting sqref="E47">
    <cfRule type="expression" dxfId="84" priority="11" stopIfTrue="1">
      <formula>$F$47="超过20%"</formula>
    </cfRule>
  </conditionalFormatting>
  <conditionalFormatting sqref="E48">
    <cfRule type="expression" dxfId="83" priority="10" stopIfTrue="1">
      <formula>$F$48="超过30%"</formula>
    </cfRule>
  </conditionalFormatting>
  <conditionalFormatting sqref="G48">
    <cfRule type="expression" dxfId="82" priority="9" stopIfTrue="1">
      <formula>$H$48="超过30%"</formula>
    </cfRule>
  </conditionalFormatting>
  <conditionalFormatting sqref="G46">
    <cfRule type="expression" dxfId="81" priority="8" stopIfTrue="1">
      <formula>$H$46="超过30%"</formula>
    </cfRule>
  </conditionalFormatting>
  <conditionalFormatting sqref="G47">
    <cfRule type="expression" dxfId="80" priority="7" stopIfTrue="1">
      <formula>$H$47="超过20%"</formula>
    </cfRule>
  </conditionalFormatting>
  <conditionalFormatting sqref="J46">
    <cfRule type="containsText" dxfId="79" priority="6" stopIfTrue="1" operator="containsText" text="超过">
      <formula>NOT(ISERROR(SEARCH("超过",J46)))</formula>
    </cfRule>
  </conditionalFormatting>
  <conditionalFormatting sqref="J48">
    <cfRule type="containsText" dxfId="78" priority="5" stopIfTrue="1" operator="containsText" text="超过">
      <formula>NOT(ISERROR(SEARCH("超过",J48)))</formula>
    </cfRule>
  </conditionalFormatting>
  <conditionalFormatting sqref="J47">
    <cfRule type="containsText" dxfId="77" priority="4" stopIfTrue="1" operator="containsText" text="超过">
      <formula>NOT(ISERROR(SEARCH("超过",J47)))</formula>
    </cfRule>
  </conditionalFormatting>
  <conditionalFormatting sqref="I46">
    <cfRule type="expression" dxfId="76" priority="3" stopIfTrue="1">
      <formula>$J$46="超过30%"</formula>
    </cfRule>
  </conditionalFormatting>
  <conditionalFormatting sqref="I47">
    <cfRule type="expression" dxfId="75" priority="2" stopIfTrue="1">
      <formula>$J$47="超过20%"</formula>
    </cfRule>
  </conditionalFormatting>
  <conditionalFormatting sqref="I48">
    <cfRule type="expression" dxfId="7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187.16</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56" t="s">
        <v>2341</v>
      </c>
      <c r="D4" s="3057"/>
      <c r="E4" s="3058" t="s">
        <v>2342</v>
      </c>
      <c r="F4" s="3059"/>
      <c r="G4" s="3056" t="s">
        <v>2343</v>
      </c>
      <c r="H4" s="3057"/>
      <c r="I4" s="3056" t="s">
        <v>2344</v>
      </c>
      <c r="J4" s="3057"/>
      <c r="K4" s="594" t="s">
        <v>2345</v>
      </c>
      <c r="L4" s="1514"/>
      <c r="M4" s="425"/>
      <c r="N4" s="425"/>
      <c r="O4" s="425"/>
      <c r="P4" s="3060" t="s">
        <v>2346</v>
      </c>
      <c r="Q4" s="3061"/>
      <c r="R4" s="3045" t="s">
        <v>2342</v>
      </c>
      <c r="S4" s="3046"/>
      <c r="T4" s="3045" t="s">
        <v>2343</v>
      </c>
      <c r="U4" s="3046"/>
      <c r="V4" s="3066" t="s">
        <v>2344</v>
      </c>
      <c r="W4" s="3066"/>
      <c r="X4" s="1900"/>
      <c r="Y4" s="3045" t="s">
        <v>2346</v>
      </c>
      <c r="Z4" s="3046"/>
      <c r="AA4" s="3053" t="s">
        <v>2342</v>
      </c>
      <c r="AB4" s="3054" t="s">
        <v>2343</v>
      </c>
      <c r="AC4" s="3053" t="s">
        <v>2344</v>
      </c>
    </row>
    <row r="5" spans="1:29" ht="15">
      <c r="A5" s="383"/>
      <c r="B5" s="384"/>
      <c r="C5" s="3041" t="s">
        <v>2347</v>
      </c>
      <c r="D5" s="3042"/>
      <c r="E5" s="3067" t="s">
        <v>2348</v>
      </c>
      <c r="F5" s="3068"/>
      <c r="G5" s="3041" t="s">
        <v>2349</v>
      </c>
      <c r="H5" s="3042"/>
      <c r="I5" s="3041" t="s">
        <v>2350</v>
      </c>
      <c r="J5" s="3042"/>
      <c r="K5" s="594"/>
      <c r="L5" s="1514"/>
      <c r="M5" s="425"/>
      <c r="N5" s="425"/>
      <c r="O5" s="425"/>
      <c r="P5" s="3062"/>
      <c r="Q5" s="3063"/>
      <c r="R5" s="3047"/>
      <c r="S5" s="3048"/>
      <c r="T5" s="3047"/>
      <c r="U5" s="3048"/>
      <c r="V5" s="3066"/>
      <c r="W5" s="3066"/>
      <c r="X5" s="1900"/>
      <c r="Y5" s="3047"/>
      <c r="Z5" s="3048"/>
      <c r="AA5" s="3054"/>
      <c r="AB5" s="3054"/>
      <c r="AC5" s="3054"/>
    </row>
    <row r="6" spans="1:29" ht="15.75" thickBot="1">
      <c r="A6" s="385"/>
      <c r="B6" s="386"/>
      <c r="C6" s="3039" t="s">
        <v>2351</v>
      </c>
      <c r="D6" s="3040"/>
      <c r="E6" s="3070" t="s">
        <v>2351</v>
      </c>
      <c r="F6" s="3071"/>
      <c r="G6" s="3039" t="s">
        <v>2351</v>
      </c>
      <c r="H6" s="3040"/>
      <c r="I6" s="3039" t="s">
        <v>2351</v>
      </c>
      <c r="J6" s="3040"/>
      <c r="K6" s="594" t="s">
        <v>2352</v>
      </c>
      <c r="L6" s="1514"/>
      <c r="M6" s="425"/>
      <c r="N6" s="425"/>
      <c r="O6" s="425"/>
      <c r="P6" s="3064"/>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3" t="s">
        <v>2354</v>
      </c>
      <c r="Q7" s="3051"/>
      <c r="R7" s="749" t="s">
        <v>25</v>
      </c>
      <c r="S7" s="750">
        <f t="shared" ref="S7:S14" si="0">F7</f>
        <v>0</v>
      </c>
      <c r="T7" s="749" t="s">
        <v>25</v>
      </c>
      <c r="U7" s="750">
        <f t="shared" ref="U7:U14" si="1">H7</f>
        <v>0</v>
      </c>
      <c r="V7" s="749" t="s">
        <v>25</v>
      </c>
      <c r="W7" s="750">
        <f t="shared" ref="W7:W14" si="2">J7</f>
        <v>0</v>
      </c>
      <c r="X7" s="751"/>
      <c r="Y7" s="3043" t="s">
        <v>2354</v>
      </c>
      <c r="Z7" s="304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3" t="s">
        <v>2357</v>
      </c>
      <c r="Q8" s="3044"/>
      <c r="R8" s="749" t="s">
        <v>25</v>
      </c>
      <c r="S8" s="750">
        <f t="shared" si="0"/>
        <v>0</v>
      </c>
      <c r="T8" s="749" t="s">
        <v>25</v>
      </c>
      <c r="U8" s="750">
        <f t="shared" si="1"/>
        <v>0</v>
      </c>
      <c r="V8" s="749" t="s">
        <v>25</v>
      </c>
      <c r="W8" s="750">
        <f t="shared" si="2"/>
        <v>0</v>
      </c>
      <c r="X8" s="751"/>
      <c r="Y8" s="3043" t="s">
        <v>2357</v>
      </c>
      <c r="Z8" s="304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9" t="s">
        <v>2360</v>
      </c>
      <c r="Q9" s="1887" t="str">
        <f t="shared" ref="Q9:Q14" si="6">B9</f>
        <v>用途</v>
      </c>
      <c r="R9" s="749" t="s">
        <v>25</v>
      </c>
      <c r="S9" s="750">
        <f t="shared" si="0"/>
        <v>100</v>
      </c>
      <c r="T9" s="749" t="s">
        <v>25</v>
      </c>
      <c r="U9" s="750">
        <f t="shared" si="1"/>
        <v>100</v>
      </c>
      <c r="V9" s="749" t="s">
        <v>25</v>
      </c>
      <c r="W9" s="750">
        <f t="shared" si="2"/>
        <v>100</v>
      </c>
      <c r="X9" s="751"/>
      <c r="Y9" s="2855"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9"/>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9"/>
      <c r="Q11" s="1887">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9"/>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9"/>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估价对象紧邻城市主干道—曙光西路，有132路、467路、515路等多条公交线路及地铁10号线太阳宫站通过，交通便捷度较好。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2" t="s">
        <v>2365</v>
      </c>
      <c r="Q14" s="1899" t="str">
        <f t="shared" si="6"/>
        <v>交通便捷度</v>
      </c>
      <c r="R14" s="753" t="s">
        <v>25</v>
      </c>
      <c r="S14" s="754">
        <f t="shared" si="0"/>
        <v>100</v>
      </c>
      <c r="T14" s="753" t="s">
        <v>25</v>
      </c>
      <c r="U14" s="754">
        <f t="shared" si="1"/>
        <v>100</v>
      </c>
      <c r="V14" s="753" t="s">
        <v>25</v>
      </c>
      <c r="W14" s="754">
        <f t="shared" si="2"/>
        <v>100</v>
      </c>
      <c r="X14" s="1900"/>
      <c r="Y14" s="3032"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3"/>
      <c r="Q15" s="1899"/>
      <c r="R15" s="753"/>
      <c r="S15" s="754"/>
      <c r="T15" s="753"/>
      <c r="U15" s="754"/>
      <c r="V15" s="753"/>
      <c r="W15" s="754"/>
      <c r="X15" s="1900"/>
      <c r="Y15" s="3033"/>
      <c r="Z15" s="1902"/>
      <c r="AA15" s="1903">
        <v>1</v>
      </c>
      <c r="AB15" s="1903">
        <v>1</v>
      </c>
      <c r="AC15" s="1903">
        <v>1</v>
      </c>
    </row>
    <row r="16" spans="1:29" ht="42.75">
      <c r="A16" s="383"/>
      <c r="B16" s="615" t="s">
        <v>2480</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3"/>
      <c r="Q16" s="1899" t="str">
        <f>B16</f>
        <v>公共配套设施</v>
      </c>
      <c r="R16" s="753" t="s">
        <v>25</v>
      </c>
      <c r="S16" s="754">
        <f>F16</f>
        <v>100</v>
      </c>
      <c r="T16" s="753" t="s">
        <v>25</v>
      </c>
      <c r="U16" s="754">
        <f>H16</f>
        <v>100</v>
      </c>
      <c r="V16" s="753" t="s">
        <v>25</v>
      </c>
      <c r="W16" s="754">
        <f>J16</f>
        <v>100</v>
      </c>
      <c r="X16" s="1900"/>
      <c r="Y16" s="303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3"/>
      <c r="Q17" s="1899"/>
      <c r="R17" s="753"/>
      <c r="S17" s="754"/>
      <c r="T17" s="753"/>
      <c r="U17" s="754"/>
      <c r="V17" s="753"/>
      <c r="W17" s="754"/>
      <c r="X17" s="1900"/>
      <c r="Y17" s="3033"/>
      <c r="Z17" s="1902"/>
      <c r="AA17" s="1903">
        <v>1</v>
      </c>
      <c r="AB17" s="1903">
        <v>1</v>
      </c>
      <c r="AC17" s="1903">
        <v>1</v>
      </c>
    </row>
    <row r="18" spans="1:29" ht="15">
      <c r="A18" s="383"/>
      <c r="B18" s="617" t="s">
        <v>2481</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3"/>
      <c r="Q18" s="1899" t="str">
        <f>B18</f>
        <v>基础设施水平</v>
      </c>
      <c r="R18" s="753" t="s">
        <v>25</v>
      </c>
      <c r="S18" s="754">
        <f>F18</f>
        <v>100</v>
      </c>
      <c r="T18" s="753" t="s">
        <v>25</v>
      </c>
      <c r="U18" s="754">
        <f>H18</f>
        <v>100</v>
      </c>
      <c r="V18" s="753" t="s">
        <v>25</v>
      </c>
      <c r="W18" s="754">
        <f>J18</f>
        <v>100</v>
      </c>
      <c r="X18" s="1900"/>
      <c r="Y18" s="303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3"/>
      <c r="Q19" s="1899"/>
      <c r="R19" s="753"/>
      <c r="S19" s="754"/>
      <c r="T19" s="753"/>
      <c r="U19" s="754"/>
      <c r="V19" s="753"/>
      <c r="W19" s="754"/>
      <c r="X19" s="1900"/>
      <c r="Y19" s="3033"/>
      <c r="Z19" s="1902"/>
      <c r="AA19" s="1903">
        <v>1</v>
      </c>
      <c r="AB19" s="1903">
        <v>1</v>
      </c>
      <c r="AC19" s="1903">
        <v>1</v>
      </c>
    </row>
    <row r="20" spans="1:29" ht="128.25">
      <c r="A20" s="383"/>
      <c r="B20" s="615" t="s">
        <v>2509</v>
      </c>
      <c r="C20" s="1482" t="str">
        <f>IF(B1="工业",估价对象房地状况!G7,估价对象房地状况!C9)</f>
        <v>自然环境：太阳宫公园、金隅南湖公园、坝河等；人文环境：北京中医药大学、中央美术学院、园林科技研究所等；综合评价环境状况较好。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3"/>
      <c r="Q20" s="1899" t="str">
        <f>B20</f>
        <v>自然及人文环境</v>
      </c>
      <c r="R20" s="753" t="s">
        <v>25</v>
      </c>
      <c r="S20" s="754">
        <f>F20</f>
        <v>100</v>
      </c>
      <c r="T20" s="753" t="s">
        <v>25</v>
      </c>
      <c r="U20" s="754">
        <f>H20</f>
        <v>100</v>
      </c>
      <c r="V20" s="753" t="s">
        <v>25</v>
      </c>
      <c r="W20" s="754">
        <f>J20</f>
        <v>100</v>
      </c>
      <c r="X20" s="1900"/>
      <c r="Y20" s="303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3"/>
      <c r="Q21" s="1899"/>
      <c r="R21" s="753"/>
      <c r="S21" s="754"/>
      <c r="T21" s="753"/>
      <c r="U21" s="754"/>
      <c r="V21" s="753"/>
      <c r="W21" s="754"/>
      <c r="X21" s="1900"/>
      <c r="Y21" s="3033"/>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3"/>
      <c r="Q22" s="1899" t="str">
        <f>B22</f>
        <v>楼层</v>
      </c>
      <c r="R22" s="753" t="s">
        <v>25</v>
      </c>
      <c r="S22" s="754">
        <f>F22</f>
        <v>100</v>
      </c>
      <c r="T22" s="753" t="s">
        <v>25</v>
      </c>
      <c r="U22" s="754">
        <f>H22</f>
        <v>100</v>
      </c>
      <c r="V22" s="753" t="s">
        <v>25</v>
      </c>
      <c r="W22" s="754">
        <f>J22</f>
        <v>100</v>
      </c>
      <c r="X22" s="1900"/>
      <c r="Y22" s="303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3"/>
      <c r="Q23" s="1899">
        <f>B23</f>
        <v>111</v>
      </c>
      <c r="R23" s="753" t="s">
        <v>25</v>
      </c>
      <c r="S23" s="754">
        <f>F23</f>
        <v>100</v>
      </c>
      <c r="T23" s="753" t="s">
        <v>25</v>
      </c>
      <c r="U23" s="754">
        <f>H23</f>
        <v>100</v>
      </c>
      <c r="V23" s="753" t="s">
        <v>25</v>
      </c>
      <c r="W23" s="754">
        <f>J23</f>
        <v>100</v>
      </c>
      <c r="X23" s="1900"/>
      <c r="Y23" s="303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3"/>
      <c r="Q24" s="1899">
        <f t="shared" ref="Q24:Q36" si="11">B24</f>
        <v>111</v>
      </c>
      <c r="R24" s="753" t="s">
        <v>25</v>
      </c>
      <c r="S24" s="754">
        <f>F24</f>
        <v>100</v>
      </c>
      <c r="T24" s="753" t="s">
        <v>25</v>
      </c>
      <c r="U24" s="754">
        <f>H24</f>
        <v>100</v>
      </c>
      <c r="V24" s="753" t="s">
        <v>25</v>
      </c>
      <c r="W24" s="754">
        <f>J24</f>
        <v>100</v>
      </c>
      <c r="X24" s="1900"/>
      <c r="Y24" s="303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3"/>
      <c r="Q25" s="1887">
        <f t="shared" si="11"/>
        <v>111</v>
      </c>
      <c r="R25" s="749" t="s">
        <v>25</v>
      </c>
      <c r="S25" s="750">
        <f>F25</f>
        <v>100</v>
      </c>
      <c r="T25" s="749" t="s">
        <v>25</v>
      </c>
      <c r="U25" s="750">
        <f>H25</f>
        <v>100</v>
      </c>
      <c r="V25" s="749" t="s">
        <v>25</v>
      </c>
      <c r="W25" s="750">
        <f>J25</f>
        <v>100</v>
      </c>
      <c r="X25" s="751"/>
      <c r="Y25" s="3033"/>
      <c r="Z25" s="23">
        <f>Q25</f>
        <v>111</v>
      </c>
      <c r="AA25" s="1903">
        <f>D25/F25</f>
        <v>1</v>
      </c>
      <c r="AB25" s="1903">
        <f>D25/H25</f>
        <v>1</v>
      </c>
      <c r="AC25" s="1903">
        <f>D25/J25</f>
        <v>1</v>
      </c>
    </row>
    <row r="26" spans="1:29" ht="1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9"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7"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7"/>
      <c r="Q27" s="755" t="str">
        <f t="shared" si="11"/>
        <v>项目停车位配比</v>
      </c>
      <c r="R27" s="756" t="s">
        <v>25</v>
      </c>
      <c r="S27" s="757">
        <f t="shared" si="12"/>
        <v>100</v>
      </c>
      <c r="T27" s="756" t="s">
        <v>25</v>
      </c>
      <c r="U27" s="757">
        <f t="shared" si="13"/>
        <v>100</v>
      </c>
      <c r="V27" s="756" t="s">
        <v>25</v>
      </c>
      <c r="W27" s="757">
        <f t="shared" si="14"/>
        <v>100</v>
      </c>
      <c r="X27" s="758"/>
      <c r="Y27" s="3037"/>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7"/>
      <c r="Q28" s="1899" t="str">
        <f t="shared" si="11"/>
        <v>公共部分装修</v>
      </c>
      <c r="R28" s="753" t="s">
        <v>25</v>
      </c>
      <c r="S28" s="754">
        <f t="shared" si="12"/>
        <v>100</v>
      </c>
      <c r="T28" s="753" t="s">
        <v>25</v>
      </c>
      <c r="U28" s="754">
        <f t="shared" si="13"/>
        <v>100</v>
      </c>
      <c r="V28" s="753" t="s">
        <v>25</v>
      </c>
      <c r="W28" s="754">
        <f t="shared" si="14"/>
        <v>100</v>
      </c>
      <c r="X28" s="1900"/>
      <c r="Y28" s="3037"/>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7"/>
      <c r="Q29" s="1899" t="str">
        <f t="shared" si="11"/>
        <v>成新率</v>
      </c>
      <c r="R29" s="753" t="s">
        <v>25</v>
      </c>
      <c r="S29" s="754" t="e">
        <f t="shared" si="12"/>
        <v>#N/A</v>
      </c>
      <c r="T29" s="753" t="s">
        <v>25</v>
      </c>
      <c r="U29" s="754" t="e">
        <f t="shared" si="13"/>
        <v>#N/A</v>
      </c>
      <c r="V29" s="753" t="s">
        <v>25</v>
      </c>
      <c r="W29" s="754" t="e">
        <f t="shared" si="14"/>
        <v>#N/A</v>
      </c>
      <c r="X29" s="1900"/>
      <c r="Y29" s="3037"/>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7"/>
      <c r="Q30" s="1899" t="str">
        <f t="shared" si="11"/>
        <v>物业等级</v>
      </c>
      <c r="R30" s="753" t="s">
        <v>25</v>
      </c>
      <c r="S30" s="754">
        <f t="shared" si="12"/>
        <v>100</v>
      </c>
      <c r="T30" s="753" t="s">
        <v>25</v>
      </c>
      <c r="U30" s="754">
        <f t="shared" si="13"/>
        <v>100</v>
      </c>
      <c r="V30" s="753" t="s">
        <v>25</v>
      </c>
      <c r="W30" s="754">
        <f t="shared" si="14"/>
        <v>100</v>
      </c>
      <c r="X30" s="1900"/>
      <c r="Y30" s="3037"/>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7"/>
      <c r="Q31" s="1887" t="str">
        <f t="shared" si="11"/>
        <v>停车位面积</v>
      </c>
      <c r="R31" s="749" t="s">
        <v>25</v>
      </c>
      <c r="S31" s="750" t="e">
        <f t="shared" si="12"/>
        <v>#N/A</v>
      </c>
      <c r="T31" s="749" t="s">
        <v>25</v>
      </c>
      <c r="U31" s="750" t="e">
        <f t="shared" si="13"/>
        <v>#N/A</v>
      </c>
      <c r="V31" s="749" t="s">
        <v>25</v>
      </c>
      <c r="W31" s="750" t="e">
        <f t="shared" si="14"/>
        <v>#N/A</v>
      </c>
      <c r="X31" s="751"/>
      <c r="Y31" s="3037"/>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7" t="s">
        <v>2371</v>
      </c>
      <c r="Q32" s="1899" t="str">
        <f t="shared" si="11"/>
        <v>车位类型</v>
      </c>
      <c r="R32" s="753" t="s">
        <v>25</v>
      </c>
      <c r="S32" s="754">
        <f t="shared" si="12"/>
        <v>100</v>
      </c>
      <c r="T32" s="753" t="s">
        <v>25</v>
      </c>
      <c r="U32" s="754">
        <f t="shared" si="13"/>
        <v>100</v>
      </c>
      <c r="V32" s="753" t="s">
        <v>25</v>
      </c>
      <c r="W32" s="754">
        <f t="shared" si="14"/>
        <v>100</v>
      </c>
      <c r="X32" s="1900"/>
      <c r="Y32" s="3037"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7"/>
      <c r="Q33" s="1899" t="str">
        <f t="shared" si="11"/>
        <v>是否直接入户</v>
      </c>
      <c r="R33" s="753" t="s">
        <v>25</v>
      </c>
      <c r="S33" s="754">
        <f t="shared" si="12"/>
        <v>100</v>
      </c>
      <c r="T33" s="753" t="s">
        <v>25</v>
      </c>
      <c r="U33" s="754">
        <f t="shared" si="13"/>
        <v>100</v>
      </c>
      <c r="V33" s="753" t="s">
        <v>25</v>
      </c>
      <c r="W33" s="754">
        <f t="shared" si="14"/>
        <v>100</v>
      </c>
      <c r="X33" s="1900"/>
      <c r="Y33" s="303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7"/>
      <c r="Q34" s="1899">
        <f t="shared" si="11"/>
        <v>111</v>
      </c>
      <c r="R34" s="753" t="s">
        <v>25</v>
      </c>
      <c r="S34" s="754">
        <f t="shared" si="12"/>
        <v>100</v>
      </c>
      <c r="T34" s="753" t="s">
        <v>25</v>
      </c>
      <c r="U34" s="754">
        <f t="shared" si="13"/>
        <v>100</v>
      </c>
      <c r="V34" s="753" t="s">
        <v>25</v>
      </c>
      <c r="W34" s="754">
        <f t="shared" si="14"/>
        <v>100</v>
      </c>
      <c r="X34" s="1900"/>
      <c r="Y34" s="303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7"/>
      <c r="Q35" s="755">
        <f t="shared" si="11"/>
        <v>111</v>
      </c>
      <c r="R35" s="756" t="s">
        <v>25</v>
      </c>
      <c r="S35" s="757">
        <f t="shared" si="12"/>
        <v>100</v>
      </c>
      <c r="T35" s="756" t="s">
        <v>25</v>
      </c>
      <c r="U35" s="757">
        <f t="shared" si="13"/>
        <v>100</v>
      </c>
      <c r="V35" s="756" t="s">
        <v>25</v>
      </c>
      <c r="W35" s="757">
        <f t="shared" si="14"/>
        <v>100</v>
      </c>
      <c r="X35" s="758"/>
      <c r="Y35" s="303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7"/>
      <c r="Q36" s="1899">
        <f t="shared" si="11"/>
        <v>111</v>
      </c>
      <c r="R36" s="753" t="s">
        <v>25</v>
      </c>
      <c r="S36" s="754">
        <f t="shared" si="12"/>
        <v>100</v>
      </c>
      <c r="T36" s="753" t="s">
        <v>25</v>
      </c>
      <c r="U36" s="754">
        <f t="shared" si="13"/>
        <v>100</v>
      </c>
      <c r="V36" s="753" t="s">
        <v>25</v>
      </c>
      <c r="W36" s="754">
        <f t="shared" si="14"/>
        <v>100</v>
      </c>
      <c r="X36" s="1900"/>
      <c r="Y36" s="3037"/>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29" t="str">
        <f>A37</f>
        <v>成交单价</v>
      </c>
      <c r="Q37" s="3029"/>
      <c r="R37" s="3025">
        <f>E37</f>
        <v>0</v>
      </c>
      <c r="S37" s="3025"/>
      <c r="T37" s="3025">
        <f>G37</f>
        <v>0</v>
      </c>
      <c r="U37" s="3025"/>
      <c r="V37" s="3025">
        <f>I37</f>
        <v>0</v>
      </c>
      <c r="W37" s="302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9" t="str">
        <f>A38</f>
        <v>比较价值</v>
      </c>
      <c r="Q38" s="3029"/>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26" t="str">
        <f>A39</f>
        <v>估价对象XX用房的比较价值（楼面单价，元/平方米）</v>
      </c>
      <c r="Q39" s="3027"/>
      <c r="R39" s="3028" t="e">
        <f>IF(E1="售价",ROUND(AVERAGE(R38:V38),0),ROUND(AVERAGE(R38:V38),1))</f>
        <v>#DIV/0!</v>
      </c>
      <c r="S39" s="3028"/>
      <c r="T39" s="3028"/>
      <c r="U39" s="3028"/>
      <c r="V39" s="3028"/>
      <c r="W39" s="302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3" priority="14" stopIfTrue="1" operator="containsText" text="超过">
      <formula>NOT(ISERROR(SEARCH("超过",F42)))</formula>
    </cfRule>
  </conditionalFormatting>
  <conditionalFormatting sqref="J44">
    <cfRule type="containsText" dxfId="72" priority="13" stopIfTrue="1" operator="containsText" text="超过">
      <formula>NOT(ISERROR(SEARCH("超过",J44)))</formula>
    </cfRule>
  </conditionalFormatting>
  <conditionalFormatting sqref="H44">
    <cfRule type="containsText" dxfId="71" priority="12" stopIfTrue="1" operator="containsText" text="超过">
      <formula>NOT(ISERROR(SEARCH("超过",H44)))</formula>
    </cfRule>
  </conditionalFormatting>
  <conditionalFormatting sqref="F44">
    <cfRule type="containsText" dxfId="70" priority="11" stopIfTrue="1" operator="containsText" text="超过">
      <formula>NOT(ISERROR(SEARCH("超过",F44)))</formula>
    </cfRule>
  </conditionalFormatting>
  <conditionalFormatting sqref="F43 H43 J43">
    <cfRule type="containsText" dxfId="69" priority="10" stopIfTrue="1" operator="containsText" text="超过">
      <formula>NOT(ISERROR(SEARCH("超过",F43)))</formula>
    </cfRule>
  </conditionalFormatting>
  <conditionalFormatting sqref="E42">
    <cfRule type="expression" dxfId="68" priority="9" stopIfTrue="1">
      <formula>$F$42="超过30%"</formula>
    </cfRule>
  </conditionalFormatting>
  <conditionalFormatting sqref="G44">
    <cfRule type="expression" dxfId="67" priority="8" stopIfTrue="1">
      <formula>$H$54+$H$44="超过30%"</formula>
    </cfRule>
  </conditionalFormatting>
  <conditionalFormatting sqref="E43">
    <cfRule type="expression" dxfId="66" priority="7" stopIfTrue="1">
      <formula>$F$43="超过20%"</formula>
    </cfRule>
  </conditionalFormatting>
  <conditionalFormatting sqref="E44">
    <cfRule type="expression" dxfId="65" priority="6" stopIfTrue="1">
      <formula>$F$44="超过30%"</formula>
    </cfRule>
  </conditionalFormatting>
  <conditionalFormatting sqref="G42">
    <cfRule type="expression" dxfId="64" priority="5" stopIfTrue="1">
      <formula>$H$52+$H$42="超过30%"</formula>
    </cfRule>
  </conditionalFormatting>
  <conditionalFormatting sqref="G43">
    <cfRule type="expression" dxfId="63" priority="4" stopIfTrue="1">
      <formula>$H$43="超过20%"</formula>
    </cfRule>
  </conditionalFormatting>
  <conditionalFormatting sqref="I42">
    <cfRule type="expression" dxfId="62" priority="3" stopIfTrue="1">
      <formula>$J$52+$J$42="超过30%"</formula>
    </cfRule>
  </conditionalFormatting>
  <conditionalFormatting sqref="I43">
    <cfRule type="expression" dxfId="61" priority="2" stopIfTrue="1">
      <formula>$J$53+$J$43="超过20%"</formula>
    </cfRule>
  </conditionalFormatting>
  <conditionalFormatting sqref="I44">
    <cfRule type="expression" dxfId="6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187.16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6" t="s">
        <v>2341</v>
      </c>
      <c r="D4" s="3057"/>
      <c r="E4" s="3058" t="s">
        <v>2342</v>
      </c>
      <c r="F4" s="3059"/>
      <c r="G4" s="3056" t="s">
        <v>2343</v>
      </c>
      <c r="H4" s="3057"/>
      <c r="I4" s="3056" t="s">
        <v>2344</v>
      </c>
      <c r="J4" s="3057"/>
      <c r="K4" s="594"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54" t="s">
        <v>2343</v>
      </c>
      <c r="AC4" s="3053" t="s">
        <v>2344</v>
      </c>
    </row>
    <row r="5" spans="1:29" ht="15">
      <c r="A5" s="383"/>
      <c r="B5" s="384"/>
      <c r="C5" s="3041" t="s">
        <v>2347</v>
      </c>
      <c r="D5" s="3042"/>
      <c r="E5" s="3067" t="s">
        <v>2348</v>
      </c>
      <c r="F5" s="3068"/>
      <c r="G5" s="3041" t="s">
        <v>2349</v>
      </c>
      <c r="H5" s="3042"/>
      <c r="I5" s="3041" t="s">
        <v>2350</v>
      </c>
      <c r="J5" s="3042"/>
      <c r="K5" s="594"/>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
        <v>2351</v>
      </c>
      <c r="D6" s="3040"/>
      <c r="E6" s="3070" t="s">
        <v>2351</v>
      </c>
      <c r="F6" s="3071"/>
      <c r="G6" s="3039" t="s">
        <v>2351</v>
      </c>
      <c r="H6" s="3040"/>
      <c r="I6" s="3039" t="s">
        <v>2351</v>
      </c>
      <c r="J6" s="3040"/>
      <c r="K6" s="594" t="s">
        <v>2352</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3" t="s">
        <v>2354</v>
      </c>
      <c r="Q7" s="3051"/>
      <c r="R7" s="749" t="s">
        <v>25</v>
      </c>
      <c r="S7" s="750">
        <f t="shared" ref="S7:S14" si="0">F7</f>
        <v>0</v>
      </c>
      <c r="T7" s="749" t="s">
        <v>25</v>
      </c>
      <c r="U7" s="750">
        <f t="shared" ref="U7:U14" si="1">H7</f>
        <v>0</v>
      </c>
      <c r="V7" s="749" t="s">
        <v>25</v>
      </c>
      <c r="W7" s="750">
        <f t="shared" ref="W7:W14" si="2">J7</f>
        <v>0</v>
      </c>
      <c r="X7" s="751"/>
      <c r="Y7" s="3043" t="s">
        <v>2354</v>
      </c>
      <c r="Z7" s="304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3" t="s">
        <v>2357</v>
      </c>
      <c r="Q8" s="3044"/>
      <c r="R8" s="749" t="s">
        <v>25</v>
      </c>
      <c r="S8" s="750">
        <f t="shared" si="0"/>
        <v>0</v>
      </c>
      <c r="T8" s="749" t="s">
        <v>25</v>
      </c>
      <c r="U8" s="750">
        <f t="shared" si="1"/>
        <v>0</v>
      </c>
      <c r="V8" s="749" t="s">
        <v>25</v>
      </c>
      <c r="W8" s="750">
        <f t="shared" si="2"/>
        <v>0</v>
      </c>
      <c r="X8" s="751"/>
      <c r="Y8" s="3043" t="s">
        <v>2357</v>
      </c>
      <c r="Z8" s="304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9" t="s">
        <v>2360</v>
      </c>
      <c r="Q9" s="1887" t="str">
        <f t="shared" ref="Q9:Q14" si="6">B9</f>
        <v>用途</v>
      </c>
      <c r="R9" s="749" t="s">
        <v>25</v>
      </c>
      <c r="S9" s="750">
        <f t="shared" si="0"/>
        <v>100</v>
      </c>
      <c r="T9" s="749" t="s">
        <v>25</v>
      </c>
      <c r="U9" s="750">
        <f t="shared" si="1"/>
        <v>100</v>
      </c>
      <c r="V9" s="749" t="s">
        <v>25</v>
      </c>
      <c r="W9" s="750">
        <f t="shared" si="2"/>
        <v>100</v>
      </c>
      <c r="X9" s="751"/>
      <c r="Y9" s="2855"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9"/>
      <c r="Q11" s="1887">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14">
      <c r="A14" s="419" t="s">
        <v>2364</v>
      </c>
      <c r="B14" s="26" t="s">
        <v>2508</v>
      </c>
      <c r="C14" s="2478" t="str">
        <f>IF(B1="工业",估价对象房地状况!G4,估价对象房地状况!C6)</f>
        <v>估价对象紧邻城市主干道—曙光西路，有132路、467路、515路等多条公交线路及地铁10号线太阳宫站通过，交通便捷度较好。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2" t="s">
        <v>2365</v>
      </c>
      <c r="Q14" s="1899" t="str">
        <f t="shared" si="6"/>
        <v>交通便捷度</v>
      </c>
      <c r="R14" s="753" t="s">
        <v>25</v>
      </c>
      <c r="S14" s="754">
        <f t="shared" si="0"/>
        <v>100</v>
      </c>
      <c r="T14" s="753" t="s">
        <v>25</v>
      </c>
      <c r="U14" s="754">
        <f t="shared" si="1"/>
        <v>100</v>
      </c>
      <c r="V14" s="753" t="s">
        <v>25</v>
      </c>
      <c r="W14" s="754">
        <f t="shared" si="2"/>
        <v>100</v>
      </c>
      <c r="X14" s="1900"/>
      <c r="Y14" s="3032"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3"/>
      <c r="Q15" s="1899"/>
      <c r="R15" s="753"/>
      <c r="S15" s="754"/>
      <c r="T15" s="753"/>
      <c r="U15" s="754"/>
      <c r="V15" s="753"/>
      <c r="W15" s="754"/>
      <c r="X15" s="1900"/>
      <c r="Y15" s="3033"/>
      <c r="Z15" s="1902"/>
      <c r="AA15" s="1903">
        <v>1</v>
      </c>
      <c r="AB15" s="1903">
        <v>1</v>
      </c>
      <c r="AC15" s="1903">
        <v>1</v>
      </c>
    </row>
    <row r="16" spans="1:29" ht="42.75">
      <c r="A16" s="408"/>
      <c r="B16" s="615" t="s">
        <v>2480</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3"/>
      <c r="Q16" s="1899" t="str">
        <f>B16</f>
        <v>公共配套设施</v>
      </c>
      <c r="R16" s="753" t="s">
        <v>25</v>
      </c>
      <c r="S16" s="754">
        <f>F16</f>
        <v>100</v>
      </c>
      <c r="T16" s="753" t="s">
        <v>25</v>
      </c>
      <c r="U16" s="754">
        <f>H16</f>
        <v>100</v>
      </c>
      <c r="V16" s="753" t="s">
        <v>25</v>
      </c>
      <c r="W16" s="754">
        <f>J16</f>
        <v>100</v>
      </c>
      <c r="X16" s="1900"/>
      <c r="Y16" s="303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3"/>
      <c r="Q17" s="1899"/>
      <c r="R17" s="753"/>
      <c r="S17" s="754"/>
      <c r="T17" s="753"/>
      <c r="U17" s="754"/>
      <c r="V17" s="753"/>
      <c r="W17" s="754"/>
      <c r="X17" s="1900"/>
      <c r="Y17" s="3033"/>
      <c r="Z17" s="1902"/>
      <c r="AA17" s="1903">
        <v>1</v>
      </c>
      <c r="AB17" s="1903">
        <v>1</v>
      </c>
      <c r="AC17" s="1903">
        <v>1</v>
      </c>
    </row>
    <row r="18" spans="1:29" ht="15">
      <c r="A18" s="408"/>
      <c r="B18" s="617" t="s">
        <v>2481</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3"/>
      <c r="Q18" s="1899" t="str">
        <f>B18</f>
        <v>基础设施水平</v>
      </c>
      <c r="R18" s="753" t="s">
        <v>25</v>
      </c>
      <c r="S18" s="754">
        <f>F18</f>
        <v>100</v>
      </c>
      <c r="T18" s="753" t="s">
        <v>25</v>
      </c>
      <c r="U18" s="754">
        <f>H18</f>
        <v>100</v>
      </c>
      <c r="V18" s="753" t="s">
        <v>25</v>
      </c>
      <c r="W18" s="754">
        <f>J18</f>
        <v>100</v>
      </c>
      <c r="X18" s="1900"/>
      <c r="Y18" s="303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3"/>
      <c r="Q19" s="1899"/>
      <c r="R19" s="753"/>
      <c r="S19" s="754"/>
      <c r="T19" s="753"/>
      <c r="U19" s="754"/>
      <c r="V19" s="753"/>
      <c r="W19" s="754"/>
      <c r="X19" s="1900"/>
      <c r="Y19" s="3033"/>
      <c r="Z19" s="1902"/>
      <c r="AA19" s="1903">
        <v>1</v>
      </c>
      <c r="AB19" s="1903">
        <v>1</v>
      </c>
      <c r="AC19" s="1903">
        <v>1</v>
      </c>
    </row>
    <row r="20" spans="1:29" ht="128.25">
      <c r="A20" s="408"/>
      <c r="B20" s="431" t="s">
        <v>2509</v>
      </c>
      <c r="C20" s="2405" t="str">
        <f>IF(B1="工业",估价对象房地状况!G7,估价对象房地状况!C9)</f>
        <v>自然环境：太阳宫公园、金隅南湖公园、坝河等；人文环境：北京中医药大学、中央美术学院、园林科技研究所等；综合评价环境状况较好。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3"/>
      <c r="Q20" s="1899" t="str">
        <f>B20</f>
        <v>自然及人文环境</v>
      </c>
      <c r="R20" s="753" t="s">
        <v>25</v>
      </c>
      <c r="S20" s="754">
        <f>F20</f>
        <v>100</v>
      </c>
      <c r="T20" s="753" t="s">
        <v>25</v>
      </c>
      <c r="U20" s="754">
        <f>H20</f>
        <v>100</v>
      </c>
      <c r="V20" s="753" t="s">
        <v>25</v>
      </c>
      <c r="W20" s="754">
        <f>J20</f>
        <v>100</v>
      </c>
      <c r="X20" s="1900"/>
      <c r="Y20" s="303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3"/>
      <c r="Q21" s="1899"/>
      <c r="R21" s="753"/>
      <c r="S21" s="754"/>
      <c r="T21" s="753"/>
      <c r="U21" s="754"/>
      <c r="V21" s="753"/>
      <c r="W21" s="754"/>
      <c r="X21" s="1900"/>
      <c r="Y21" s="3033"/>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3"/>
      <c r="Q22" s="1899" t="str">
        <f>B22</f>
        <v>楼层</v>
      </c>
      <c r="R22" s="753" t="s">
        <v>25</v>
      </c>
      <c r="S22" s="754">
        <f>F22</f>
        <v>100</v>
      </c>
      <c r="T22" s="753" t="s">
        <v>25</v>
      </c>
      <c r="U22" s="754">
        <f>H22</f>
        <v>100</v>
      </c>
      <c r="V22" s="753" t="s">
        <v>25</v>
      </c>
      <c r="W22" s="754">
        <f>J22</f>
        <v>100</v>
      </c>
      <c r="X22" s="1900"/>
      <c r="Y22" s="3033"/>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3"/>
      <c r="Q23" s="1899">
        <f>B23</f>
        <v>111</v>
      </c>
      <c r="R23" s="753" t="s">
        <v>25</v>
      </c>
      <c r="S23" s="754">
        <f>F23</f>
        <v>100</v>
      </c>
      <c r="T23" s="753" t="s">
        <v>25</v>
      </c>
      <c r="U23" s="754">
        <f>H23</f>
        <v>100</v>
      </c>
      <c r="V23" s="753" t="s">
        <v>25</v>
      </c>
      <c r="W23" s="754">
        <f>J23</f>
        <v>100</v>
      </c>
      <c r="X23" s="1900"/>
      <c r="Y23" s="3033"/>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3"/>
      <c r="Q24" s="1899">
        <f t="shared" ref="Q24:Q34" si="11">B24</f>
        <v>111</v>
      </c>
      <c r="R24" s="753" t="s">
        <v>25</v>
      </c>
      <c r="S24" s="754">
        <f>F24</f>
        <v>100</v>
      </c>
      <c r="T24" s="753" t="s">
        <v>25</v>
      </c>
      <c r="U24" s="754">
        <f>H24</f>
        <v>100</v>
      </c>
      <c r="V24" s="753" t="s">
        <v>25</v>
      </c>
      <c r="W24" s="754">
        <f>J24</f>
        <v>100</v>
      </c>
      <c r="X24" s="1900"/>
      <c r="Y24" s="3033"/>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33"/>
      <c r="Q25" s="1887">
        <f t="shared" si="11"/>
        <v>111</v>
      </c>
      <c r="R25" s="749" t="s">
        <v>25</v>
      </c>
      <c r="S25" s="750">
        <f>F25</f>
        <v>100</v>
      </c>
      <c r="T25" s="749" t="s">
        <v>25</v>
      </c>
      <c r="U25" s="750">
        <f>H25</f>
        <v>100</v>
      </c>
      <c r="V25" s="749" t="s">
        <v>25</v>
      </c>
      <c r="W25" s="750">
        <f>J25</f>
        <v>100</v>
      </c>
      <c r="X25" s="751"/>
      <c r="Y25" s="3033"/>
      <c r="Z25" s="23">
        <f>Q25</f>
        <v>111</v>
      </c>
      <c r="AA25" s="1903">
        <f>D25/F25</f>
        <v>1</v>
      </c>
      <c r="AB25" s="1903">
        <f>D25/H25</f>
        <v>1</v>
      </c>
      <c r="AC25" s="1903">
        <f>D25/J25</f>
        <v>1</v>
      </c>
    </row>
    <row r="26" spans="1:29" ht="1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79"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7"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7"/>
      <c r="Q27" s="755" t="str">
        <f t="shared" si="11"/>
        <v>成新率</v>
      </c>
      <c r="R27" s="756" t="s">
        <v>25</v>
      </c>
      <c r="S27" s="757" t="e">
        <f t="shared" si="12"/>
        <v>#N/A</v>
      </c>
      <c r="T27" s="756" t="s">
        <v>25</v>
      </c>
      <c r="U27" s="757" t="e">
        <f t="shared" si="13"/>
        <v>#N/A</v>
      </c>
      <c r="V27" s="756" t="s">
        <v>25</v>
      </c>
      <c r="W27" s="757" t="e">
        <f t="shared" si="14"/>
        <v>#N/A</v>
      </c>
      <c r="X27" s="758"/>
      <c r="Y27" s="3037"/>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7"/>
      <c r="Q28" s="1899" t="str">
        <f t="shared" si="11"/>
        <v>物业等级</v>
      </c>
      <c r="R28" s="753" t="s">
        <v>25</v>
      </c>
      <c r="S28" s="754">
        <f t="shared" si="12"/>
        <v>100</v>
      </c>
      <c r="T28" s="753" t="s">
        <v>25</v>
      </c>
      <c r="U28" s="754">
        <f t="shared" si="13"/>
        <v>100</v>
      </c>
      <c r="V28" s="753" t="s">
        <v>25</v>
      </c>
      <c r="W28" s="754">
        <f t="shared" si="14"/>
        <v>100</v>
      </c>
      <c r="X28" s="1900"/>
      <c r="Y28" s="3037"/>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7"/>
      <c r="Q29" s="1899" t="str">
        <f t="shared" si="11"/>
        <v>有无电梯</v>
      </c>
      <c r="R29" s="753" t="s">
        <v>25</v>
      </c>
      <c r="S29" s="754">
        <f t="shared" si="12"/>
        <v>100</v>
      </c>
      <c r="T29" s="753" t="s">
        <v>25</v>
      </c>
      <c r="U29" s="754">
        <f t="shared" si="13"/>
        <v>100</v>
      </c>
      <c r="V29" s="753" t="s">
        <v>25</v>
      </c>
      <c r="W29" s="754">
        <f t="shared" si="14"/>
        <v>100</v>
      </c>
      <c r="X29" s="1900"/>
      <c r="Y29" s="3037"/>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7"/>
      <c r="Q30" s="1899" t="str">
        <f t="shared" si="11"/>
        <v>建筑面积</v>
      </c>
      <c r="R30" s="753" t="s">
        <v>25</v>
      </c>
      <c r="S30" s="754" t="e">
        <f t="shared" si="12"/>
        <v>#N/A</v>
      </c>
      <c r="T30" s="753" t="s">
        <v>25</v>
      </c>
      <c r="U30" s="754" t="e">
        <f t="shared" si="13"/>
        <v>#N/A</v>
      </c>
      <c r="V30" s="753" t="s">
        <v>25</v>
      </c>
      <c r="W30" s="754" t="e">
        <f t="shared" si="14"/>
        <v>#N/A</v>
      </c>
      <c r="X30" s="1900"/>
      <c r="Y30" s="3037"/>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7"/>
      <c r="Q31" s="1887" t="str">
        <f t="shared" si="11"/>
        <v>是否封闭</v>
      </c>
      <c r="R31" s="749" t="s">
        <v>25</v>
      </c>
      <c r="S31" s="750">
        <f t="shared" si="12"/>
        <v>100</v>
      </c>
      <c r="T31" s="749" t="s">
        <v>25</v>
      </c>
      <c r="U31" s="750">
        <f t="shared" si="13"/>
        <v>100</v>
      </c>
      <c r="V31" s="749" t="s">
        <v>25</v>
      </c>
      <c r="W31" s="750">
        <f t="shared" si="14"/>
        <v>100</v>
      </c>
      <c r="X31" s="751"/>
      <c r="Y31" s="3037"/>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7" t="s">
        <v>2371</v>
      </c>
      <c r="Q32" s="1899">
        <f t="shared" si="11"/>
        <v>111</v>
      </c>
      <c r="R32" s="753" t="s">
        <v>25</v>
      </c>
      <c r="S32" s="754">
        <f t="shared" si="12"/>
        <v>100</v>
      </c>
      <c r="T32" s="753" t="s">
        <v>25</v>
      </c>
      <c r="U32" s="754">
        <f t="shared" si="13"/>
        <v>100</v>
      </c>
      <c r="V32" s="753" t="s">
        <v>25</v>
      </c>
      <c r="W32" s="754">
        <f t="shared" si="14"/>
        <v>100</v>
      </c>
      <c r="X32" s="1900"/>
      <c r="Y32" s="3037"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7"/>
      <c r="Q33" s="1899">
        <f t="shared" si="11"/>
        <v>111</v>
      </c>
      <c r="R33" s="753" t="s">
        <v>25</v>
      </c>
      <c r="S33" s="754">
        <f t="shared" si="12"/>
        <v>100</v>
      </c>
      <c r="T33" s="753" t="s">
        <v>25</v>
      </c>
      <c r="U33" s="754">
        <f t="shared" si="13"/>
        <v>100</v>
      </c>
      <c r="V33" s="753" t="s">
        <v>25</v>
      </c>
      <c r="W33" s="754">
        <f t="shared" si="14"/>
        <v>100</v>
      </c>
      <c r="X33" s="1900"/>
      <c r="Y33" s="3037"/>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37"/>
      <c r="Q34" s="1899">
        <f t="shared" si="11"/>
        <v>111</v>
      </c>
      <c r="R34" s="753" t="s">
        <v>25</v>
      </c>
      <c r="S34" s="754">
        <f t="shared" si="12"/>
        <v>100</v>
      </c>
      <c r="T34" s="753" t="s">
        <v>25</v>
      </c>
      <c r="U34" s="754">
        <f t="shared" si="13"/>
        <v>100</v>
      </c>
      <c r="V34" s="753" t="s">
        <v>25</v>
      </c>
      <c r="W34" s="754">
        <f t="shared" si="14"/>
        <v>100</v>
      </c>
      <c r="X34" s="1900"/>
      <c r="Y34" s="3037"/>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29" t="str">
        <f>A35</f>
        <v>成交单价（元/平方米）</v>
      </c>
      <c r="Q35" s="3029"/>
      <c r="R35" s="3025">
        <f>E35</f>
        <v>0</v>
      </c>
      <c r="S35" s="3025"/>
      <c r="T35" s="3025">
        <f>G35</f>
        <v>0</v>
      </c>
      <c r="U35" s="3025"/>
      <c r="V35" s="3025">
        <f>I35</f>
        <v>0</v>
      </c>
      <c r="W35" s="302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29" t="str">
        <f>A36</f>
        <v>比较价值（元/平方米）</v>
      </c>
      <c r="Q36" s="3029"/>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26" t="str">
        <f>A37</f>
        <v>估价对象XX用房的比较价值（楼面单价，元/平方米）</v>
      </c>
      <c r="Q37" s="3027"/>
      <c r="R37" s="3028" t="e">
        <f>IF(E1="售价",ROUND(AVERAGE(R36:V36),0),ROUND(AVERAGE(R36:V36),1))</f>
        <v>#DIV/0!</v>
      </c>
      <c r="S37" s="3028"/>
      <c r="T37" s="3028"/>
      <c r="U37" s="3028"/>
      <c r="V37" s="3028"/>
      <c r="W37" s="302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9" priority="14" stopIfTrue="1" operator="containsText" text="超过">
      <formula>NOT(ISERROR(SEARCH("超过",F40)))</formula>
    </cfRule>
  </conditionalFormatting>
  <conditionalFormatting sqref="J42">
    <cfRule type="containsText" dxfId="58" priority="13" stopIfTrue="1" operator="containsText" text="超过">
      <formula>NOT(ISERROR(SEARCH("超过",J42)))</formula>
    </cfRule>
  </conditionalFormatting>
  <conditionalFormatting sqref="H42">
    <cfRule type="containsText" dxfId="57" priority="12" stopIfTrue="1" operator="containsText" text="超过">
      <formula>NOT(ISERROR(SEARCH("超过",H42)))</formula>
    </cfRule>
  </conditionalFormatting>
  <conditionalFormatting sqref="F42">
    <cfRule type="containsText" dxfId="56" priority="11" stopIfTrue="1" operator="containsText" text="超过">
      <formula>NOT(ISERROR(SEARCH("超过",F42)))</formula>
    </cfRule>
  </conditionalFormatting>
  <conditionalFormatting sqref="F41 H41 J41">
    <cfRule type="containsText" dxfId="55" priority="10" stopIfTrue="1" operator="containsText" text="超过">
      <formula>NOT(ISERROR(SEARCH("超过",F41)))</formula>
    </cfRule>
  </conditionalFormatting>
  <conditionalFormatting sqref="E40">
    <cfRule type="expression" dxfId="54" priority="9" stopIfTrue="1">
      <formula>$F$40="超过30%"</formula>
    </cfRule>
  </conditionalFormatting>
  <conditionalFormatting sqref="G42">
    <cfRule type="expression" dxfId="53" priority="8" stopIfTrue="1">
      <formula>$H$54+$H$42="超过30%"</formula>
    </cfRule>
  </conditionalFormatting>
  <conditionalFormatting sqref="E41">
    <cfRule type="expression" dxfId="52" priority="7" stopIfTrue="1">
      <formula>$F$41="超过20%"</formula>
    </cfRule>
  </conditionalFormatting>
  <conditionalFormatting sqref="E42">
    <cfRule type="expression" dxfId="51" priority="6" stopIfTrue="1">
      <formula>$F$42="超过30%"</formula>
    </cfRule>
  </conditionalFormatting>
  <conditionalFormatting sqref="G40">
    <cfRule type="expression" dxfId="50" priority="5" stopIfTrue="1">
      <formula>$H$52+$H$40="超过30%"</formula>
    </cfRule>
  </conditionalFormatting>
  <conditionalFormatting sqref="G41">
    <cfRule type="expression" dxfId="49" priority="4" stopIfTrue="1">
      <formula>$H$53+$H$41="超过20%"</formula>
    </cfRule>
  </conditionalFormatting>
  <conditionalFormatting sqref="I40">
    <cfRule type="expression" dxfId="48" priority="3" stopIfTrue="1">
      <formula>$J$40="超过30%"</formula>
    </cfRule>
  </conditionalFormatting>
  <conditionalFormatting sqref="I41">
    <cfRule type="expression" dxfId="47" priority="2" stopIfTrue="1">
      <formula>$J$41="超过20%"</formula>
    </cfRule>
  </conditionalFormatting>
  <conditionalFormatting sqref="I42">
    <cfRule type="expression" dxfId="4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56" t="s">
        <v>2341</v>
      </c>
      <c r="D4" s="3057"/>
      <c r="E4" s="3058" t="s">
        <v>2342</v>
      </c>
      <c r="F4" s="3059"/>
      <c r="G4" s="3056" t="s">
        <v>2343</v>
      </c>
      <c r="H4" s="3057"/>
      <c r="I4" s="3056" t="s">
        <v>2344</v>
      </c>
      <c r="J4" s="3057"/>
      <c r="K4" s="594"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54" t="s">
        <v>2343</v>
      </c>
      <c r="AC4" s="3053" t="s">
        <v>2344</v>
      </c>
    </row>
    <row r="5" spans="1:30" ht="15">
      <c r="A5" s="383"/>
      <c r="B5" s="384"/>
      <c r="C5" s="3041" t="s">
        <v>2347</v>
      </c>
      <c r="D5" s="3042"/>
      <c r="E5" s="3067" t="s">
        <v>2348</v>
      </c>
      <c r="F5" s="3068"/>
      <c r="G5" s="3041" t="s">
        <v>2349</v>
      </c>
      <c r="H5" s="3042"/>
      <c r="I5" s="3041" t="s">
        <v>2350</v>
      </c>
      <c r="J5" s="3042"/>
      <c r="K5" s="594"/>
      <c r="L5" s="1243"/>
      <c r="M5" s="1244"/>
      <c r="N5" s="1244"/>
      <c r="O5" s="1244"/>
      <c r="P5" s="3062"/>
      <c r="Q5" s="3063"/>
      <c r="R5" s="3047"/>
      <c r="S5" s="3048"/>
      <c r="T5" s="3047"/>
      <c r="U5" s="3048"/>
      <c r="V5" s="3066"/>
      <c r="W5" s="3066"/>
      <c r="X5" s="1900"/>
      <c r="Y5" s="3047"/>
      <c r="Z5" s="3048"/>
      <c r="AA5" s="3054"/>
      <c r="AB5" s="3054"/>
      <c r="AC5" s="3054"/>
    </row>
    <row r="6" spans="1:30" ht="15.75" thickBot="1">
      <c r="A6" s="385"/>
      <c r="B6" s="386"/>
      <c r="C6" s="3039" t="s">
        <v>2351</v>
      </c>
      <c r="D6" s="3040"/>
      <c r="E6" s="3070" t="s">
        <v>2351</v>
      </c>
      <c r="F6" s="3071"/>
      <c r="G6" s="3039" t="s">
        <v>2351</v>
      </c>
      <c r="H6" s="3040"/>
      <c r="I6" s="3039" t="s">
        <v>2351</v>
      </c>
      <c r="J6" s="3040"/>
      <c r="K6" s="594" t="s">
        <v>2352</v>
      </c>
      <c r="L6" s="1243"/>
      <c r="M6" s="1244"/>
      <c r="N6" s="1244"/>
      <c r="O6" s="1244"/>
      <c r="P6" s="3064"/>
      <c r="Q6" s="3065"/>
      <c r="R6" s="3047"/>
      <c r="S6" s="3048"/>
      <c r="T6" s="3049"/>
      <c r="U6" s="3050"/>
      <c r="V6" s="3066"/>
      <c r="W6" s="3066"/>
      <c r="X6" s="1900"/>
      <c r="Y6" s="3049"/>
      <c r="Z6" s="3050"/>
      <c r="AA6" s="3055"/>
      <c r="AB6" s="3055"/>
      <c r="AC6" s="3055"/>
    </row>
    <row r="7" spans="1:30" s="35" customFormat="1" ht="15.75" thickBot="1">
      <c r="A7" s="387" t="s">
        <v>2353</v>
      </c>
      <c r="B7" s="388"/>
      <c r="C7" s="389">
        <f>'数据-取费表'!B2</f>
        <v>43272</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43" t="s">
        <v>2354</v>
      </c>
      <c r="Q7" s="3051"/>
      <c r="R7" s="749" t="s">
        <v>25</v>
      </c>
      <c r="S7" s="750">
        <f t="shared" ref="S7:S15" si="0">F7</f>
        <v>0</v>
      </c>
      <c r="T7" s="749" t="s">
        <v>25</v>
      </c>
      <c r="U7" s="750">
        <f t="shared" ref="U7:U15" si="1">H7</f>
        <v>0</v>
      </c>
      <c r="V7" s="749" t="s">
        <v>25</v>
      </c>
      <c r="W7" s="750">
        <f t="shared" ref="W7:W15" si="2">J7</f>
        <v>0</v>
      </c>
      <c r="X7" s="751"/>
      <c r="Y7" s="3043" t="s">
        <v>2354</v>
      </c>
      <c r="Z7" s="3044"/>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3" t="s">
        <v>2357</v>
      </c>
      <c r="Q8" s="3044"/>
      <c r="R8" s="749" t="s">
        <v>25</v>
      </c>
      <c r="S8" s="750">
        <f t="shared" si="0"/>
        <v>0</v>
      </c>
      <c r="T8" s="749" t="s">
        <v>25</v>
      </c>
      <c r="U8" s="750">
        <f t="shared" si="1"/>
        <v>0</v>
      </c>
      <c r="V8" s="749" t="s">
        <v>25</v>
      </c>
      <c r="W8" s="750">
        <f t="shared" si="2"/>
        <v>0</v>
      </c>
      <c r="X8" s="751"/>
      <c r="Y8" s="3043" t="s">
        <v>2357</v>
      </c>
      <c r="Z8" s="3044"/>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29"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29"/>
      <c r="Q10" s="1887" t="str">
        <f t="shared" si="6"/>
        <v>土地使用年限（年）</v>
      </c>
      <c r="R10" s="749" t="s">
        <v>25</v>
      </c>
      <c r="S10" s="750">
        <f t="shared" si="0"/>
        <v>105</v>
      </c>
      <c r="T10" s="749" t="s">
        <v>25</v>
      </c>
      <c r="U10" s="750">
        <f t="shared" si="1"/>
        <v>105</v>
      </c>
      <c r="V10" s="749" t="s">
        <v>25</v>
      </c>
      <c r="W10" s="750">
        <f t="shared" si="2"/>
        <v>105</v>
      </c>
      <c r="X10" s="751"/>
      <c r="Y10" s="2855"/>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9"/>
      <c r="Q12" s="1887" t="str">
        <f t="shared" si="6"/>
        <v>配建</v>
      </c>
      <c r="R12" s="749" t="s">
        <v>25</v>
      </c>
      <c r="S12" s="750">
        <f t="shared" si="0"/>
        <v>100</v>
      </c>
      <c r="T12" s="749" t="s">
        <v>25</v>
      </c>
      <c r="U12" s="750">
        <f t="shared" si="1"/>
        <v>100</v>
      </c>
      <c r="V12" s="749" t="s">
        <v>25</v>
      </c>
      <c r="W12" s="750">
        <f t="shared" si="2"/>
        <v>100</v>
      </c>
      <c r="X12" s="751"/>
      <c r="Y12" s="285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5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55"/>
      <c r="Z14" s="23">
        <f t="shared" si="7"/>
        <v>111</v>
      </c>
      <c r="AA14" s="752">
        <f>D14/F14</f>
        <v>1</v>
      </c>
      <c r="AB14" s="752">
        <f>D14/H14</f>
        <v>1</v>
      </c>
      <c r="AC14" s="752">
        <f>D14/J14</f>
        <v>1</v>
      </c>
    </row>
    <row r="15" spans="1:30" ht="99.75">
      <c r="A15" s="380" t="s">
        <v>2364</v>
      </c>
      <c r="B15" s="1487" t="s">
        <v>1739</v>
      </c>
      <c r="C15" s="2466" t="str">
        <f>估价对象房地状况!C15</f>
        <v>估价对象周边有万方景轩、新纪家园、曙光里、凤凰城、西坝河东里，综合评价居住社区成熟度较好。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2" t="s">
        <v>2365</v>
      </c>
      <c r="Q15" s="1899" t="str">
        <f t="shared" si="6"/>
        <v>居住社区成熟度</v>
      </c>
      <c r="R15" s="753" t="s">
        <v>25</v>
      </c>
      <c r="S15" s="754">
        <f t="shared" si="0"/>
        <v>100</v>
      </c>
      <c r="T15" s="753" t="s">
        <v>25</v>
      </c>
      <c r="U15" s="754">
        <f t="shared" si="1"/>
        <v>100</v>
      </c>
      <c r="V15" s="753" t="s">
        <v>25</v>
      </c>
      <c r="W15" s="754">
        <f t="shared" si="2"/>
        <v>100</v>
      </c>
      <c r="X15" s="1900"/>
      <c r="Y15" s="3032"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33"/>
      <c r="Q16" s="1899"/>
      <c r="R16" s="753"/>
      <c r="S16" s="754"/>
      <c r="T16" s="753"/>
      <c r="U16" s="754"/>
      <c r="V16" s="753"/>
      <c r="W16" s="754"/>
      <c r="X16" s="1900"/>
      <c r="Y16" s="3033"/>
      <c r="Z16" s="1902"/>
      <c r="AA16" s="1903">
        <v>1</v>
      </c>
      <c r="AB16" s="1903">
        <v>1</v>
      </c>
      <c r="AC16" s="1903">
        <v>1</v>
      </c>
    </row>
    <row r="17" spans="1:29" ht="71.25">
      <c r="A17" s="383"/>
      <c r="B17" s="1489" t="s">
        <v>2450</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3"/>
      <c r="Q17" s="1899" t="str">
        <f>B17</f>
        <v>商业繁华度</v>
      </c>
      <c r="R17" s="753" t="s">
        <v>25</v>
      </c>
      <c r="S17" s="754">
        <f>F17</f>
        <v>100</v>
      </c>
      <c r="T17" s="753" t="s">
        <v>25</v>
      </c>
      <c r="U17" s="754">
        <f>H17</f>
        <v>100</v>
      </c>
      <c r="V17" s="753" t="s">
        <v>25</v>
      </c>
      <c r="W17" s="754">
        <f>J17</f>
        <v>100</v>
      </c>
      <c r="X17" s="1900"/>
      <c r="Y17" s="3033"/>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33"/>
      <c r="Q18" s="1899"/>
      <c r="R18" s="753"/>
      <c r="S18" s="754"/>
      <c r="T18" s="753"/>
      <c r="U18" s="754"/>
      <c r="V18" s="753"/>
      <c r="W18" s="754"/>
      <c r="X18" s="1900"/>
      <c r="Y18" s="3033"/>
      <c r="Z18" s="1902"/>
      <c r="AA18" s="1903">
        <v>1</v>
      </c>
      <c r="AB18" s="1903">
        <v>1</v>
      </c>
      <c r="AC18" s="1903">
        <v>1</v>
      </c>
    </row>
    <row r="19" spans="1:29" ht="71.25">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3"/>
      <c r="Q19" s="1899" t="str">
        <f>B19</f>
        <v>办公集聚程度</v>
      </c>
      <c r="R19" s="753" t="s">
        <v>25</v>
      </c>
      <c r="S19" s="754">
        <f>F19</f>
        <v>100</v>
      </c>
      <c r="T19" s="753" t="s">
        <v>25</v>
      </c>
      <c r="U19" s="754">
        <f>H19</f>
        <v>100</v>
      </c>
      <c r="V19" s="753" t="s">
        <v>25</v>
      </c>
      <c r="W19" s="754">
        <f>J19</f>
        <v>100</v>
      </c>
      <c r="X19" s="1900"/>
      <c r="Y19" s="303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33"/>
      <c r="Q20" s="1899"/>
      <c r="R20" s="753"/>
      <c r="S20" s="754"/>
      <c r="T20" s="753"/>
      <c r="U20" s="754"/>
      <c r="V20" s="753"/>
      <c r="W20" s="754"/>
      <c r="X20" s="1900"/>
      <c r="Y20" s="3033"/>
      <c r="Z20" s="1902"/>
      <c r="AA20" s="1903">
        <v>1</v>
      </c>
      <c r="AB20" s="1903">
        <v>1</v>
      </c>
      <c r="AC20" s="1903">
        <v>1</v>
      </c>
    </row>
    <row r="21" spans="1:29" ht="114">
      <c r="A21" s="383"/>
      <c r="B21" s="1489" t="s">
        <v>2508</v>
      </c>
      <c r="C21" s="2467" t="str">
        <f>估价对象房地状况!C18</f>
        <v>估价对象紧邻城市主干道—曙光西路，有132路、467路、515路等多条公交线路及地铁10号线太阳宫站通过，交通便捷度较好。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3"/>
      <c r="Q21" s="1899" t="str">
        <f>B21</f>
        <v>交通便捷度</v>
      </c>
      <c r="R21" s="753" t="s">
        <v>25</v>
      </c>
      <c r="S21" s="754">
        <f>F21</f>
        <v>100</v>
      </c>
      <c r="T21" s="753" t="s">
        <v>25</v>
      </c>
      <c r="U21" s="754">
        <f>H21</f>
        <v>100</v>
      </c>
      <c r="V21" s="753" t="s">
        <v>25</v>
      </c>
      <c r="W21" s="754">
        <f>J21</f>
        <v>100</v>
      </c>
      <c r="X21" s="1900"/>
      <c r="Y21" s="303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33"/>
      <c r="Q22" s="1899"/>
      <c r="R22" s="753"/>
      <c r="S22" s="754"/>
      <c r="T22" s="753"/>
      <c r="U22" s="754"/>
      <c r="V22" s="753"/>
      <c r="W22" s="754"/>
      <c r="X22" s="1900"/>
      <c r="Y22" s="3033"/>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3"/>
      <c r="Q23" s="1899" t="str">
        <f t="shared" ref="Q23:Q37" si="8">B23</f>
        <v>区域土地利用方向</v>
      </c>
      <c r="R23" s="753" t="s">
        <v>25</v>
      </c>
      <c r="S23" s="754">
        <f>F23</f>
        <v>100</v>
      </c>
      <c r="T23" s="753" t="s">
        <v>25</v>
      </c>
      <c r="U23" s="754">
        <f>H23</f>
        <v>100</v>
      </c>
      <c r="V23" s="753" t="s">
        <v>25</v>
      </c>
      <c r="W23" s="754">
        <f>J23</f>
        <v>100</v>
      </c>
      <c r="X23" s="1900"/>
      <c r="Y23" s="3033"/>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33"/>
      <c r="Q24" s="1899"/>
      <c r="R24" s="753"/>
      <c r="S24" s="754"/>
      <c r="T24" s="753"/>
      <c r="U24" s="754"/>
      <c r="V24" s="753"/>
      <c r="W24" s="754"/>
      <c r="X24" s="1900"/>
      <c r="Y24" s="3033"/>
      <c r="Z24" s="1902"/>
      <c r="AA24" s="1903"/>
      <c r="AB24" s="1903"/>
      <c r="AC24" s="1903"/>
    </row>
    <row r="25" spans="1:29" ht="128.25">
      <c r="A25" s="383"/>
      <c r="B25" s="1491" t="s">
        <v>2549</v>
      </c>
      <c r="C25" s="2484" t="str">
        <f>估价对象房地状况!C20</f>
        <v>自然环境：太阳宫公园、金隅南湖公园、坝河等；人文环境：北京中医药大学、中央美术学院、园林科技研究所等；综合评价环境状况较好。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3"/>
      <c r="Q25" s="1899" t="str">
        <f t="shared" si="8"/>
        <v>自然及人文环境状况</v>
      </c>
      <c r="R25" s="753" t="s">
        <v>25</v>
      </c>
      <c r="S25" s="754">
        <f>F25</f>
        <v>100</v>
      </c>
      <c r="T25" s="753" t="s">
        <v>25</v>
      </c>
      <c r="U25" s="754">
        <f>H25</f>
        <v>100</v>
      </c>
      <c r="V25" s="753" t="s">
        <v>25</v>
      </c>
      <c r="W25" s="754">
        <f>J25</f>
        <v>100</v>
      </c>
      <c r="X25" s="1900"/>
      <c r="Y25" s="303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3"/>
      <c r="Q26" s="1899"/>
      <c r="R26" s="753"/>
      <c r="S26" s="754"/>
      <c r="T26" s="753"/>
      <c r="U26" s="754"/>
      <c r="V26" s="753"/>
      <c r="W26" s="754"/>
      <c r="X26" s="1900"/>
      <c r="Y26" s="3033"/>
      <c r="Z26" s="1902"/>
      <c r="AA26" s="1903">
        <v>1</v>
      </c>
      <c r="AB26" s="1903">
        <v>1</v>
      </c>
      <c r="AC26" s="1903">
        <v>1</v>
      </c>
    </row>
    <row r="27" spans="1:29" ht="42.75">
      <c r="A27" s="383"/>
      <c r="B27" s="1491" t="s">
        <v>2451</v>
      </c>
      <c r="C27" s="2467"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3"/>
      <c r="Q27" s="1887" t="str">
        <f t="shared" ref="Q27" si="9">B27</f>
        <v>公共配套设施</v>
      </c>
      <c r="R27" s="749" t="s">
        <v>25</v>
      </c>
      <c r="S27" s="750">
        <f>F27</f>
        <v>100</v>
      </c>
      <c r="T27" s="749" t="s">
        <v>25</v>
      </c>
      <c r="U27" s="750">
        <f>H27</f>
        <v>100</v>
      </c>
      <c r="V27" s="749" t="s">
        <v>25</v>
      </c>
      <c r="W27" s="750">
        <f>J27</f>
        <v>100</v>
      </c>
      <c r="X27" s="1900"/>
      <c r="Y27" s="3033"/>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33"/>
      <c r="Q28" s="1899"/>
      <c r="R28" s="753"/>
      <c r="S28" s="754"/>
      <c r="T28" s="753"/>
      <c r="U28" s="754"/>
      <c r="V28" s="753"/>
      <c r="W28" s="754"/>
      <c r="X28" s="1900"/>
      <c r="Y28" s="3033"/>
      <c r="Z28" s="23"/>
      <c r="AA28" s="1903">
        <v>1</v>
      </c>
      <c r="AB28" s="1903">
        <v>1</v>
      </c>
      <c r="AC28" s="1903">
        <v>1</v>
      </c>
    </row>
    <row r="29" spans="1:29" s="35" customFormat="1" ht="15">
      <c r="A29" s="633"/>
      <c r="B29" s="1491" t="s">
        <v>2452</v>
      </c>
      <c r="C29" s="2487"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3"/>
      <c r="Q29" s="1887" t="str">
        <f t="shared" si="8"/>
        <v>基础设施水平</v>
      </c>
      <c r="R29" s="749" t="s">
        <v>25</v>
      </c>
      <c r="S29" s="750">
        <f>F29</f>
        <v>100</v>
      </c>
      <c r="T29" s="749" t="s">
        <v>25</v>
      </c>
      <c r="U29" s="750">
        <f>H29</f>
        <v>100</v>
      </c>
      <c r="V29" s="749" t="s">
        <v>25</v>
      </c>
      <c r="W29" s="750">
        <f>J29</f>
        <v>100</v>
      </c>
      <c r="X29" s="751"/>
      <c r="Y29" s="3033"/>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33"/>
      <c r="Q30" s="1887"/>
      <c r="R30" s="749"/>
      <c r="S30" s="750"/>
      <c r="T30" s="749"/>
      <c r="U30" s="750"/>
      <c r="V30" s="749"/>
      <c r="W30" s="750"/>
      <c r="X30" s="751"/>
      <c r="Y30" s="3033"/>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3"/>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3"/>
      <c r="Q32" s="1899" t="str">
        <f t="shared" si="8"/>
        <v>毗邻道路的类型与等级</v>
      </c>
      <c r="R32" s="753" t="s">
        <v>25</v>
      </c>
      <c r="S32" s="754">
        <f t="shared" si="10"/>
        <v>100</v>
      </c>
      <c r="T32" s="753" t="s">
        <v>25</v>
      </c>
      <c r="U32" s="754">
        <f t="shared" si="11"/>
        <v>100</v>
      </c>
      <c r="V32" s="753" t="s">
        <v>25</v>
      </c>
      <c r="W32" s="754">
        <f t="shared" si="12"/>
        <v>100</v>
      </c>
      <c r="X32" s="1900"/>
      <c r="Y32" s="303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3"/>
      <c r="Q33" s="1899"/>
      <c r="R33" s="753"/>
      <c r="S33" s="754"/>
      <c r="T33" s="753"/>
      <c r="U33" s="754"/>
      <c r="V33" s="753"/>
      <c r="W33" s="754"/>
      <c r="X33" s="1900"/>
      <c r="Y33" s="3033"/>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3"/>
      <c r="Q34" s="1899" t="str">
        <f t="shared" si="8"/>
        <v>土地级别</v>
      </c>
      <c r="R34" s="753" t="s">
        <v>25</v>
      </c>
      <c r="S34" s="754">
        <f t="shared" si="10"/>
        <v>100</v>
      </c>
      <c r="T34" s="753" t="s">
        <v>25</v>
      </c>
      <c r="U34" s="754">
        <f t="shared" si="11"/>
        <v>100</v>
      </c>
      <c r="V34" s="753" t="s">
        <v>25</v>
      </c>
      <c r="W34" s="754">
        <f t="shared" si="12"/>
        <v>100</v>
      </c>
      <c r="X34" s="1900"/>
      <c r="Y34" s="303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3"/>
      <c r="Q35" s="1899">
        <f t="shared" si="8"/>
        <v>111</v>
      </c>
      <c r="R35" s="753" t="s">
        <v>25</v>
      </c>
      <c r="S35" s="754">
        <f t="shared" si="10"/>
        <v>100</v>
      </c>
      <c r="T35" s="753" t="s">
        <v>25</v>
      </c>
      <c r="U35" s="754">
        <f t="shared" si="11"/>
        <v>100</v>
      </c>
      <c r="V35" s="753" t="s">
        <v>25</v>
      </c>
      <c r="W35" s="754">
        <f t="shared" si="12"/>
        <v>100</v>
      </c>
      <c r="X35" s="1900"/>
      <c r="Y35" s="303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9" t="s">
        <v>2371</v>
      </c>
      <c r="Q36" s="1899">
        <f t="shared" si="8"/>
        <v>111</v>
      </c>
      <c r="R36" s="753" t="s">
        <v>25</v>
      </c>
      <c r="S36" s="754">
        <f t="shared" si="10"/>
        <v>100</v>
      </c>
      <c r="T36" s="753" t="s">
        <v>25</v>
      </c>
      <c r="U36" s="754">
        <f t="shared" si="11"/>
        <v>100</v>
      </c>
      <c r="V36" s="753" t="s">
        <v>25</v>
      </c>
      <c r="W36" s="754">
        <f t="shared" si="12"/>
        <v>100</v>
      </c>
      <c r="X36" s="1900"/>
      <c r="Y36" s="3037"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7"/>
      <c r="Q37" s="1899">
        <f t="shared" si="8"/>
        <v>111</v>
      </c>
      <c r="R37" s="756" t="s">
        <v>25</v>
      </c>
      <c r="S37" s="757">
        <f t="shared" si="10"/>
        <v>100</v>
      </c>
      <c r="T37" s="756" t="s">
        <v>25</v>
      </c>
      <c r="U37" s="757">
        <f t="shared" si="11"/>
        <v>100</v>
      </c>
      <c r="V37" s="756" t="s">
        <v>25</v>
      </c>
      <c r="W37" s="757">
        <f t="shared" si="12"/>
        <v>100</v>
      </c>
      <c r="X37" s="758"/>
      <c r="Y37" s="3037"/>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7"/>
      <c r="Q38" s="1899" t="str">
        <f>B38</f>
        <v>宗地面积</v>
      </c>
      <c r="R38" s="753" t="s">
        <v>25</v>
      </c>
      <c r="S38" s="754" t="e">
        <f t="shared" si="10"/>
        <v>#N/A</v>
      </c>
      <c r="T38" s="753" t="s">
        <v>25</v>
      </c>
      <c r="U38" s="754" t="e">
        <f t="shared" si="11"/>
        <v>#N/A</v>
      </c>
      <c r="V38" s="753" t="s">
        <v>25</v>
      </c>
      <c r="W38" s="754" t="e">
        <f t="shared" si="12"/>
        <v>#N/A</v>
      </c>
      <c r="X38" s="1900"/>
      <c r="Y38" s="3037"/>
      <c r="Z38" s="1902" t="str">
        <f t="shared" si="13"/>
        <v>宗地面积</v>
      </c>
      <c r="AA38" s="1903" t="e">
        <f t="shared" si="3"/>
        <v>#N/A</v>
      </c>
      <c r="AB38" s="1903" t="e">
        <f t="shared" si="4"/>
        <v>#N/A</v>
      </c>
      <c r="AC38" s="1903"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37"/>
      <c r="Q39" s="1899" t="str">
        <f t="shared" ref="Q39:Q45" si="14">B39</f>
        <v>宗地形状</v>
      </c>
      <c r="R39" s="753" t="s">
        <v>25</v>
      </c>
      <c r="S39" s="754">
        <f t="shared" si="10"/>
        <v>100</v>
      </c>
      <c r="T39" s="753" t="s">
        <v>25</v>
      </c>
      <c r="U39" s="754">
        <f t="shared" si="11"/>
        <v>100</v>
      </c>
      <c r="V39" s="753" t="s">
        <v>25</v>
      </c>
      <c r="W39" s="754">
        <f t="shared" si="12"/>
        <v>100</v>
      </c>
      <c r="X39" s="1900"/>
      <c r="Y39" s="3037"/>
      <c r="Z39" s="1902" t="str">
        <f t="shared" si="13"/>
        <v>宗地形状</v>
      </c>
      <c r="AA39" s="1903">
        <f t="shared" si="3"/>
        <v>1</v>
      </c>
      <c r="AB39" s="1903">
        <f t="shared" si="4"/>
        <v>1</v>
      </c>
      <c r="AC39" s="1903">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37"/>
      <c r="Q40" s="1899" t="str">
        <f t="shared" si="14"/>
        <v>临街宽度及深度</v>
      </c>
      <c r="R40" s="753" t="s">
        <v>25</v>
      </c>
      <c r="S40" s="754">
        <f t="shared" si="10"/>
        <v>100</v>
      </c>
      <c r="T40" s="753" t="s">
        <v>25</v>
      </c>
      <c r="U40" s="754">
        <f t="shared" si="11"/>
        <v>100</v>
      </c>
      <c r="V40" s="753" t="s">
        <v>25</v>
      </c>
      <c r="W40" s="754">
        <f t="shared" si="12"/>
        <v>100</v>
      </c>
      <c r="X40" s="1900"/>
      <c r="Y40" s="3037"/>
      <c r="Z40" s="1902" t="str">
        <f t="shared" si="13"/>
        <v>临街宽度及深度</v>
      </c>
      <c r="AA40" s="1903">
        <f t="shared" si="3"/>
        <v>1</v>
      </c>
      <c r="AB40" s="1903">
        <f t="shared" si="4"/>
        <v>1</v>
      </c>
      <c r="AC40" s="1903">
        <f t="shared" si="5"/>
        <v>1</v>
      </c>
    </row>
    <row r="41" spans="1:29" s="35" customFormat="1" ht="15">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37"/>
      <c r="Q41" s="1899" t="str">
        <f t="shared" si="14"/>
        <v>宗地开发程度</v>
      </c>
      <c r="R41" s="749" t="s">
        <v>25</v>
      </c>
      <c r="S41" s="750">
        <f t="shared" si="10"/>
        <v>100</v>
      </c>
      <c r="T41" s="749" t="s">
        <v>25</v>
      </c>
      <c r="U41" s="750">
        <f t="shared" si="11"/>
        <v>100</v>
      </c>
      <c r="V41" s="749" t="s">
        <v>25</v>
      </c>
      <c r="W41" s="750">
        <f t="shared" si="12"/>
        <v>100</v>
      </c>
      <c r="X41" s="751"/>
      <c r="Y41" s="3037"/>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37" t="s">
        <v>2371</v>
      </c>
      <c r="Q42" s="1899" t="str">
        <f t="shared" si="14"/>
        <v>工程地质条件</v>
      </c>
      <c r="R42" s="753" t="s">
        <v>25</v>
      </c>
      <c r="S42" s="754">
        <f t="shared" si="10"/>
        <v>100</v>
      </c>
      <c r="T42" s="753" t="s">
        <v>25</v>
      </c>
      <c r="U42" s="754">
        <f t="shared" si="11"/>
        <v>100</v>
      </c>
      <c r="V42" s="753" t="s">
        <v>25</v>
      </c>
      <c r="W42" s="754">
        <f t="shared" si="12"/>
        <v>100</v>
      </c>
      <c r="X42" s="1900"/>
      <c r="Y42" s="3037"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7"/>
      <c r="Q43" s="1899">
        <f t="shared" si="14"/>
        <v>111</v>
      </c>
      <c r="R43" s="753" t="s">
        <v>25</v>
      </c>
      <c r="S43" s="754">
        <f t="shared" si="10"/>
        <v>100</v>
      </c>
      <c r="T43" s="753" t="s">
        <v>25</v>
      </c>
      <c r="U43" s="754">
        <f t="shared" si="11"/>
        <v>100</v>
      </c>
      <c r="V43" s="753" t="s">
        <v>25</v>
      </c>
      <c r="W43" s="754">
        <f t="shared" si="12"/>
        <v>100</v>
      </c>
      <c r="X43" s="1900"/>
      <c r="Y43" s="3037"/>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7"/>
      <c r="Q44" s="1899">
        <f t="shared" si="14"/>
        <v>111</v>
      </c>
      <c r="R44" s="753" t="s">
        <v>25</v>
      </c>
      <c r="S44" s="754">
        <f t="shared" si="10"/>
        <v>100</v>
      </c>
      <c r="T44" s="753" t="s">
        <v>25</v>
      </c>
      <c r="U44" s="754">
        <f t="shared" si="11"/>
        <v>100</v>
      </c>
      <c r="V44" s="753" t="s">
        <v>25</v>
      </c>
      <c r="W44" s="754">
        <f t="shared" si="12"/>
        <v>100</v>
      </c>
      <c r="X44" s="1900"/>
      <c r="Y44" s="3037"/>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7"/>
      <c r="Q45" s="1899">
        <f t="shared" si="14"/>
        <v>111</v>
      </c>
      <c r="R45" s="756" t="s">
        <v>25</v>
      </c>
      <c r="S45" s="757">
        <f t="shared" si="10"/>
        <v>100</v>
      </c>
      <c r="T45" s="756" t="s">
        <v>25</v>
      </c>
      <c r="U45" s="757">
        <f t="shared" si="11"/>
        <v>100</v>
      </c>
      <c r="V45" s="756" t="s">
        <v>25</v>
      </c>
      <c r="W45" s="757">
        <f t="shared" si="12"/>
        <v>100</v>
      </c>
      <c r="X45" s="758"/>
      <c r="Y45" s="3037"/>
      <c r="Z45" s="759">
        <f t="shared" si="13"/>
        <v>111</v>
      </c>
      <c r="AA45" s="1903">
        <f t="shared" si="3"/>
        <v>1</v>
      </c>
      <c r="AB45" s="1903">
        <f t="shared" si="4"/>
        <v>1</v>
      </c>
      <c r="AC45" s="1903">
        <f t="shared" si="5"/>
        <v>1</v>
      </c>
    </row>
    <row r="46" spans="1:29" ht="15">
      <c r="A46" s="460" t="s">
        <v>2519</v>
      </c>
      <c r="B46" s="2491" t="s">
        <v>2556</v>
      </c>
      <c r="C46" s="665" t="s">
        <v>1</v>
      </c>
      <c r="D46" s="462"/>
      <c r="E46" s="463"/>
      <c r="F46" s="464"/>
      <c r="G46" s="465"/>
      <c r="H46" s="466"/>
      <c r="I46" s="463"/>
      <c r="J46" s="466"/>
      <c r="K46" s="762"/>
      <c r="L46" s="1256"/>
      <c r="M46" s="1257"/>
      <c r="N46" s="1244"/>
      <c r="O46" s="1257"/>
      <c r="P46" s="3029" t="str">
        <f>A46</f>
        <v>成交单价</v>
      </c>
      <c r="Q46" s="3029"/>
      <c r="R46" s="3066">
        <f>E46</f>
        <v>0</v>
      </c>
      <c r="S46" s="3066"/>
      <c r="T46" s="3066">
        <f>G46</f>
        <v>0</v>
      </c>
      <c r="U46" s="3066"/>
      <c r="V46" s="3066">
        <f>I46</f>
        <v>0</v>
      </c>
      <c r="W46" s="306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29" t="str">
        <f>A47</f>
        <v>比较价值（元/平方米）</v>
      </c>
      <c r="Q47" s="3029"/>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26" t="str">
        <f>A48</f>
        <v>估价对象XX用房的比较价值（楼面单价，元/平方米）</v>
      </c>
      <c r="Q48" s="3027"/>
      <c r="R48" s="3081" t="e">
        <f>ROUND(AVERAGE(R47:V47),0)</f>
        <v>#DIV/0!</v>
      </c>
      <c r="S48" s="3081"/>
      <c r="T48" s="3081"/>
      <c r="U48" s="3081"/>
      <c r="V48" s="3081"/>
      <c r="W48" s="308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2" t="s">
        <v>2559</v>
      </c>
      <c r="D55" s="2493" t="s">
        <v>2560</v>
      </c>
      <c r="E55" s="669" t="s">
        <v>2561</v>
      </c>
      <c r="F55" s="670" t="s">
        <v>2562</v>
      </c>
      <c r="G55" s="62" t="s">
        <v>2563</v>
      </c>
      <c r="H55" s="62">
        <f>项目基本情况!G8</f>
        <v>0</v>
      </c>
      <c r="I55" s="2494"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2568</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2569</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2570</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2571</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2572</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2573</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2574</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5" priority="14" stopIfTrue="1" operator="containsText" text="超过">
      <formula>NOT(ISERROR(SEARCH("超过",F51)))</formula>
    </cfRule>
  </conditionalFormatting>
  <conditionalFormatting sqref="J53">
    <cfRule type="containsText" dxfId="44" priority="13" stopIfTrue="1" operator="containsText" text="超过">
      <formula>NOT(ISERROR(SEARCH("超过",J53)))</formula>
    </cfRule>
  </conditionalFormatting>
  <conditionalFormatting sqref="H53">
    <cfRule type="containsText" dxfId="43" priority="12" stopIfTrue="1" operator="containsText" text="超过">
      <formula>NOT(ISERROR(SEARCH("超过",H53)))</formula>
    </cfRule>
  </conditionalFormatting>
  <conditionalFormatting sqref="F53">
    <cfRule type="containsText" dxfId="42" priority="11" stopIfTrue="1" operator="containsText" text="超过">
      <formula>NOT(ISERROR(SEARCH("超过",F53)))</formula>
    </cfRule>
  </conditionalFormatting>
  <conditionalFormatting sqref="F52 H52 J52">
    <cfRule type="containsText" dxfId="41" priority="10" stopIfTrue="1" operator="containsText" text="超过">
      <formula>NOT(ISERROR(SEARCH("超过",F52)))</formula>
    </cfRule>
  </conditionalFormatting>
  <conditionalFormatting sqref="E51">
    <cfRule type="expression" dxfId="40" priority="9" stopIfTrue="1">
      <formula>$F$51="超过30%"</formula>
    </cfRule>
  </conditionalFormatting>
  <conditionalFormatting sqref="G53">
    <cfRule type="expression" dxfId="39" priority="8" stopIfTrue="1">
      <formula>$H$53="超过30%"</formula>
    </cfRule>
  </conditionalFormatting>
  <conditionalFormatting sqref="E52">
    <cfRule type="expression" dxfId="38" priority="7" stopIfTrue="1">
      <formula>$F$52="超过20%"</formula>
    </cfRule>
  </conditionalFormatting>
  <conditionalFormatting sqref="E53">
    <cfRule type="expression" dxfId="37" priority="6" stopIfTrue="1">
      <formula>$F$53="超过30%"</formula>
    </cfRule>
  </conditionalFormatting>
  <conditionalFormatting sqref="G51">
    <cfRule type="expression" dxfId="36" priority="5" stopIfTrue="1">
      <formula>$H$53+$H$51="超过30%"</formula>
    </cfRule>
  </conditionalFormatting>
  <conditionalFormatting sqref="G52">
    <cfRule type="expression" dxfId="35" priority="4" stopIfTrue="1">
      <formula>$H$52="超过20%"</formula>
    </cfRule>
  </conditionalFormatting>
  <conditionalFormatting sqref="I51">
    <cfRule type="expression" dxfId="34" priority="3" stopIfTrue="1">
      <formula>$J$51="超过30%"</formula>
    </cfRule>
  </conditionalFormatting>
  <conditionalFormatting sqref="I52">
    <cfRule type="expression" dxfId="33" priority="2" stopIfTrue="1">
      <formula>$J$52="超过20%"</formula>
    </cfRule>
  </conditionalFormatting>
  <conditionalFormatting sqref="I53">
    <cfRule type="expression" dxfId="3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6" t="s">
        <v>2341</v>
      </c>
      <c r="D4" s="3057"/>
      <c r="E4" s="3058" t="s">
        <v>2342</v>
      </c>
      <c r="F4" s="3059"/>
      <c r="G4" s="3056" t="s">
        <v>2343</v>
      </c>
      <c r="H4" s="3057"/>
      <c r="I4" s="3056" t="s">
        <v>2344</v>
      </c>
      <c r="J4" s="3057"/>
      <c r="K4" s="594" t="s">
        <v>2345</v>
      </c>
      <c r="L4" s="1243"/>
      <c r="M4" s="1244"/>
      <c r="N4" s="1244"/>
      <c r="O4" s="1244"/>
      <c r="P4" s="3060" t="s">
        <v>2346</v>
      </c>
      <c r="Q4" s="3061"/>
      <c r="R4" s="3045" t="s">
        <v>2342</v>
      </c>
      <c r="S4" s="3046"/>
      <c r="T4" s="3045" t="s">
        <v>2343</v>
      </c>
      <c r="U4" s="3046"/>
      <c r="V4" s="3066" t="s">
        <v>2344</v>
      </c>
      <c r="W4" s="3066"/>
      <c r="X4" s="1900"/>
      <c r="Y4" s="3045" t="s">
        <v>2346</v>
      </c>
      <c r="Z4" s="3046"/>
      <c r="AA4" s="3053" t="s">
        <v>2342</v>
      </c>
      <c r="AB4" s="3054" t="s">
        <v>2343</v>
      </c>
      <c r="AC4" s="3053" t="s">
        <v>2344</v>
      </c>
    </row>
    <row r="5" spans="1:29" ht="15">
      <c r="A5" s="383"/>
      <c r="B5" s="384"/>
      <c r="C5" s="3041" t="s">
        <v>2347</v>
      </c>
      <c r="D5" s="3042"/>
      <c r="E5" s="3067" t="s">
        <v>2348</v>
      </c>
      <c r="F5" s="3068"/>
      <c r="G5" s="3041" t="s">
        <v>2349</v>
      </c>
      <c r="H5" s="3042"/>
      <c r="I5" s="3041" t="s">
        <v>2350</v>
      </c>
      <c r="J5" s="3042"/>
      <c r="K5" s="594"/>
      <c r="L5" s="1243"/>
      <c r="M5" s="1244"/>
      <c r="N5" s="1244"/>
      <c r="O5" s="1244"/>
      <c r="P5" s="3062"/>
      <c r="Q5" s="3063"/>
      <c r="R5" s="3047"/>
      <c r="S5" s="3048"/>
      <c r="T5" s="3047"/>
      <c r="U5" s="3048"/>
      <c r="V5" s="3066"/>
      <c r="W5" s="3066"/>
      <c r="X5" s="1900"/>
      <c r="Y5" s="3047"/>
      <c r="Z5" s="3048"/>
      <c r="AA5" s="3054"/>
      <c r="AB5" s="3054"/>
      <c r="AC5" s="3054"/>
    </row>
    <row r="6" spans="1:29" ht="15.75" thickBot="1">
      <c r="A6" s="385"/>
      <c r="B6" s="386"/>
      <c r="C6" s="3039" t="s">
        <v>2351</v>
      </c>
      <c r="D6" s="3040"/>
      <c r="E6" s="3070" t="s">
        <v>2351</v>
      </c>
      <c r="F6" s="3071"/>
      <c r="G6" s="3039" t="s">
        <v>2351</v>
      </c>
      <c r="H6" s="3040"/>
      <c r="I6" s="3039" t="s">
        <v>2351</v>
      </c>
      <c r="J6" s="3040"/>
      <c r="K6" s="594" t="s">
        <v>2352</v>
      </c>
      <c r="L6" s="1243"/>
      <c r="M6" s="1244"/>
      <c r="N6" s="1244"/>
      <c r="O6" s="1244"/>
      <c r="P6" s="3064"/>
      <c r="Q6" s="3065"/>
      <c r="R6" s="3047"/>
      <c r="S6" s="3048"/>
      <c r="T6" s="3049"/>
      <c r="U6" s="3050"/>
      <c r="V6" s="3066"/>
      <c r="W6" s="3066"/>
      <c r="X6" s="1900"/>
      <c r="Y6" s="3049"/>
      <c r="Z6" s="3050"/>
      <c r="AA6" s="3055"/>
      <c r="AB6" s="3055"/>
      <c r="AC6" s="3055"/>
    </row>
    <row r="7" spans="1:29" s="35" customFormat="1" ht="15.75" thickBot="1">
      <c r="A7" s="387" t="s">
        <v>2353</v>
      </c>
      <c r="B7" s="388"/>
      <c r="C7" s="389">
        <f>'数据-取费表'!B2</f>
        <v>43272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3" t="s">
        <v>2354</v>
      </c>
      <c r="Q7" s="3051"/>
      <c r="R7" s="749" t="s">
        <v>25</v>
      </c>
      <c r="S7" s="750">
        <f t="shared" ref="S7:S15" si="0">F7</f>
        <v>0</v>
      </c>
      <c r="T7" s="749" t="s">
        <v>25</v>
      </c>
      <c r="U7" s="750">
        <f t="shared" ref="U7:U15" si="1">H7</f>
        <v>0</v>
      </c>
      <c r="V7" s="749" t="s">
        <v>25</v>
      </c>
      <c r="W7" s="750">
        <f t="shared" ref="W7:W15" si="2">J7</f>
        <v>0</v>
      </c>
      <c r="X7" s="751"/>
      <c r="Y7" s="3043" t="s">
        <v>2354</v>
      </c>
      <c r="Z7" s="3044"/>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3" t="s">
        <v>2357</v>
      </c>
      <c r="Q8" s="3044"/>
      <c r="R8" s="749" t="s">
        <v>25</v>
      </c>
      <c r="S8" s="750">
        <f t="shared" si="0"/>
        <v>0</v>
      </c>
      <c r="T8" s="749" t="s">
        <v>25</v>
      </c>
      <c r="U8" s="750">
        <f t="shared" si="1"/>
        <v>0</v>
      </c>
      <c r="V8" s="749" t="s">
        <v>25</v>
      </c>
      <c r="W8" s="750">
        <f t="shared" si="2"/>
        <v>0</v>
      </c>
      <c r="X8" s="751"/>
      <c r="Y8" s="3043" t="s">
        <v>2357</v>
      </c>
      <c r="Z8" s="3044"/>
      <c r="AA8" s="752" t="e">
        <f t="shared" ref="AA8:AA40" si="3">D8/F8</f>
        <v>#DIV/0!</v>
      </c>
      <c r="AB8" s="752" t="e">
        <f t="shared" ref="AB8:AB40" si="4">D8/H8</f>
        <v>#DIV/0!</v>
      </c>
      <c r="AC8" s="752" t="e">
        <f t="shared" ref="AC8:AC40" si="5">D8/J8</f>
        <v>#DIV/0!</v>
      </c>
    </row>
    <row r="9" spans="1:29" s="35" customFormat="1">
      <c r="A9" s="395" t="s">
        <v>2358</v>
      </c>
      <c r="B9" s="28" t="s">
        <v>2359</v>
      </c>
      <c r="C9" s="2483" t="s">
        <v>2591</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29" t="s">
        <v>2360</v>
      </c>
      <c r="Q9" s="1887" t="str">
        <f t="shared" ref="Q9:Q15" si="6">B9</f>
        <v>用途</v>
      </c>
      <c r="R9" s="749" t="s">
        <v>25</v>
      </c>
      <c r="S9" s="750">
        <f t="shared" si="0"/>
        <v>100</v>
      </c>
      <c r="T9" s="749" t="s">
        <v>25</v>
      </c>
      <c r="U9" s="750">
        <f t="shared" si="1"/>
        <v>100</v>
      </c>
      <c r="V9" s="749" t="s">
        <v>25</v>
      </c>
      <c r="W9" s="750">
        <f t="shared" si="2"/>
        <v>100</v>
      </c>
      <c r="X9" s="751"/>
      <c r="Y9" s="2855"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29"/>
      <c r="Q10" s="1887" t="str">
        <f t="shared" si="6"/>
        <v>土地使用年限（年）</v>
      </c>
      <c r="R10" s="749" t="s">
        <v>25</v>
      </c>
      <c r="S10" s="750">
        <f t="shared" si="0"/>
        <v>105</v>
      </c>
      <c r="T10" s="749" t="s">
        <v>25</v>
      </c>
      <c r="U10" s="750">
        <f t="shared" si="1"/>
        <v>105</v>
      </c>
      <c r="V10" s="749" t="s">
        <v>25</v>
      </c>
      <c r="W10" s="750">
        <f t="shared" si="2"/>
        <v>105</v>
      </c>
      <c r="X10" s="751"/>
      <c r="Y10" s="2855"/>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2364</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2" t="s">
        <v>2365</v>
      </c>
      <c r="Q15" s="1899" t="str">
        <f t="shared" si="6"/>
        <v>产业集聚程度</v>
      </c>
      <c r="R15" s="753" t="s">
        <v>25</v>
      </c>
      <c r="S15" s="754">
        <f t="shared" si="0"/>
        <v>100</v>
      </c>
      <c r="T15" s="753" t="s">
        <v>25</v>
      </c>
      <c r="U15" s="754">
        <f t="shared" si="1"/>
        <v>100</v>
      </c>
      <c r="V15" s="753" t="s">
        <v>25</v>
      </c>
      <c r="W15" s="754">
        <f t="shared" si="2"/>
        <v>100</v>
      </c>
      <c r="X15" s="1900"/>
      <c r="Y15" s="3032"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3"/>
      <c r="Q16" s="1899"/>
      <c r="R16" s="753"/>
      <c r="S16" s="754"/>
      <c r="T16" s="753"/>
      <c r="U16" s="754"/>
      <c r="V16" s="753"/>
      <c r="W16" s="754"/>
      <c r="X16" s="1900"/>
      <c r="Y16" s="3033"/>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3"/>
      <c r="Q17" s="1899" t="str">
        <f>B17</f>
        <v>交通便捷度</v>
      </c>
      <c r="R17" s="753" t="s">
        <v>25</v>
      </c>
      <c r="S17" s="754">
        <f>F17</f>
        <v>100</v>
      </c>
      <c r="T17" s="753" t="s">
        <v>25</v>
      </c>
      <c r="U17" s="754">
        <f>H17</f>
        <v>100</v>
      </c>
      <c r="V17" s="753" t="s">
        <v>25</v>
      </c>
      <c r="W17" s="754">
        <f>J17</f>
        <v>100</v>
      </c>
      <c r="X17" s="1900"/>
      <c r="Y17" s="303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33"/>
      <c r="Q18" s="1899"/>
      <c r="R18" s="753"/>
      <c r="S18" s="754"/>
      <c r="T18" s="753"/>
      <c r="U18" s="754"/>
      <c r="V18" s="753"/>
      <c r="W18" s="754"/>
      <c r="X18" s="1900"/>
      <c r="Y18" s="3033"/>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3"/>
      <c r="Q19" s="1899" t="str">
        <f t="shared" ref="Q19:Q33" si="8">B19</f>
        <v>区域土地利用方向</v>
      </c>
      <c r="R19" s="753" t="s">
        <v>25</v>
      </c>
      <c r="S19" s="754">
        <f>F19</f>
        <v>100</v>
      </c>
      <c r="T19" s="753" t="s">
        <v>25</v>
      </c>
      <c r="U19" s="754">
        <f>H19</f>
        <v>100</v>
      </c>
      <c r="V19" s="753" t="s">
        <v>25</v>
      </c>
      <c r="W19" s="754">
        <f>J19</f>
        <v>100</v>
      </c>
      <c r="X19" s="1900"/>
      <c r="Y19" s="303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3"/>
      <c r="Q20" s="1899"/>
      <c r="R20" s="753"/>
      <c r="S20" s="754"/>
      <c r="T20" s="753"/>
      <c r="U20" s="754"/>
      <c r="V20" s="753"/>
      <c r="W20" s="754"/>
      <c r="X20" s="1900"/>
      <c r="Y20" s="3033"/>
      <c r="Z20" s="1902"/>
      <c r="AA20" s="1903"/>
      <c r="AB20" s="1903"/>
      <c r="AC20" s="1903"/>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3"/>
      <c r="Q21" s="1899" t="str">
        <f t="shared" si="8"/>
        <v>环境状况</v>
      </c>
      <c r="R21" s="753" t="s">
        <v>25</v>
      </c>
      <c r="S21" s="754">
        <f>F21</f>
        <v>100</v>
      </c>
      <c r="T21" s="753" t="s">
        <v>25</v>
      </c>
      <c r="U21" s="754">
        <f>H21</f>
        <v>100</v>
      </c>
      <c r="V21" s="753" t="s">
        <v>25</v>
      </c>
      <c r="W21" s="754">
        <f>J21</f>
        <v>100</v>
      </c>
      <c r="X21" s="1900"/>
      <c r="Y21" s="303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3"/>
      <c r="Q22" s="1899"/>
      <c r="R22" s="753"/>
      <c r="S22" s="754"/>
      <c r="T22" s="753"/>
      <c r="U22" s="754"/>
      <c r="V22" s="753"/>
      <c r="W22" s="754"/>
      <c r="X22" s="1900"/>
      <c r="Y22" s="3033"/>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3"/>
      <c r="Q23" s="1887" t="str">
        <f t="shared" si="8"/>
        <v>公共配套设施</v>
      </c>
      <c r="R23" s="749" t="s">
        <v>25</v>
      </c>
      <c r="S23" s="750">
        <f>F23</f>
        <v>100</v>
      </c>
      <c r="T23" s="749" t="s">
        <v>25</v>
      </c>
      <c r="U23" s="750">
        <f>H23</f>
        <v>100</v>
      </c>
      <c r="V23" s="749" t="s">
        <v>25</v>
      </c>
      <c r="W23" s="750">
        <f>J23</f>
        <v>100</v>
      </c>
      <c r="X23" s="751"/>
      <c r="Y23" s="3033"/>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33"/>
      <c r="Q24" s="1887"/>
      <c r="R24" s="749"/>
      <c r="S24" s="750"/>
      <c r="T24" s="749"/>
      <c r="U24" s="750"/>
      <c r="V24" s="749"/>
      <c r="W24" s="750"/>
      <c r="X24" s="751"/>
      <c r="Y24" s="3033"/>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3"/>
      <c r="Q25" s="1887" t="str">
        <f t="shared" ref="Q25" si="9">B25</f>
        <v>基础设施水平</v>
      </c>
      <c r="R25" s="749" t="s">
        <v>25</v>
      </c>
      <c r="S25" s="750">
        <f>F25</f>
        <v>100</v>
      </c>
      <c r="T25" s="749" t="s">
        <v>25</v>
      </c>
      <c r="U25" s="750">
        <f>H25</f>
        <v>100</v>
      </c>
      <c r="V25" s="749" t="s">
        <v>25</v>
      </c>
      <c r="W25" s="750">
        <f>J25</f>
        <v>100</v>
      </c>
      <c r="X25" s="751"/>
      <c r="Y25" s="3033"/>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33"/>
      <c r="Q26" s="1887"/>
      <c r="R26" s="749"/>
      <c r="S26" s="750"/>
      <c r="T26" s="749"/>
      <c r="U26" s="750"/>
      <c r="V26" s="749"/>
      <c r="W26" s="750"/>
      <c r="X26" s="751"/>
      <c r="Y26" s="3033"/>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3"/>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3"/>
      <c r="Q28" s="1899" t="str">
        <f t="shared" si="8"/>
        <v>毗邻道路的类型与等级</v>
      </c>
      <c r="R28" s="753" t="s">
        <v>25</v>
      </c>
      <c r="S28" s="754">
        <f t="shared" si="10"/>
        <v>100</v>
      </c>
      <c r="T28" s="753" t="s">
        <v>25</v>
      </c>
      <c r="U28" s="754">
        <f t="shared" si="11"/>
        <v>100</v>
      </c>
      <c r="V28" s="753" t="s">
        <v>25</v>
      </c>
      <c r="W28" s="754">
        <f t="shared" si="12"/>
        <v>100</v>
      </c>
      <c r="X28" s="1900"/>
      <c r="Y28" s="303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3"/>
      <c r="Q29" s="1899"/>
      <c r="R29" s="753"/>
      <c r="S29" s="754"/>
      <c r="T29" s="753"/>
      <c r="U29" s="754"/>
      <c r="V29" s="753"/>
      <c r="W29" s="754"/>
      <c r="X29" s="1900"/>
      <c r="Y29" s="3033"/>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3"/>
      <c r="Q30" s="1899" t="str">
        <f t="shared" si="8"/>
        <v>土地级别</v>
      </c>
      <c r="R30" s="753" t="s">
        <v>25</v>
      </c>
      <c r="S30" s="754">
        <f t="shared" si="10"/>
        <v>100</v>
      </c>
      <c r="T30" s="753" t="s">
        <v>25</v>
      </c>
      <c r="U30" s="754">
        <f t="shared" si="11"/>
        <v>100</v>
      </c>
      <c r="V30" s="753" t="s">
        <v>25</v>
      </c>
      <c r="W30" s="754">
        <f t="shared" si="12"/>
        <v>100</v>
      </c>
      <c r="X30" s="1900"/>
      <c r="Y30" s="3033"/>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3"/>
      <c r="Q31" s="1899">
        <f t="shared" si="8"/>
        <v>111</v>
      </c>
      <c r="R31" s="753" t="s">
        <v>25</v>
      </c>
      <c r="S31" s="754">
        <f t="shared" si="10"/>
        <v>100</v>
      </c>
      <c r="T31" s="753" t="s">
        <v>25</v>
      </c>
      <c r="U31" s="754">
        <f t="shared" si="11"/>
        <v>100</v>
      </c>
      <c r="V31" s="753" t="s">
        <v>25</v>
      </c>
      <c r="W31" s="754">
        <f t="shared" si="12"/>
        <v>100</v>
      </c>
      <c r="X31" s="1900"/>
      <c r="Y31" s="3033"/>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9" t="s">
        <v>2371</v>
      </c>
      <c r="Q32" s="1899">
        <f t="shared" si="8"/>
        <v>111</v>
      </c>
      <c r="R32" s="753" t="s">
        <v>25</v>
      </c>
      <c r="S32" s="754">
        <f t="shared" si="10"/>
        <v>100</v>
      </c>
      <c r="T32" s="753" t="s">
        <v>25</v>
      </c>
      <c r="U32" s="754">
        <f t="shared" si="11"/>
        <v>100</v>
      </c>
      <c r="V32" s="753" t="s">
        <v>25</v>
      </c>
      <c r="W32" s="754">
        <f t="shared" si="12"/>
        <v>100</v>
      </c>
      <c r="X32" s="1900"/>
      <c r="Y32" s="3037"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7"/>
      <c r="Q33" s="1899">
        <f t="shared" si="8"/>
        <v>111</v>
      </c>
      <c r="R33" s="756" t="s">
        <v>25</v>
      </c>
      <c r="S33" s="757">
        <f t="shared" si="10"/>
        <v>100</v>
      </c>
      <c r="T33" s="756" t="s">
        <v>25</v>
      </c>
      <c r="U33" s="757">
        <f t="shared" si="11"/>
        <v>100</v>
      </c>
      <c r="V33" s="756" t="s">
        <v>25</v>
      </c>
      <c r="W33" s="757">
        <f t="shared" si="12"/>
        <v>100</v>
      </c>
      <c r="X33" s="758"/>
      <c r="Y33" s="3037"/>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7"/>
      <c r="Q34" s="1899" t="str">
        <f>B34</f>
        <v>宗地面积</v>
      </c>
      <c r="R34" s="753" t="s">
        <v>25</v>
      </c>
      <c r="S34" s="754" t="e">
        <f t="shared" si="10"/>
        <v>#N/A</v>
      </c>
      <c r="T34" s="753" t="s">
        <v>25</v>
      </c>
      <c r="U34" s="754" t="e">
        <f t="shared" si="11"/>
        <v>#N/A</v>
      </c>
      <c r="V34" s="753" t="s">
        <v>25</v>
      </c>
      <c r="W34" s="754" t="e">
        <f t="shared" si="12"/>
        <v>#N/A</v>
      </c>
      <c r="X34" s="1900"/>
      <c r="Y34" s="3037"/>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37"/>
      <c r="Q35" s="1899" t="str">
        <f t="shared" ref="Q35:Q40" si="14">B35</f>
        <v>宗地形状</v>
      </c>
      <c r="R35" s="753" t="s">
        <v>25</v>
      </c>
      <c r="S35" s="754">
        <f t="shared" si="10"/>
        <v>100</v>
      </c>
      <c r="T35" s="753" t="s">
        <v>25</v>
      </c>
      <c r="U35" s="754">
        <f t="shared" si="11"/>
        <v>100</v>
      </c>
      <c r="V35" s="753" t="s">
        <v>25</v>
      </c>
      <c r="W35" s="754">
        <f t="shared" si="12"/>
        <v>100</v>
      </c>
      <c r="X35" s="1900"/>
      <c r="Y35" s="3037"/>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37"/>
      <c r="Q36" s="1899" t="str">
        <f t="shared" si="14"/>
        <v>宗地开发程度</v>
      </c>
      <c r="R36" s="749" t="s">
        <v>25</v>
      </c>
      <c r="S36" s="750">
        <f t="shared" si="10"/>
        <v>100</v>
      </c>
      <c r="T36" s="749" t="s">
        <v>25</v>
      </c>
      <c r="U36" s="750">
        <f t="shared" si="11"/>
        <v>100</v>
      </c>
      <c r="V36" s="749" t="s">
        <v>25</v>
      </c>
      <c r="W36" s="750">
        <f t="shared" si="12"/>
        <v>100</v>
      </c>
      <c r="X36" s="751"/>
      <c r="Y36" s="3037"/>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37" t="s">
        <v>2371</v>
      </c>
      <c r="Q37" s="1899" t="str">
        <f t="shared" si="14"/>
        <v>工程地质条件</v>
      </c>
      <c r="R37" s="753" t="s">
        <v>25</v>
      </c>
      <c r="S37" s="754">
        <f t="shared" si="10"/>
        <v>100</v>
      </c>
      <c r="T37" s="753" t="s">
        <v>25</v>
      </c>
      <c r="U37" s="754">
        <f t="shared" si="11"/>
        <v>100</v>
      </c>
      <c r="V37" s="753" t="s">
        <v>25</v>
      </c>
      <c r="W37" s="754">
        <f t="shared" si="12"/>
        <v>100</v>
      </c>
      <c r="X37" s="1900"/>
      <c r="Y37" s="3037"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7"/>
      <c r="Q38" s="1899">
        <f t="shared" si="14"/>
        <v>111</v>
      </c>
      <c r="R38" s="753" t="s">
        <v>25</v>
      </c>
      <c r="S38" s="754">
        <f t="shared" si="10"/>
        <v>100</v>
      </c>
      <c r="T38" s="753" t="s">
        <v>25</v>
      </c>
      <c r="U38" s="754">
        <f t="shared" si="11"/>
        <v>100</v>
      </c>
      <c r="V38" s="753" t="s">
        <v>25</v>
      </c>
      <c r="W38" s="754">
        <f t="shared" si="12"/>
        <v>100</v>
      </c>
      <c r="X38" s="1900"/>
      <c r="Y38" s="3037"/>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7"/>
      <c r="Q39" s="1899">
        <f t="shared" si="14"/>
        <v>111</v>
      </c>
      <c r="R39" s="753" t="s">
        <v>25</v>
      </c>
      <c r="S39" s="754">
        <f t="shared" si="10"/>
        <v>100</v>
      </c>
      <c r="T39" s="753" t="s">
        <v>25</v>
      </c>
      <c r="U39" s="754">
        <f t="shared" si="11"/>
        <v>100</v>
      </c>
      <c r="V39" s="753" t="s">
        <v>25</v>
      </c>
      <c r="W39" s="754">
        <f t="shared" si="12"/>
        <v>100</v>
      </c>
      <c r="X39" s="1900"/>
      <c r="Y39" s="3037"/>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7"/>
      <c r="Q40" s="1899">
        <f t="shared" si="14"/>
        <v>111</v>
      </c>
      <c r="R40" s="756" t="s">
        <v>25</v>
      </c>
      <c r="S40" s="757">
        <f t="shared" si="10"/>
        <v>100</v>
      </c>
      <c r="T40" s="756" t="s">
        <v>25</v>
      </c>
      <c r="U40" s="757">
        <f t="shared" si="11"/>
        <v>100</v>
      </c>
      <c r="V40" s="756" t="s">
        <v>25</v>
      </c>
      <c r="W40" s="757">
        <f t="shared" si="12"/>
        <v>100</v>
      </c>
      <c r="X40" s="758"/>
      <c r="Y40" s="3037"/>
      <c r="Z40" s="759">
        <f t="shared" si="13"/>
        <v>111</v>
      </c>
      <c r="AA40" s="1903">
        <f t="shared" si="3"/>
        <v>1</v>
      </c>
      <c r="AB40" s="1903">
        <f t="shared" si="4"/>
        <v>1</v>
      </c>
      <c r="AC40" s="1903">
        <f t="shared" si="5"/>
        <v>1</v>
      </c>
    </row>
    <row r="41" spans="1:29" ht="15">
      <c r="A41" s="460" t="s">
        <v>2519</v>
      </c>
      <c r="B41" s="2491" t="s">
        <v>2594</v>
      </c>
      <c r="C41" s="665" t="s">
        <v>1</v>
      </c>
      <c r="D41" s="462"/>
      <c r="E41" s="463"/>
      <c r="F41" s="464"/>
      <c r="G41" s="465"/>
      <c r="H41" s="466"/>
      <c r="I41" s="463"/>
      <c r="J41" s="466"/>
      <c r="K41" s="762"/>
      <c r="L41" s="1256"/>
      <c r="M41" s="1244"/>
      <c r="N41" s="1244"/>
      <c r="O41" s="1257"/>
      <c r="P41" s="3029" t="str">
        <f>A41</f>
        <v>成交单价</v>
      </c>
      <c r="Q41" s="3029"/>
      <c r="R41" s="3066">
        <f>E41</f>
        <v>0</v>
      </c>
      <c r="S41" s="3066"/>
      <c r="T41" s="3066">
        <f>G41</f>
        <v>0</v>
      </c>
      <c r="U41" s="3066"/>
      <c r="V41" s="3066">
        <f>I41</f>
        <v>0</v>
      </c>
      <c r="W41" s="306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29" t="str">
        <f>A42</f>
        <v>比较价值（元/平方米）</v>
      </c>
      <c r="Q42" s="3029"/>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26" t="str">
        <f>A43</f>
        <v>估价对象XX用房的比较价值（楼面单价，元/平方米）</v>
      </c>
      <c r="Q43" s="3027"/>
      <c r="R43" s="3081" t="e">
        <f>ROUND(AVERAGE(R42:V42),0)</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2" t="s">
        <v>2559</v>
      </c>
      <c r="D50" s="2493"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2568</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2569</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2570</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2571</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2572</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2573</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2574</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1" priority="14" stopIfTrue="1" operator="containsText" text="超过">
      <formula>NOT(ISERROR(SEARCH("超过",F46)))</formula>
    </cfRule>
  </conditionalFormatting>
  <conditionalFormatting sqref="J48">
    <cfRule type="containsText" dxfId="30" priority="13" stopIfTrue="1" operator="containsText" text="超过">
      <formula>NOT(ISERROR(SEARCH("超过",J48)))</formula>
    </cfRule>
  </conditionalFormatting>
  <conditionalFormatting sqref="H48">
    <cfRule type="containsText" dxfId="29" priority="12" stopIfTrue="1" operator="containsText" text="超过">
      <formula>NOT(ISERROR(SEARCH("超过",H48)))</formula>
    </cfRule>
  </conditionalFormatting>
  <conditionalFormatting sqref="F48">
    <cfRule type="containsText" dxfId="28" priority="11" stopIfTrue="1" operator="containsText" text="超过">
      <formula>NOT(ISERROR(SEARCH("超过",F48)))</formula>
    </cfRule>
  </conditionalFormatting>
  <conditionalFormatting sqref="F47 H47 J47">
    <cfRule type="containsText" dxfId="27" priority="10" stopIfTrue="1" operator="containsText" text="超过">
      <formula>NOT(ISERROR(SEARCH("超过",F47)))</formula>
    </cfRule>
  </conditionalFormatting>
  <conditionalFormatting sqref="E46">
    <cfRule type="expression" dxfId="26" priority="9" stopIfTrue="1">
      <formula>$F$46="超过30%"</formula>
    </cfRule>
  </conditionalFormatting>
  <conditionalFormatting sqref="G48">
    <cfRule type="expression" dxfId="25" priority="8" stopIfTrue="1">
      <formula>$H$48="超过30%"</formula>
    </cfRule>
  </conditionalFormatting>
  <conditionalFormatting sqref="E48">
    <cfRule type="expression" dxfId="24" priority="6" stopIfTrue="1">
      <formula>$F$48="超过30%"</formula>
    </cfRule>
  </conditionalFormatting>
  <conditionalFormatting sqref="G46">
    <cfRule type="expression" dxfId="23" priority="5" stopIfTrue="1">
      <formula>$H$46="超过30%"</formula>
    </cfRule>
  </conditionalFormatting>
  <conditionalFormatting sqref="G47">
    <cfRule type="expression" dxfId="22" priority="4" stopIfTrue="1">
      <formula>$H$47="超过20%"</formula>
    </cfRule>
  </conditionalFormatting>
  <conditionalFormatting sqref="I46">
    <cfRule type="expression" dxfId="21" priority="3" stopIfTrue="1">
      <formula>$J$46="超过30%"</formula>
    </cfRule>
  </conditionalFormatting>
  <conditionalFormatting sqref="I47">
    <cfRule type="expression" dxfId="20" priority="2" stopIfTrue="1">
      <formula>$J$47="超过20%"</formula>
    </cfRule>
  </conditionalFormatting>
  <conditionalFormatting sqref="I48">
    <cfRule type="expression" dxfId="19" priority="1" stopIfTrue="1">
      <formula>$J$48="超过30%"</formula>
    </cfRule>
  </conditionalFormatting>
  <conditionalFormatting sqref="E47">
    <cfRule type="expression" dxfId="1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估价对象为北京市房地产，为所有。根据《不动产权证书》[]，估价对象建筑面积为187.16平方米，（分摊）出让国有建设用地使用权面积为平方米。估价对象用途为住宅。</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2018年6月21日（评估专业人员实地查勘之日）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本次估价的“房地产价值”是指在正常市场情况下，在价值时点2018年6月21日，估价对象规划用途为住宅，假定未设立法定优先受偿款下的房地产市场价值。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A91" sqref="A1:XFD1048576"/>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0</v>
      </c>
      <c r="E1" s="2504"/>
      <c r="F1" s="2504"/>
      <c r="G1" s="2504"/>
      <c r="H1" s="2504"/>
      <c r="I1" s="2504"/>
      <c r="J1" s="2504"/>
      <c r="L1" s="2505"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7" t="s">
        <v>2606</v>
      </c>
      <c r="D2" s="2508" t="s">
        <v>2607</v>
      </c>
      <c r="E2" s="2509"/>
      <c r="F2" s="2508" t="s">
        <v>2608</v>
      </c>
      <c r="G2" s="2510" t="str">
        <f>项目基本情况!F9</f>
        <v>三级</v>
      </c>
      <c r="H2" s="2511" t="s">
        <v>2609</v>
      </c>
      <c r="I2" s="2510" t="str">
        <f>项目基本情况!F10</f>
        <v>Ⅲ—18</v>
      </c>
      <c r="J2" s="2512"/>
      <c r="L2" s="2513"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7" t="s">
        <v>2612</v>
      </c>
      <c r="D3" s="2508" t="s">
        <v>2613</v>
      </c>
      <c r="E3" s="2514"/>
      <c r="F3" s="2515" t="s">
        <v>2614</v>
      </c>
      <c r="G3" s="941">
        <f>项目基本情况!C15</f>
        <v>0</v>
      </c>
      <c r="H3" s="115" t="s">
        <v>2615</v>
      </c>
      <c r="I3" s="974">
        <v>7</v>
      </c>
      <c r="J3" s="2512" t="s">
        <v>2616</v>
      </c>
      <c r="L3" s="2513"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5"/>
      <c r="B4" s="3086"/>
      <c r="C4" s="3086"/>
      <c r="D4" s="3087"/>
      <c r="E4" s="3087"/>
      <c r="F4" s="3087"/>
      <c r="G4" s="3087"/>
      <c r="H4" s="3087"/>
      <c r="I4" s="3087"/>
      <c r="J4" s="3088"/>
      <c r="L4" s="2513"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2619</v>
      </c>
      <c r="B5" s="2517" t="s">
        <v>2620</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2622</v>
      </c>
      <c r="C6" s="943">
        <f>SUMIF(L1:L12,G2,M1:M12)</f>
        <v>0</v>
      </c>
      <c r="D6" s="2528" t="s">
        <v>2623</v>
      </c>
      <c r="E6" s="2529"/>
      <c r="F6" s="2529"/>
      <c r="G6" s="2530"/>
      <c r="H6" s="2530"/>
      <c r="I6" s="2530"/>
      <c r="J6" s="2531"/>
      <c r="K6" s="2532"/>
      <c r="L6" s="2513"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89" t="str">
        <f>IF(E2="商业",IF(C8="不临58条商业街","",2),"")</f>
        <v/>
      </c>
      <c r="B7" s="2533" t="s">
        <v>2625</v>
      </c>
      <c r="C7" s="944" t="e">
        <f>IF(C8="不临58条商业街",1,ROUND(1+(1.6*E8+1.2*E9+0.8*E10+0.4*E11)*C9,4))</f>
        <v>#DIV/0!</v>
      </c>
      <c r="D7" s="2534" t="s">
        <v>2626</v>
      </c>
      <c r="E7" s="975"/>
      <c r="F7" s="2535"/>
      <c r="G7" s="2536"/>
      <c r="H7" s="2536"/>
      <c r="I7" s="2536"/>
      <c r="J7" s="2537"/>
      <c r="K7" s="2532"/>
      <c r="L7" s="2513"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t="str">
        <f>G2</f>
        <v>三级</v>
      </c>
      <c r="Y7" s="1711" t="s">
        <v>2629</v>
      </c>
      <c r="Z7" s="1712">
        <f>G3</f>
        <v>0</v>
      </c>
      <c r="AA7" s="1713"/>
      <c r="AB7" s="1713"/>
      <c r="AC7" s="1714"/>
      <c r="AD7" s="1715"/>
      <c r="AE7" s="1715"/>
      <c r="AF7" s="1715"/>
      <c r="AG7" s="1715"/>
      <c r="AH7" s="1715"/>
      <c r="AI7" s="1715"/>
      <c r="AJ7" s="1716"/>
    </row>
    <row r="8" spans="1:36" ht="15">
      <c r="A8" s="3090"/>
      <c r="B8" s="115" t="s">
        <v>2630</v>
      </c>
      <c r="C8" s="2538"/>
      <c r="D8" s="945" t="s">
        <v>89</v>
      </c>
      <c r="E8" s="946" t="e">
        <f>ROUND(C11/E7,4)</f>
        <v>#DIV/0!</v>
      </c>
      <c r="F8" s="2539" t="s">
        <v>2631</v>
      </c>
      <c r="G8" s="2540"/>
      <c r="H8" s="2540"/>
      <c r="I8" s="2540"/>
      <c r="J8" s="2541"/>
      <c r="L8" s="2513"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2" t="s">
        <v>2633</v>
      </c>
      <c r="X8" s="3083"/>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90"/>
      <c r="B9" s="115" t="s">
        <v>2646</v>
      </c>
      <c r="C9" s="947">
        <f>SUMIF(修正!C59:C119,C8,修正!E59:E119)</f>
        <v>0</v>
      </c>
      <c r="D9" s="117" t="s">
        <v>90</v>
      </c>
      <c r="E9" s="117" t="e">
        <f>ROUND(C11/E7,4)</f>
        <v>#DIV/0!</v>
      </c>
      <c r="F9" s="2539" t="s">
        <v>2647</v>
      </c>
      <c r="G9" s="2540"/>
      <c r="H9" s="2540"/>
      <c r="I9" s="2540"/>
      <c r="J9" s="2541"/>
      <c r="L9" s="2513"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4"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0"/>
      <c r="B10" s="115" t="s">
        <v>2651</v>
      </c>
      <c r="C10" s="117">
        <f>SUMIF(修正!C59:C119,C8,修正!F59:F119)</f>
        <v>0</v>
      </c>
      <c r="D10" s="117" t="s">
        <v>91</v>
      </c>
      <c r="E10" s="117" t="e">
        <f>ROUND(C11/E7,4)</f>
        <v>#DIV/0!</v>
      </c>
      <c r="F10" s="2539" t="s">
        <v>2652</v>
      </c>
      <c r="G10" s="2540"/>
      <c r="H10" s="2540"/>
      <c r="I10" s="2540"/>
      <c r="J10" s="2541"/>
      <c r="L10" s="2513"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0"/>
      <c r="B11" s="2542" t="s">
        <v>2654</v>
      </c>
      <c r="C11" s="948">
        <f>C10/4</f>
        <v>0</v>
      </c>
      <c r="D11" s="948" t="s">
        <v>92</v>
      </c>
      <c r="E11" s="948" t="e">
        <f>ROUND(C11/E7,4)</f>
        <v>#DIV/0!</v>
      </c>
      <c r="F11" s="2543" t="s">
        <v>2655</v>
      </c>
      <c r="G11" s="2544"/>
      <c r="H11" s="2544"/>
      <c r="I11" s="2544"/>
      <c r="J11" s="2545"/>
      <c r="L11" s="2513"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4"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9" t="str">
        <f>IF(E2="住宅",2,"")</f>
        <v/>
      </c>
      <c r="B12" s="2546" t="s">
        <v>2659</v>
      </c>
      <c r="C12" s="944">
        <f>ROUND(C15*D15*E15*F15*G15*H15*I15*J15,4)</f>
        <v>1.32</v>
      </c>
      <c r="D12" s="2547" t="s">
        <v>2660</v>
      </c>
      <c r="E12" s="2548"/>
      <c r="F12" s="2548"/>
      <c r="G12" s="2549"/>
      <c r="H12" s="2549"/>
      <c r="I12" s="2549"/>
      <c r="J12" s="2550"/>
      <c r="L12" s="2551"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4"/>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1"/>
      <c r="B13" s="2552" t="s">
        <v>2663</v>
      </c>
      <c r="C13" s="2553" t="s">
        <v>2664</v>
      </c>
      <c r="D13" s="2554" t="s">
        <v>2665</v>
      </c>
      <c r="E13" s="2554" t="s">
        <v>2666</v>
      </c>
      <c r="F13" s="20" t="s">
        <v>2667</v>
      </c>
      <c r="G13" s="2555" t="s">
        <v>2668</v>
      </c>
      <c r="H13" s="2555" t="s">
        <v>2668</v>
      </c>
      <c r="I13" s="2555" t="s">
        <v>2668</v>
      </c>
      <c r="J13" s="2556" t="s">
        <v>2668</v>
      </c>
      <c r="L13" s="1462"/>
      <c r="M13" s="1462"/>
      <c r="N13" s="1462"/>
      <c r="O13" s="1462"/>
      <c r="P13" s="1462"/>
      <c r="Q13" s="1462"/>
      <c r="R13" s="1709">
        <v>12</v>
      </c>
      <c r="S13" s="1710"/>
      <c r="T13" s="1709" t="e">
        <f t="shared" si="0"/>
        <v>#DIV/0!</v>
      </c>
      <c r="U13" s="1710"/>
      <c r="V13" s="1709" t="e">
        <f t="shared" si="1"/>
        <v>#DIV/0!</v>
      </c>
      <c r="W13" s="308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1"/>
      <c r="B14" s="2557"/>
      <c r="C14" s="2558" t="s">
        <v>2669</v>
      </c>
      <c r="D14" s="2559" t="s">
        <v>2670</v>
      </c>
      <c r="E14" s="2559" t="s">
        <v>2670</v>
      </c>
      <c r="F14" s="2560" t="s">
        <v>2671</v>
      </c>
      <c r="G14" s="2561" t="s">
        <v>2672</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2"/>
      <c r="B15" s="2565" t="s">
        <v>2673</v>
      </c>
      <c r="C15" s="150">
        <f>IF(C14="有",1.1,1)</f>
        <v>1.1000000000000001</v>
      </c>
      <c r="D15" s="150">
        <f>IF(D14="有",1.1,1)</f>
        <v>1</v>
      </c>
      <c r="E15" s="150">
        <f>IF(E14="有",1.1,1)</f>
        <v>1</v>
      </c>
      <c r="F15" s="150">
        <f>IF(F14="500米范围内",1.2,IF(F14="500-1000米",1.1,1))</f>
        <v>1.2</v>
      </c>
      <c r="G15" s="976">
        <v>1</v>
      </c>
      <c r="H15" s="976">
        <v>1</v>
      </c>
      <c r="I15" s="976">
        <v>1</v>
      </c>
      <c r="J15" s="977">
        <v>1</v>
      </c>
      <c r="L15" s="2566" t="s">
        <v>2674</v>
      </c>
      <c r="M15" s="945" t="s">
        <v>2675</v>
      </c>
      <c r="N15" s="945" t="s">
        <v>2676</v>
      </c>
      <c r="O15" s="945" t="s">
        <v>2677</v>
      </c>
      <c r="P15" s="2567"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9" t="b">
        <f>IF(E2="办公",2,IF(E2="工业",2,IF(E2="住宅",3,IF(E2="商业",IF(C8="不临58条商业街",2,3)))))</f>
        <v>0</v>
      </c>
      <c r="B16" s="2533" t="s">
        <v>2679</v>
      </c>
      <c r="C16" s="1885" t="e">
        <f>ROUND(SUM(G17:J17)/C17,0)</f>
        <v>#DIV/0!</v>
      </c>
      <c r="D16" s="2568" t="s">
        <v>2680</v>
      </c>
      <c r="E16" s="2569"/>
      <c r="F16" s="2570"/>
      <c r="G16" s="2571"/>
      <c r="H16" s="2571"/>
      <c r="I16" s="2571"/>
      <c r="J16" s="2572"/>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0"/>
      <c r="B17" s="2573" t="s">
        <v>2682</v>
      </c>
      <c r="C17" s="949">
        <f>SUMPRODUCT((修正!A2:A5=E2)*(修正!B1:M1=G2)*(修正!B2:M5))</f>
        <v>0</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2686</v>
      </c>
      <c r="B18" s="2576" t="s">
        <v>2687</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2688</v>
      </c>
      <c r="B19" s="2576" t="s">
        <v>2689</v>
      </c>
      <c r="C19" s="952" t="e">
        <f>ROUND(IF(H19="按公示增长率计算",SUMPRODUCT((地价!A3:A22=YEAR(G19)&amp;"-"&amp;ROUNDUP(MONTH(G19)/3,0))*(地价!X2:AB2=E2)*(地价!X3:AB22)),IF(H19="地价指数",M20/M19,(1+I19)^O19)),4)</f>
        <v>#DIV/0!</v>
      </c>
      <c r="D19" s="2584" t="s">
        <v>2690</v>
      </c>
      <c r="E19" s="953">
        <v>41640</v>
      </c>
      <c r="F19" s="2584" t="s">
        <v>2691</v>
      </c>
      <c r="G19" s="954">
        <f>'数据-取费表'!B2</f>
        <v>43272</v>
      </c>
      <c r="H19" s="2585" t="s">
        <v>2692</v>
      </c>
      <c r="I19" s="955" t="str">
        <f>IF(H19="季度增幅（自定义）",SUMIF(N21:N24,E2,O21:O24),"")</f>
        <v/>
      </c>
      <c r="J19" s="2581"/>
      <c r="K19" s="2582"/>
      <c r="L19" s="2586"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2695</v>
      </c>
      <c r="B20" s="2591" t="s">
        <v>2696</v>
      </c>
      <c r="C20" s="957" t="e">
        <f>ROUND(POWER(1+G20,J20-I20)*(POWER(1+G20,I20)-1)/(POWER(1+G20,J20)-1),4)</f>
        <v>#DIV/0!</v>
      </c>
      <c r="D20" s="2592" t="s">
        <v>2697</v>
      </c>
      <c r="E20" s="1856">
        <f ca="1">存贷款利率!D4/100</f>
        <v>4.3499999999999997E-2</v>
      </c>
      <c r="F20" s="2592" t="s">
        <v>2685</v>
      </c>
      <c r="G20" s="963">
        <f>SUMIF(M15:P15,E2,M17:P17)</f>
        <v>0</v>
      </c>
      <c r="H20" s="2592" t="s">
        <v>2698</v>
      </c>
      <c r="I20" s="964">
        <f>'数据-取费表'!B13</f>
        <v>56.5</v>
      </c>
      <c r="J20" s="965">
        <f>IF(E2="住宅",70,IF(E2="商业",40,50))</f>
        <v>50</v>
      </c>
      <c r="K20" s="2582"/>
      <c r="L20" s="2593" t="s">
        <v>2699</v>
      </c>
      <c r="M20" s="1827">
        <f>ROUND(SUMPRODUCT((地价!A4:A22=YEAR(G19)&amp;"-"&amp;ROUNDUP(MONTH(G19)/3,0))*(地价!B2:F2=E2)*(地价!B4:F22)),0)</f>
        <v>0</v>
      </c>
      <c r="N20" s="2594" t="s">
        <v>2700</v>
      </c>
      <c r="O20" s="2595" t="s">
        <v>2701</v>
      </c>
      <c r="P20" s="2596" t="s">
        <v>2702</v>
      </c>
      <c r="R20" s="1462"/>
      <c r="S20" s="1462"/>
      <c r="T20" s="1462"/>
      <c r="U20" s="1462"/>
      <c r="V20" s="1462"/>
      <c r="W20" s="1462"/>
      <c r="X20" s="1462"/>
      <c r="Y20" s="1462"/>
      <c r="Z20" s="1462"/>
      <c r="AA20" s="1462"/>
      <c r="AB20" s="1462"/>
      <c r="AC20" s="1462"/>
      <c r="AD20" s="1462"/>
      <c r="AE20" s="2582"/>
      <c r="AF20" s="2582"/>
    </row>
    <row r="21" spans="1:37" s="2525" customFormat="1" ht="14.25">
      <c r="A21" s="2597" t="s">
        <v>2703</v>
      </c>
      <c r="B21" s="2598" t="s">
        <v>2704</v>
      </c>
      <c r="C21" s="966" t="b">
        <f>IF(B21="容积率修正",IF(G3&lt;=10,D22,J22),C23)</f>
        <v>0</v>
      </c>
      <c r="D21" s="2599"/>
      <c r="E21" s="2599"/>
      <c r="F21" s="2599"/>
      <c r="G21" s="2599"/>
      <c r="H21" s="2599"/>
      <c r="I21" s="2599"/>
      <c r="J21" s="2600"/>
      <c r="K21" s="2582"/>
      <c r="N21" s="2601"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2709</v>
      </c>
      <c r="C23" s="958" t="e">
        <f>ROUND(IF(G3&gt;1,IF(I3&lt;7,SUMPRODUCT((B93:B98=I3)*(C92:N92=G2)*(C93:N98)),SUMIF(C92:N92,G2,C100:N100)),IF(I3&lt;7,SUMPRODUCT((B102:B107=I3)*(C92:N92=G2)*(C102:N107)),SUMIF(C92:N92,G2,C109:N109))),4)</f>
        <v>#DIV/0!</v>
      </c>
      <c r="D23" s="2562"/>
      <c r="E23" s="2562"/>
      <c r="F23" s="2604"/>
      <c r="G23" s="2605"/>
      <c r="H23" s="2606"/>
      <c r="I23" s="2607"/>
      <c r="J23" s="2608"/>
      <c r="N23" s="2601"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2711</v>
      </c>
      <c r="B24" s="2610" t="s">
        <v>2712</v>
      </c>
      <c r="C24" s="968">
        <f>SUMIF(A46:A88,E2,B46:B88)</f>
        <v>0</v>
      </c>
      <c r="D24" s="2611"/>
      <c r="E24" s="2612"/>
      <c r="F24" s="2612"/>
      <c r="G24" s="2612"/>
      <c r="H24" s="2612"/>
      <c r="I24" s="2612"/>
      <c r="J24" s="2613"/>
      <c r="K24" s="2582"/>
      <c r="N24" s="2614"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2"/>
      <c r="AF24" s="2582"/>
    </row>
    <row r="25" spans="1:37" ht="15" thickBot="1">
      <c r="A25" s="2590" t="s">
        <v>2714</v>
      </c>
      <c r="B25" s="2615" t="s">
        <v>2715</v>
      </c>
      <c r="C25" s="959"/>
      <c r="D25" s="2536"/>
      <c r="E25" s="2536"/>
      <c r="F25" s="2616"/>
      <c r="G25" s="2536"/>
      <c r="H25" s="2536"/>
      <c r="I25" s="2536"/>
      <c r="J25" s="2537"/>
      <c r="L25" s="1462"/>
      <c r="M25" s="1462"/>
      <c r="N25" s="2617"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2717</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2718</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2719</v>
      </c>
      <c r="C28" s="2628" t="s">
        <v>2720</v>
      </c>
      <c r="D28" s="2628" t="s">
        <v>2721</v>
      </c>
      <c r="E28" s="2629" t="s">
        <v>2722</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2723</v>
      </c>
      <c r="C29" s="123" t="e">
        <f>ROUND(C5*C18*C19*C20*C21*C24,0)</f>
        <v>#DIV/0!</v>
      </c>
      <c r="D29" s="2633"/>
      <c r="E29" s="972" t="e">
        <f>ROUND(C29*D29,0)</f>
        <v>#DIV/0!</v>
      </c>
      <c r="F29" s="2634" t="s">
        <v>2724</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2725</v>
      </c>
      <c r="C30" s="150" t="e">
        <f>ROUND(IF(E2="工业",C29*M39,C29*M38),0)</f>
        <v>#DIV/0!</v>
      </c>
      <c r="D30" s="2639"/>
      <c r="E30" s="972" t="e">
        <f>ROUND(C30*D30,0)</f>
        <v>#DIV/0!</v>
      </c>
      <c r="F30" s="2640" t="s">
        <v>2726</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2727</v>
      </c>
      <c r="C31" s="2645" t="s">
        <v>2728</v>
      </c>
      <c r="D31" s="2549"/>
      <c r="E31" s="2645"/>
      <c r="F31" s="2645"/>
      <c r="G31" s="2547" t="s">
        <v>2729</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01" t="s">
        <v>2731</v>
      </c>
      <c r="B33" s="2648" t="s">
        <v>2732</v>
      </c>
      <c r="C33" s="123" t="e">
        <f>ROUND(D5*C19*C20*C24*F33,0)</f>
        <v>#DIV/0!</v>
      </c>
      <c r="D33" s="2633"/>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2"/>
      <c r="B34" s="2553" t="s">
        <v>2733</v>
      </c>
      <c r="C34" s="123" t="e">
        <f>ROUND(D5*C19*C20*C24*F34,0)</f>
        <v>#DIV/0!</v>
      </c>
      <c r="D34" s="2633"/>
      <c r="E34" s="117" t="e">
        <f t="shared" si="6"/>
        <v>#DIV/0!</v>
      </c>
      <c r="F34" s="117">
        <f>SUMIF(修正!A45:A56,G2,修正!C45:C56)</f>
        <v>0.4</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2"/>
      <c r="B35" s="2553" t="s">
        <v>2734</v>
      </c>
      <c r="C35" s="123" t="e">
        <f>ROUND(D5*C19*C20*C24*F35,0)</f>
        <v>#DIV/0!</v>
      </c>
      <c r="D35" s="2633"/>
      <c r="E35" s="117" t="e">
        <f t="shared" si="6"/>
        <v>#DIV/0!</v>
      </c>
      <c r="F35" s="117">
        <f>SUMIF(修正!A45:A56,G2,修正!D45:D56)</f>
        <v>0.28000000000000003</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3"/>
      <c r="B36" s="2553" t="s">
        <v>2735</v>
      </c>
      <c r="C36" s="123" t="e">
        <f>ROUND(D5*C19*C20*C24*F36,0)</f>
        <v>#DIV/0!</v>
      </c>
      <c r="D36" s="2633"/>
      <c r="E36" s="117" t="e">
        <f t="shared" si="6"/>
        <v>#DIV/0!</v>
      </c>
      <c r="F36" s="117">
        <f>SUMIF(修正!A45:A56,G2,修正!E45:E56)</f>
        <v>0.25</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2736</v>
      </c>
      <c r="C37" s="117" t="e">
        <f>ROUND(C5*C19*C20*C24*F37,0)</f>
        <v>#DIV/0!</v>
      </c>
      <c r="D37" s="2633"/>
      <c r="E37" s="117" t="e">
        <f t="shared" si="6"/>
        <v>#DIV/0!</v>
      </c>
      <c r="F37" s="123">
        <f>SUMIF(修正!A45:A56,G2,修正!F45:F56)</f>
        <v>0.25</v>
      </c>
      <c r="G37" s="117" t="e">
        <f t="shared" si="7"/>
        <v>#DIV/0!</v>
      </c>
      <c r="H37" s="117">
        <f t="shared" si="9"/>
        <v>0</v>
      </c>
      <c r="I37" s="117" t="e">
        <f t="shared" si="8"/>
        <v>#DIV/0!</v>
      </c>
      <c r="J37" s="2649"/>
      <c r="L37" s="2652" t="s">
        <v>2737</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2738</v>
      </c>
      <c r="C38" s="117" t="e">
        <f>ROUND(C5*C19*C20*C24*F38,0)</f>
        <v>#DIV/0!</v>
      </c>
      <c r="D38" s="2633"/>
      <c r="E38" s="117" t="e">
        <f t="shared" si="6"/>
        <v>#DIV/0!</v>
      </c>
      <c r="F38" s="123">
        <f>SUMIF(修正!A45:A56,G2,修正!G45:G56)</f>
        <v>0.25</v>
      </c>
      <c r="G38" s="117" t="e">
        <f t="shared" si="7"/>
        <v>#DIV/0!</v>
      </c>
      <c r="H38" s="117">
        <f t="shared" si="9"/>
        <v>0</v>
      </c>
      <c r="I38" s="117" t="e">
        <f t="shared" si="8"/>
        <v>#DIV/0!</v>
      </c>
      <c r="J38" s="2649"/>
      <c r="L38" s="2653" t="s">
        <v>2739</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2740</v>
      </c>
      <c r="C39" s="150" t="e">
        <f>ROUND(C5*C19*C20*C24*F39,0)</f>
        <v>#DIV/0!</v>
      </c>
      <c r="D39" s="2639"/>
      <c r="E39" s="150" t="e">
        <f t="shared" si="6"/>
        <v>#DIV/0!</v>
      </c>
      <c r="F39" s="961">
        <f>SUMIF(修正!A45:A56,G2,修正!H45:H56)</f>
        <v>0.2</v>
      </c>
      <c r="G39" s="150" t="e">
        <f t="shared" si="7"/>
        <v>#DIV/0!</v>
      </c>
      <c r="H39" s="150">
        <f t="shared" si="9"/>
        <v>0</v>
      </c>
      <c r="I39" s="150" t="e">
        <f t="shared" si="8"/>
        <v>#DIV/0!</v>
      </c>
      <c r="J39" s="2656"/>
      <c r="L39" s="2657" t="s">
        <v>2678</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2741</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2742</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2743</v>
      </c>
      <c r="B47" s="823" t="s">
        <v>2744</v>
      </c>
      <c r="C47" s="823" t="s">
        <v>2745</v>
      </c>
      <c r="D47" s="823" t="s">
        <v>2746</v>
      </c>
      <c r="E47" s="824" t="s">
        <v>2747</v>
      </c>
      <c r="F47" s="2670" t="s">
        <v>2748</v>
      </c>
      <c r="G47" s="823" t="s">
        <v>2749</v>
      </c>
      <c r="H47" s="2671"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2757</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c r="A49" s="2669" t="s">
        <v>2758</v>
      </c>
      <c r="B49" s="2673" t="str">
        <f>估价对象房地状况!C18</f>
        <v>估价对象紧邻城市主干道—曙光西路，有132路、467路、515路等多条公交线路及地铁10号线太阳宫站通过，交通便捷度较好。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2759</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2760</v>
      </c>
      <c r="B51" s="2674" t="s">
        <v>2761</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2762</v>
      </c>
      <c r="B52" s="2673" t="str">
        <f>估价对象房地状况!C24</f>
        <v>城市主干道—曙光西路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2763</v>
      </c>
      <c r="B53" s="2675" t="s">
        <v>2764</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2765</v>
      </c>
      <c r="B54" s="2677" t="str">
        <f>估价对象房地状况!C21</f>
        <v>估价对象所在区域公共配套设施较好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2766</v>
      </c>
      <c r="B55" s="2673" t="str">
        <f>估价对象房地状况!C22</f>
        <v>七通一平</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77.25" thickBot="1">
      <c r="A56" s="2678" t="s">
        <v>2767</v>
      </c>
      <c r="B56" s="2679" t="str">
        <f>估价对象房地状况!C20</f>
        <v>自然环境：太阳宫公园、金隅南湖公园、坝河等；人文环境：北京中医药大学、中央美术学院、园林科技研究所等；综合评价环境状况较好。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2768</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2743</v>
      </c>
      <c r="B58" s="2673"/>
      <c r="C58" s="823" t="s">
        <v>2745</v>
      </c>
      <c r="D58" s="823" t="s">
        <v>2746</v>
      </c>
      <c r="E58" s="824" t="s">
        <v>2747</v>
      </c>
      <c r="F58" s="2670" t="s">
        <v>2748</v>
      </c>
      <c r="G58" s="823" t="s">
        <v>2769</v>
      </c>
      <c r="H58" s="2671"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2772</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c r="A60" s="2669" t="s">
        <v>2758</v>
      </c>
      <c r="B60" s="2673" t="str">
        <f>估价对象房地状况!C18</f>
        <v>估价对象紧邻城市主干道—曙光西路，有132路、467路、515路等多条公交线路及地铁10号线太阳宫站通过，交通便捷度较好。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2759</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2760</v>
      </c>
      <c r="B62" s="2674" t="s">
        <v>2761</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2762</v>
      </c>
      <c r="B63" s="2673" t="str">
        <f>估价对象房地状况!C24</f>
        <v>城市主干道—曙光西路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2763</v>
      </c>
      <c r="B64" s="2675" t="s">
        <v>2764</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2765</v>
      </c>
      <c r="B65" s="2677" t="str">
        <f>估价对象房地状况!C21</f>
        <v>估价对象所在区域公共配套设施较好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2766</v>
      </c>
      <c r="B66" s="2677" t="str">
        <f>估价对象房地状况!C22</f>
        <v>七通一平</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77.25" thickBot="1">
      <c r="A67" s="2678" t="s">
        <v>2767</v>
      </c>
      <c r="B67" s="2681" t="str">
        <f>估价对象房地状况!C20</f>
        <v>自然环境：太阳宫公园、金隅南湖公园、坝河等；人文环境：北京中医药大学、中央美术学院、园林科技研究所等；综合评价环境状况较好。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2773</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2743</v>
      </c>
      <c r="B69" s="2673"/>
      <c r="C69" s="823" t="s">
        <v>2745</v>
      </c>
      <c r="D69" s="823" t="s">
        <v>2746</v>
      </c>
      <c r="E69" s="824" t="s">
        <v>2747</v>
      </c>
      <c r="F69" s="2670" t="s">
        <v>2748</v>
      </c>
      <c r="G69" s="823" t="s">
        <v>2769</v>
      </c>
      <c r="H69" s="2671"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2774</v>
      </c>
      <c r="B70" s="2672" t="str">
        <f>估价对象房地状况!C15</f>
        <v>估价对象周边有万方景轩、新纪家园、曙光里、凤凰城、西坝河东里，综合评价居住社区成熟度较好。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2758</v>
      </c>
      <c r="B71" s="2673" t="str">
        <f>估价对象房地状况!C18</f>
        <v>估价对象紧邻城市主干道—曙光西路，有132路、467路、515路等多条公交线路及地铁10号线太阳宫站通过，交通便捷度较好。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2759</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2775</v>
      </c>
      <c r="B73" s="2673" t="str">
        <f>估价对象房地状况!C24</f>
        <v>城市主干道—曙光西路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2765</v>
      </c>
      <c r="B74" s="2677" t="str">
        <f>估价对象房地状况!C21</f>
        <v>估价对象所在区域公共配套设施较好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2766</v>
      </c>
      <c r="B75" s="2677" t="str">
        <f>估价对象房地状况!C22</f>
        <v>七通一平</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2763</v>
      </c>
      <c r="B76" s="2675" t="s">
        <v>2764</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76.5">
      <c r="A77" s="2669" t="s">
        <v>2767</v>
      </c>
      <c r="B77" s="2672" t="str">
        <f>估价对象房地状况!C20</f>
        <v>自然环境：太阳宫公园、金隅南湖公园、坝河等；人文环境：北京中医药大学、中央美术学院、园林科技研究所等；综合评价环境状况较好。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2776</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2777</v>
      </c>
      <c r="B79" s="2680">
        <f>1+E81</f>
        <v>1</v>
      </c>
      <c r="C79" s="817"/>
      <c r="D79" s="817"/>
      <c r="E79" s="818"/>
      <c r="F79" s="2667"/>
      <c r="G79" s="7"/>
      <c r="H79" s="7"/>
      <c r="I79" s="7"/>
      <c r="J79" s="9"/>
      <c r="K79" s="9"/>
      <c r="L79" s="9"/>
      <c r="M79" s="9"/>
      <c r="N79" s="9"/>
      <c r="Z79" s="2506"/>
      <c r="AA79" s="2583"/>
      <c r="AG79" s="2659"/>
      <c r="AK79" s="2583"/>
    </row>
    <row r="80" spans="1:37" ht="24.75">
      <c r="A80" s="2669" t="s">
        <v>2743</v>
      </c>
      <c r="B80" s="2673"/>
      <c r="C80" s="823" t="s">
        <v>2745</v>
      </c>
      <c r="D80" s="823" t="s">
        <v>2746</v>
      </c>
      <c r="E80" s="824" t="s">
        <v>2747</v>
      </c>
      <c r="F80" s="2670" t="s">
        <v>2748</v>
      </c>
      <c r="G80" s="823" t="s">
        <v>2769</v>
      </c>
      <c r="H80" s="2671" t="s">
        <v>2770</v>
      </c>
      <c r="I80" s="823" t="s">
        <v>2771</v>
      </c>
      <c r="J80" s="587" t="s">
        <v>2403</v>
      </c>
      <c r="K80" s="587" t="s">
        <v>2404</v>
      </c>
      <c r="L80" s="587" t="s">
        <v>2405</v>
      </c>
      <c r="M80" s="587" t="s">
        <v>2406</v>
      </c>
      <c r="N80" s="587" t="s">
        <v>2407</v>
      </c>
      <c r="Z80" s="2506"/>
      <c r="AA80" s="2583"/>
      <c r="AG80" s="2659"/>
      <c r="AK80" s="2583"/>
    </row>
    <row r="81" spans="1:37" ht="38.25">
      <c r="A81" s="2669" t="s">
        <v>2778</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2758</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2759</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2775</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2765</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2766</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2763</v>
      </c>
      <c r="B87" s="2675" t="s">
        <v>2764</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2779</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93" t="s">
        <v>2780</v>
      </c>
      <c r="B90" s="3093"/>
      <c r="C90" s="3093"/>
      <c r="D90" s="3093"/>
      <c r="E90" s="3093"/>
      <c r="F90" s="3093"/>
      <c r="G90" s="3093"/>
      <c r="H90" s="3093"/>
      <c r="I90" s="3093"/>
      <c r="J90" s="3093"/>
      <c r="K90" s="2686"/>
      <c r="L90" s="2686"/>
      <c r="M90" s="2686"/>
      <c r="N90" s="2686"/>
    </row>
    <row r="91" spans="1:37">
      <c r="A91" s="3095" t="s">
        <v>2781</v>
      </c>
      <c r="B91" s="3095" t="s">
        <v>2782</v>
      </c>
      <c r="C91" s="2634" t="s">
        <v>2783</v>
      </c>
      <c r="D91" s="2635"/>
      <c r="E91" s="2635"/>
      <c r="F91" s="2635"/>
      <c r="G91" s="2635"/>
      <c r="H91" s="2635"/>
      <c r="I91" s="2635"/>
      <c r="J91" s="2687"/>
      <c r="K91" s="2688"/>
      <c r="L91" s="2688"/>
      <c r="M91" s="2688"/>
      <c r="N91" s="2688"/>
    </row>
    <row r="92" spans="1:37">
      <c r="A92" s="3095"/>
      <c r="B92" s="3095"/>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6" t="s">
        <v>2784</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7"/>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7"/>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7"/>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7"/>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7"/>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7"/>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8"/>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6" t="s">
        <v>2785</v>
      </c>
      <c r="B101" s="2693" t="s">
        <v>2786</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7"/>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7"/>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7"/>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7"/>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7"/>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7"/>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7"/>
      <c r="B108" s="3099" t="s">
        <v>2787</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8"/>
      <c r="B109" s="3100"/>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94" t="s">
        <v>2788</v>
      </c>
      <c r="B110" s="3094"/>
      <c r="C110" s="3094"/>
      <c r="D110" s="3094"/>
      <c r="E110" s="3094"/>
      <c r="F110" s="3094"/>
      <c r="G110" s="3094"/>
      <c r="H110" s="3094"/>
      <c r="I110" s="3094"/>
      <c r="J110" s="3094"/>
      <c r="K110" s="2695"/>
      <c r="L110" s="2695"/>
      <c r="M110" s="2695"/>
      <c r="N110" s="2695"/>
    </row>
    <row r="112" spans="1:14" ht="13.5" thickBot="1"/>
    <row r="113" spans="1:13" ht="25.5" thickBot="1">
      <c r="A113" s="928" t="s">
        <v>2789</v>
      </c>
      <c r="B113" s="1379">
        <f>G3</f>
        <v>0</v>
      </c>
      <c r="C113" s="929" t="s">
        <v>2790</v>
      </c>
      <c r="D113" s="930">
        <f>SUMPRODUCT((A115:A118=F113)*(B114:M114=H113)*B115:M118)</f>
        <v>0</v>
      </c>
      <c r="E113" s="2697" t="s">
        <v>2674</v>
      </c>
      <c r="F113" s="2698">
        <f>E2</f>
        <v>0</v>
      </c>
      <c r="G113" s="2697" t="s">
        <v>2608</v>
      </c>
      <c r="H113" s="2698" t="str">
        <f>G2</f>
        <v>三级</v>
      </c>
      <c r="I113" s="2697"/>
      <c r="J113" s="2699"/>
      <c r="K113" s="2699"/>
      <c r="L113" s="2699"/>
      <c r="M113" s="2699"/>
    </row>
    <row r="114" spans="1:13">
      <c r="A114" s="933"/>
      <c r="B114" s="2700" t="s">
        <v>2791</v>
      </c>
      <c r="C114" s="2700" t="s">
        <v>2792</v>
      </c>
      <c r="D114" s="2700" t="s">
        <v>2793</v>
      </c>
      <c r="E114" s="2701" t="s">
        <v>2794</v>
      </c>
      <c r="F114" s="2701" t="s">
        <v>2795</v>
      </c>
      <c r="G114" s="2701" t="s">
        <v>2796</v>
      </c>
      <c r="H114" s="2702" t="s">
        <v>2797</v>
      </c>
      <c r="I114" s="2702" t="s">
        <v>2798</v>
      </c>
      <c r="J114" s="2703" t="s">
        <v>2799</v>
      </c>
      <c r="K114" s="2703" t="s">
        <v>2800</v>
      </c>
      <c r="L114" s="2703" t="s">
        <v>2801</v>
      </c>
      <c r="M114" s="2704"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7" priority="5" stopIfTrue="1" operator="notEqual">
      <formula>"——"</formula>
    </cfRule>
  </conditionalFormatting>
  <conditionalFormatting sqref="F59">
    <cfRule type="cellIs" dxfId="16" priority="4" stopIfTrue="1" operator="notEqual">
      <formula>"——"</formula>
    </cfRule>
  </conditionalFormatting>
  <conditionalFormatting sqref="F70">
    <cfRule type="cellIs" dxfId="15"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787</v>
      </c>
      <c r="B1" s="3104"/>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估价对象紧邻城市主干道—曙光西路，有132路、467路、515路等多条公交线路及地铁10号线太阳宫站通过，交通便捷度较好。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城市主干道—曙光西路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自然环境：太阳宫公园、金隅南湖公园、坝河等；人文环境：北京中医药大学、中央美术学院、园林科技研究所等；综合评价环境状况较好。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估价对象紧邻城市主干道—曙光西路，有132路、467路、515路等多条公交线路及地铁10号线太阳宫站通过，交通便捷度较好。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城市主干道—曙光西路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自然环境：太阳宫公园、金隅南湖公园、坝河等；人文环境：北京中医药大学、中央美术学院、园林科技研究所等；综合评价环境状况较好。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估价对象周边有万方景轩、新纪家园、曙光里、凤凰城、西坝河东里，综合评价居住社区成熟度较好。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估价对象紧邻城市主干道—曙光西路，有132路、467路、515路等多条公交线路及地铁10号线太阳宫站通过，交通便捷度较好。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城市主干道—曙光西路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自然环境：太阳宫公园、金隅南湖公园、坝河等；人文环境：北京中医药大学、中央美术学院、园林科技研究所等；综合评价环境状况较好。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3" priority="4" stopIfTrue="1" operator="notEqual">
      <formula>"——"</formula>
    </cfRule>
  </conditionalFormatting>
  <conditionalFormatting sqref="G15">
    <cfRule type="cellIs" dxfId="12" priority="3" stopIfTrue="1" operator="notEqual">
      <formula>"——"</formula>
    </cfRule>
  </conditionalFormatting>
  <conditionalFormatting sqref="G26">
    <cfRule type="cellIs" dxfId="11"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activeCell="A91"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4" t="s">
        <v>1033</v>
      </c>
      <c r="C1" s="3114"/>
      <c r="D1" s="3114"/>
      <c r="E1" s="3114"/>
      <c r="F1" s="3114"/>
      <c r="G1" s="3110" t="s">
        <v>1034</v>
      </c>
      <c r="H1" s="3110"/>
      <c r="I1" s="3110"/>
      <c r="J1" s="3110"/>
      <c r="K1" s="3110"/>
      <c r="L1" s="3110"/>
      <c r="N1" s="3110" t="s">
        <v>1035</v>
      </c>
      <c r="O1" s="3110"/>
      <c r="P1" s="3110"/>
      <c r="Q1" s="3110"/>
      <c r="R1" s="1548"/>
      <c r="S1" s="3110" t="s">
        <v>1036</v>
      </c>
      <c r="T1" s="3110"/>
      <c r="U1" s="3110"/>
      <c r="V1" s="3110"/>
      <c r="X1" s="3109" t="s">
        <v>1037</v>
      </c>
      <c r="Y1" s="3110"/>
      <c r="Z1" s="3110"/>
      <c r="AA1" s="3110"/>
      <c r="AB1" s="3110"/>
      <c r="AD1" s="3109" t="s">
        <v>1038</v>
      </c>
      <c r="AE1" s="3110"/>
      <c r="AF1" s="3110"/>
      <c r="AG1" s="3110"/>
      <c r="AH1" s="3110"/>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2810</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5">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12"/>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12"/>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3"/>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11">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12"/>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12"/>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3"/>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11">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12"/>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12"/>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3"/>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6">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7"/>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7"/>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8"/>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11">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12"/>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12"/>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3"/>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11">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12">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12">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3">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11">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12">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12">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3">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11">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12">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12">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3">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11">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12">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12">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3">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11">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12">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12">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3">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11">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12">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12">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3">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11">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12">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12">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3">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11">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12">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12">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3">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11">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12">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12">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3">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11">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12">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12">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3">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43272</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13" workbookViewId="0">
      <selection activeCell="N17" sqref="N17"/>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P31" sqref="P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6"/>
      <c r="C2" s="2776"/>
      <c r="D2" s="2776"/>
      <c r="E2" s="2776"/>
    </row>
    <row r="3" spans="1:5" ht="13.5" customHeight="1">
      <c r="A3" s="1930"/>
      <c r="B3" s="1930"/>
      <c r="C3" s="1930"/>
      <c r="D3" s="1930"/>
      <c r="E3" s="1930"/>
    </row>
    <row r="4" spans="1:5" ht="19.5" thickBot="1">
      <c r="A4" s="2777" t="str">
        <f>IF(项目基本情况!D5="房地产市场价值","估价结果一览表（市场价值不需本页表格)","估价结果一览表")</f>
        <v>估价结果一览表（市场价值不需本页表格)</v>
      </c>
      <c r="B4" s="2777"/>
      <c r="C4" s="2777"/>
      <c r="D4" s="2777"/>
      <c r="E4" s="2777"/>
    </row>
    <row r="5" spans="1:5" ht="14.25" customHeight="1" thickTop="1">
      <c r="A5" s="1927"/>
      <c r="B5" s="1931" t="s">
        <v>742</v>
      </c>
      <c r="C5" s="2778" t="s">
        <v>783</v>
      </c>
      <c r="D5" s="2779"/>
      <c r="E5" s="1927"/>
    </row>
    <row r="6" spans="1:5" ht="14.25">
      <c r="A6" s="1927"/>
      <c r="B6" s="1932" t="str">
        <f>项目基本情况!I1</f>
        <v>北京市房地产</v>
      </c>
      <c r="C6" s="2780">
        <f>项目基本情况!C12</f>
        <v>187.16</v>
      </c>
      <c r="D6" s="2780"/>
      <c r="E6" s="1927"/>
    </row>
    <row r="7" spans="1:5" ht="14.25">
      <c r="A7" s="1927"/>
      <c r="B7" s="2774" t="s">
        <v>784</v>
      </c>
      <c r="C7" s="1933" t="str">
        <f>IF('数据-取费表'!B3="万元","总价（万元）","总价（元）")</f>
        <v>总价（元）</v>
      </c>
      <c r="D7" s="1934">
        <f ca="1">IF('数据-取费表'!E3="否",结果表!I102,'结果表 (1修多)'!I103)</f>
        <v>15969427</v>
      </c>
      <c r="E7" s="1927"/>
    </row>
    <row r="8" spans="1:5" ht="14.25">
      <c r="A8" s="1927"/>
      <c r="B8" s="2774"/>
      <c r="C8" s="1935" t="s">
        <v>1175</v>
      </c>
      <c r="D8" s="1936" t="str">
        <f ca="1">IF('数据-取费表'!B3="万元",NUMBERSTRING(INT(D7*10000),2)&amp;"元整",NUMBERSTRING(INT(D7),2)&amp;"元整")</f>
        <v>壹仟伍佰玖拾陆万玖仟肆佰贰拾柒元整</v>
      </c>
      <c r="E8" s="1927"/>
    </row>
    <row r="9" spans="1:5" ht="14.25">
      <c r="A9" s="1927"/>
      <c r="B9" s="2774"/>
      <c r="C9" s="1937" t="s">
        <v>1273</v>
      </c>
      <c r="D9" s="1934">
        <f ca="1">IF('数据-取费表'!E3="否",结果表!I103,'结果表 (1修多)'!I104)</f>
        <v>85325</v>
      </c>
      <c r="E9" s="1927"/>
    </row>
    <row r="10" spans="1:5" ht="14.25">
      <c r="A10" s="1927"/>
      <c r="B10" s="278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1"/>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1" t="str">
        <f>IF('数据-取费表'!E3="否",结果表!F110,'结果表 (1修多)'!F111)</f>
        <v>3.房地产抵押价值</v>
      </c>
      <c r="C15" s="1928" t="str">
        <f>C7</f>
        <v>总价（元）</v>
      </c>
      <c r="D15" s="1934">
        <f ca="1">IF('数据-取费表'!E3="否",结果表!I110,'结果表 (1修多)'!I111)</f>
        <v>15969427</v>
      </c>
      <c r="E15" s="1927"/>
    </row>
    <row r="16" spans="1:5" ht="14.25">
      <c r="A16" s="1927"/>
      <c r="B16" s="2781"/>
      <c r="C16" s="1935" t="s">
        <v>1175</v>
      </c>
      <c r="D16" s="1934" t="str">
        <f ca="1">IF('数据-取费表'!B3="万元",NUMBERSTRING(INT(D15*10000),2)&amp;"元整",NUMBERSTRING(INT(D15),2)&amp;"元整")</f>
        <v>壹仟伍佰玖拾陆万玖仟肆佰贰拾柒元整</v>
      </c>
      <c r="E16" s="1927"/>
    </row>
    <row r="17" spans="1:5" ht="14.25">
      <c r="A17" s="1927"/>
      <c r="B17" s="2781"/>
      <c r="C17" s="1937" t="s">
        <v>1273</v>
      </c>
      <c r="D17" s="1934">
        <f ca="1">IF('数据-取费表'!E3="否",结果表!I111,'结果表 (1修多)'!I112)</f>
        <v>85325</v>
      </c>
      <c r="E17" s="1927"/>
    </row>
    <row r="18" spans="1:5" ht="14.25">
      <c r="A18" s="1927"/>
      <c r="B18" s="2781" t="str">
        <f>IF('数据-取费表'!E3="否",结果表!F112,'结果表 (1修多)'!F113)</f>
        <v>——</v>
      </c>
      <c r="C18" s="1928" t="str">
        <f>C7</f>
        <v>总价（元）</v>
      </c>
      <c r="D18" s="1934" t="str">
        <f>IF('数据-取费表'!E3="否",结果表!I112,'结果表 (1修多)'!I113)</f>
        <v>——</v>
      </c>
      <c r="E18" s="1927"/>
    </row>
    <row r="19" spans="1:5" ht="14.25">
      <c r="A19" s="1927"/>
      <c r="B19" s="2781"/>
      <c r="C19" s="1935" t="s">
        <v>1175</v>
      </c>
      <c r="D19" s="1934" t="e">
        <f>IF('数据-取费表'!B3="万元",NUMBERSTRING(INT(D18*10000),2)&amp;"元整",NUMBERSTRING(INT(D18),2)&amp;"元整")</f>
        <v>#VALUE!</v>
      </c>
      <c r="E19" s="1927"/>
    </row>
    <row r="20" spans="1:5" ht="14.25">
      <c r="A20" s="1927"/>
      <c r="B20" s="2781"/>
      <c r="C20" s="1937" t="s">
        <v>1273</v>
      </c>
      <c r="D20" s="1934" t="str">
        <f>IF('数据-取费表'!E3="否",结果表!I113,'结果表 (1修多)'!I114)</f>
        <v>——</v>
      </c>
      <c r="E20" s="1927"/>
    </row>
    <row r="21" spans="1:5" ht="14.25">
      <c r="A21" s="1927"/>
      <c r="B21" s="2774" t="str">
        <f>IF('数据-取费表'!E3="否",结果表!F114,'结果表 (1修多)'!F115)</f>
        <v>——</v>
      </c>
      <c r="C21" s="1933" t="str">
        <f>C7</f>
        <v>总价（元）</v>
      </c>
      <c r="D21" s="1934" t="str">
        <f>IF('数据-取费表'!E3="否",结果表!I114,'结果表 (1修多)'!I115)</f>
        <v>——</v>
      </c>
      <c r="E21" s="1927"/>
    </row>
    <row r="22" spans="1:5" ht="14.25">
      <c r="A22" s="1927"/>
      <c r="B22" s="2774"/>
      <c r="C22" s="1935" t="s">
        <v>1175</v>
      </c>
      <c r="D22" s="1936" t="e">
        <f>IF('数据-取费表'!B3="万元",NUMBERSTRING(INT(D21*10000),2)&amp;"元整",NUMBERSTRING(INT(D21),2)&amp;"元整")</f>
        <v>#VALUE!</v>
      </c>
      <c r="E22" s="1927"/>
    </row>
    <row r="23" spans="1:5" ht="15" thickBot="1">
      <c r="A23" s="1927"/>
      <c r="B23" s="2775"/>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6" t="s">
        <v>1274</v>
      </c>
      <c r="C25" s="2766"/>
      <c r="D25" s="2766"/>
      <c r="E25" s="1927"/>
    </row>
    <row r="26" spans="1:5" ht="18.75" customHeight="1" thickTop="1">
      <c r="A26" s="1927"/>
      <c r="B26" s="2769" t="s">
        <v>1174</v>
      </c>
      <c r="C26" s="2770"/>
      <c r="D26" s="2767" t="s">
        <v>1173</v>
      </c>
      <c r="E26" s="1927"/>
    </row>
    <row r="27" spans="1:5" ht="18.75" customHeight="1">
      <c r="A27" s="1927"/>
      <c r="B27" s="2771"/>
      <c r="C27" s="2772"/>
      <c r="D27" s="2768"/>
      <c r="E27" s="1927"/>
    </row>
    <row r="28" spans="1:5" ht="14.25">
      <c r="A28" s="1927"/>
      <c r="B28" s="2759" t="s">
        <v>784</v>
      </c>
      <c r="C28" s="1944" t="s">
        <v>1176</v>
      </c>
      <c r="D28" s="1945">
        <f ca="1">IF('数据-取费表'!E3="否",结果表!I102,'结果表 (1修多)'!I103)</f>
        <v>15969427</v>
      </c>
      <c r="E28" s="1927"/>
    </row>
    <row r="29" spans="1:5" ht="14.25">
      <c r="A29" s="1927"/>
      <c r="B29" s="2760"/>
      <c r="C29" s="1946" t="s">
        <v>1175</v>
      </c>
      <c r="D29" s="1947" t="str">
        <f ca="1">IF('数据-取费表'!B3="万元",NUMBERSTRING(INT(D28*10000),2)&amp;"元整",NUMBERSTRING(INT(D28),2)&amp;"元整")</f>
        <v>壹仟伍佰玖拾陆万玖仟肆佰贰拾柒元整</v>
      </c>
      <c r="E29" s="1927"/>
    </row>
    <row r="30" spans="1:5" ht="14.25">
      <c r="A30" s="1927"/>
      <c r="B30" s="2761"/>
      <c r="C30" s="1937" t="s">
        <v>1178</v>
      </c>
      <c r="D30" s="1948">
        <f ca="1">IF('数据-取费表'!E3="否",结果表!I103,'结果表 (1修多)'!I104)</f>
        <v>85325</v>
      </c>
      <c r="E30" s="1927"/>
    </row>
    <row r="31" spans="1:5" ht="14.25">
      <c r="A31" s="1927"/>
      <c r="B31" s="2764" t="str">
        <f>B10</f>
        <v>2.估价师所知悉的法定优先受偿款</v>
      </c>
      <c r="C31" s="1949" t="s">
        <v>1177</v>
      </c>
      <c r="D31" s="1950">
        <f>IF('数据-取费表'!E3="否",结果表!I105,'结果表 (1修多)'!I106)</f>
        <v>0</v>
      </c>
      <c r="E31" s="1927"/>
    </row>
    <row r="32" spans="1:5" ht="14.25">
      <c r="A32" s="1927"/>
      <c r="B32" s="2773"/>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2" t="str">
        <f>B15</f>
        <v>3.房地产抵押价值</v>
      </c>
      <c r="C36" s="1949" t="str">
        <f>C28</f>
        <v>总价</v>
      </c>
      <c r="D36" s="1950">
        <f ca="1">IF('数据-取费表'!E3="否",结果表!I110,'结果表 (1修多)'!I111)</f>
        <v>15969427</v>
      </c>
      <c r="E36" s="1927"/>
    </row>
    <row r="37" spans="1:5" ht="14.25">
      <c r="A37" s="1927"/>
      <c r="B37" s="2762"/>
      <c r="C37" s="1946" t="s">
        <v>1175</v>
      </c>
      <c r="D37" s="1951" t="str">
        <f ca="1">IF('数据-取费表'!B3="万元",NUMBERSTRING(INT(D36*10000),2)&amp;"元整",NUMBERSTRING(INT(D36),2)&amp;"元整")</f>
        <v>壹仟伍佰玖拾陆万玖仟肆佰贰拾柒元整</v>
      </c>
      <c r="E37" s="1927"/>
    </row>
    <row r="38" spans="1:5" ht="14.25">
      <c r="A38" s="1927"/>
      <c r="B38" s="2762"/>
      <c r="C38" s="1937" t="s">
        <v>1179</v>
      </c>
      <c r="D38" s="1948">
        <f ca="1">IF('数据-取费表'!E3="否",结果表!D113,'结果表 (1修多)'!D116)</f>
        <v>85325</v>
      </c>
      <c r="E38" s="1927"/>
    </row>
    <row r="39" spans="1:5" ht="14.25">
      <c r="A39" s="1927"/>
      <c r="B39" s="2763" t="str">
        <f>B18</f>
        <v>——</v>
      </c>
      <c r="C39" s="1949" t="str">
        <f>C28</f>
        <v>总价</v>
      </c>
      <c r="D39" s="1950" t="str">
        <f>IF('数据-取费表'!E3="否",结果表!I112,'结果表 (1修多)'!I113)</f>
        <v>——</v>
      </c>
      <c r="E39" s="1927"/>
    </row>
    <row r="40" spans="1:5" ht="14.25">
      <c r="A40" s="1927"/>
      <c r="B40" s="2763"/>
      <c r="C40" s="1946" t="s">
        <v>1175</v>
      </c>
      <c r="D40" s="1951" t="e">
        <f>IF('数据-取费表'!B3="万元",NUMBERSTRING(INT(D39*10000),2)&amp;"元整",NUMBERSTRING(INT(D39),2)&amp;"元整")</f>
        <v>#VALUE!</v>
      </c>
      <c r="E40" s="1927"/>
    </row>
    <row r="41" spans="1:5" ht="14.25">
      <c r="A41" s="1927"/>
      <c r="B41" s="2763"/>
      <c r="C41" s="1937" t="s">
        <v>1179</v>
      </c>
      <c r="D41" s="1948" t="str">
        <f>IF('数据-取费表'!E3="否",结果表!D115,'结果表 (1修多)'!D118)</f>
        <v>——</v>
      </c>
      <c r="E41" s="1927"/>
    </row>
    <row r="42" spans="1:5" ht="14.25">
      <c r="A42" s="1927"/>
      <c r="B42" s="2762" t="str">
        <f>B21</f>
        <v>——</v>
      </c>
      <c r="C42" s="1949" t="str">
        <f>C28</f>
        <v>总价</v>
      </c>
      <c r="D42" s="1950" t="str">
        <f>IF('数据-取费表'!E3="否",结果表!I114,'结果表 (1修多)'!I115)</f>
        <v>——</v>
      </c>
      <c r="E42" s="1927"/>
    </row>
    <row r="43" spans="1:5" ht="14.25">
      <c r="A43" s="1927"/>
      <c r="B43" s="2764"/>
      <c r="C43" s="1946" t="s">
        <v>1175</v>
      </c>
      <c r="D43" s="1952" t="e">
        <f>IF('数据-取费表'!B3="万元",NUMBERSTRING(INT(D42*10000),2)&amp;"元整",NUMBERSTRING(INT(D42),2)&amp;"元整")</f>
        <v>#VALUE!</v>
      </c>
      <c r="E43" s="1927"/>
    </row>
    <row r="44" spans="1:5" ht="15" thickBot="1">
      <c r="A44" s="1927"/>
      <c r="B44" s="2765"/>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8" t="str">
        <f>IF(项目基本情况!D5="房地产市场价值","估价结果一览表","结果表-2")</f>
        <v>估价结果一览表</v>
      </c>
      <c r="B1" s="2788"/>
      <c r="C1" s="2788"/>
      <c r="D1" s="2788"/>
      <c r="E1" s="2788"/>
      <c r="F1" s="2788"/>
      <c r="G1" s="2788"/>
      <c r="H1" s="2788"/>
      <c r="I1" s="2788"/>
    </row>
    <row r="2" spans="1:9" ht="30" customHeight="1" thickTop="1">
      <c r="A2" s="2789" t="s">
        <v>1275</v>
      </c>
      <c r="B2" s="2789" t="s">
        <v>1276</v>
      </c>
      <c r="C2" s="2789" t="s">
        <v>1277</v>
      </c>
      <c r="D2" s="2789" t="str">
        <f>IF('数据-取费表'!E3="否",结果表!D119,'结果表 (1修多)'!D122)</f>
        <v>出让国有建设用地使用权价值</v>
      </c>
      <c r="E2" s="2789"/>
      <c r="F2" s="2789" t="s">
        <v>1278</v>
      </c>
      <c r="G2" s="2789"/>
      <c r="H2" s="2789" t="s">
        <v>1279</v>
      </c>
      <c r="I2" s="2789"/>
    </row>
    <row r="3" spans="1:9" ht="15">
      <c r="A3" s="2782"/>
      <c r="B3" s="2782"/>
      <c r="C3" s="2782"/>
      <c r="D3" s="1049" t="s">
        <v>1280</v>
      </c>
      <c r="E3" s="1049" t="s">
        <v>1281</v>
      </c>
      <c r="F3" s="1049" t="s">
        <v>1280</v>
      </c>
      <c r="G3" s="1049" t="s">
        <v>1282</v>
      </c>
      <c r="H3" s="1049" t="s">
        <v>1280</v>
      </c>
      <c r="I3" s="1049" t="s">
        <v>1282</v>
      </c>
    </row>
    <row r="4" spans="1:9" ht="46.5" customHeight="1">
      <c r="A4" s="1049" t="str">
        <f>项目基本情况!I1</f>
        <v>北京市房地产</v>
      </c>
      <c r="B4" s="1049">
        <f>结果表!B121</f>
        <v>187.16</v>
      </c>
      <c r="C4" s="1049">
        <f>结果表!C121</f>
        <v>0</v>
      </c>
      <c r="D4" s="1049">
        <f ca="1">IF('数据-取费表'!E3="否",结果表!D121,'结果表 (1修多)'!D124)</f>
        <v>14883525</v>
      </c>
      <c r="E4" s="1049">
        <f ca="1">IF('数据-取费表'!E3="否",结果表!E121,'结果表 (1修多)'!E124)</f>
        <v>79523</v>
      </c>
      <c r="F4" s="1049">
        <f ca="1">IF('数据-取费表'!E3="否",结果表!F121,'结果表 (1修多)'!F124)</f>
        <v>1085902</v>
      </c>
      <c r="G4" s="1049">
        <f ca="1">IF('数据-取费表'!E3="否",结果表!G121,'结果表 (1修多)'!G124)</f>
        <v>5802</v>
      </c>
      <c r="H4" s="1049">
        <f ca="1">IF('数据-取费表'!E3="否",结果表!H121,'结果表 (1修多)'!H124)</f>
        <v>15969427</v>
      </c>
      <c r="I4" s="1049">
        <f ca="1">IF('数据-取费表'!E3="否",结果表!I121,'结果表 (1修多)'!I124)</f>
        <v>85325</v>
      </c>
    </row>
    <row r="5" spans="1:9" ht="15">
      <c r="A5" s="2782" t="s">
        <v>1283</v>
      </c>
      <c r="B5" s="2782"/>
      <c r="C5" s="2782"/>
      <c r="D5" s="2783" t="str">
        <f ca="1">IF('数据-取费表'!E3="否",结果表!D122,'结果表 (1修多)'!D125)</f>
        <v>壹仟肆佰捌拾捌万叁仟伍佰贰拾伍元整</v>
      </c>
      <c r="E5" s="2783"/>
      <c r="F5" s="2783" t="str">
        <f ca="1">IF('数据-取费表'!E3="否",结果表!F122,'结果表 (1修多)'!F125)</f>
        <v>壹佰零捌万伍仟玖佰零贰元整</v>
      </c>
      <c r="G5" s="2783"/>
      <c r="H5" s="2783" t="str">
        <f ca="1">IF('数据-取费表'!E3="否",结果表!H122,'结果表 (1修多)'!H125)</f>
        <v>壹仟伍佰玖拾陆万玖仟肆佰贰拾柒元整</v>
      </c>
      <c r="I5" s="2783"/>
    </row>
    <row r="6" spans="1:9" ht="15.75">
      <c r="A6" s="2784" t="str">
        <f>IF('数据-取费表'!E3="否",结果表!A123,'结果表 (1修多)'!A126)</f>
        <v>——</v>
      </c>
      <c r="B6" s="2784"/>
      <c r="C6" s="2784"/>
      <c r="D6" s="2784">
        <f>IF('数据-取费表'!E3="否",结果表!D123,'结果表 (1修多)'!D126)</f>
        <v>0</v>
      </c>
      <c r="E6" s="2784"/>
      <c r="F6" s="2784"/>
      <c r="G6" s="2784"/>
      <c r="H6" s="2784"/>
      <c r="I6" s="2784"/>
    </row>
    <row r="7" spans="1:9" ht="15">
      <c r="A7" s="2782" t="s">
        <v>1283</v>
      </c>
      <c r="B7" s="2782"/>
      <c r="C7" s="2782"/>
      <c r="D7" s="2790">
        <f>IF('数据-取费表'!E3="否",结果表!D124,'结果表 (1修多)'!D127)</f>
        <v>0</v>
      </c>
      <c r="E7" s="2791"/>
      <c r="F7" s="2791"/>
      <c r="G7" s="2791"/>
      <c r="H7" s="2791"/>
      <c r="I7" s="2792"/>
    </row>
    <row r="8" spans="1:9" ht="15.75">
      <c r="A8" s="2784" t="str">
        <f>IF('数据-取费表'!E3="否",结果表!A125,'结果表 (1修多)'!A128)</f>
        <v>——</v>
      </c>
      <c r="B8" s="2784"/>
      <c r="C8" s="2784"/>
      <c r="D8" s="2784">
        <f ca="1">IF('数据-取费表'!E3="否",结果表!D125,'结果表 (1修多)'!D128)</f>
        <v>15969427</v>
      </c>
      <c r="E8" s="2784"/>
      <c r="F8" s="2784"/>
      <c r="G8" s="2784"/>
      <c r="H8" s="2784"/>
      <c r="I8" s="2784"/>
    </row>
    <row r="9" spans="1:9" ht="15">
      <c r="A9" s="2782" t="s">
        <v>1283</v>
      </c>
      <c r="B9" s="2782"/>
      <c r="C9" s="2782"/>
      <c r="D9" s="2783">
        <f ca="1">IF('数据-取费表'!E3="否",结果表!D126,'结果表 (1修多)'!D129)</f>
        <v>85325</v>
      </c>
      <c r="E9" s="2783"/>
      <c r="F9" s="2783"/>
      <c r="G9" s="2783"/>
      <c r="H9" s="2783"/>
      <c r="I9" s="2783"/>
    </row>
    <row r="10" spans="1:9" ht="15.75">
      <c r="A10" s="2784" t="str">
        <f>IF('数据-取费表'!E3="否",结果表!A127,'结果表 (1修多)'!A130)</f>
        <v>——</v>
      </c>
      <c r="B10" s="2784"/>
      <c r="C10" s="2784"/>
      <c r="D10" s="2784" t="str">
        <f>IF('数据-取费表'!E3="否",结果表!D127,'结果表 (1修多)'!D129)</f>
        <v>——</v>
      </c>
      <c r="E10" s="2784"/>
      <c r="F10" s="2784"/>
      <c r="G10" s="2784"/>
      <c r="H10" s="2784"/>
      <c r="I10" s="2784"/>
    </row>
    <row r="11" spans="1:9" ht="15">
      <c r="A11" s="2782" t="s">
        <v>1283</v>
      </c>
      <c r="B11" s="2782"/>
      <c r="C11" s="2782"/>
      <c r="D11" s="2783" t="str">
        <f>IF('数据-取费表'!E3="否",结果表!D128,'结果表 (1修多)'!D131)</f>
        <v>——</v>
      </c>
      <c r="E11" s="2783"/>
      <c r="F11" s="2783"/>
      <c r="G11" s="2783"/>
      <c r="H11" s="2783"/>
      <c r="I11" s="2783"/>
    </row>
    <row r="12" spans="1:9" ht="15.75">
      <c r="A12" s="2784" t="str">
        <f>IF('数据-取费表'!E3="否",结果表!A129,'结果表 (1修多)'!A132)</f>
        <v>——</v>
      </c>
      <c r="B12" s="2784"/>
      <c r="C12" s="2784"/>
      <c r="D12" s="2784" t="str">
        <f>IF('数据-取费表'!E3="否",结果表!D129,'结果表 (1修多)'!D132)</f>
        <v>——</v>
      </c>
      <c r="E12" s="2784"/>
      <c r="F12" s="2784"/>
      <c r="G12" s="2784"/>
      <c r="H12" s="2784"/>
      <c r="I12" s="2784"/>
    </row>
    <row r="13" spans="1:9" ht="15.75" thickBot="1">
      <c r="A13" s="2785" t="s">
        <v>1283</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4" t="s">
        <v>1297</v>
      </c>
      <c r="B1" s="2794"/>
      <c r="C1" s="2794"/>
      <c r="D1" s="2794"/>
    </row>
    <row r="2" spans="1:4" ht="18">
      <c r="A2" s="2793" t="s">
        <v>1285</v>
      </c>
      <c r="B2" s="2793"/>
      <c r="C2" s="2793"/>
      <c r="D2" s="2793"/>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白景生</v>
      </c>
      <c r="B5" s="1958">
        <f>项目基本情况!E3</f>
        <v>1120110054</v>
      </c>
      <c r="C5" s="1961"/>
      <c r="D5" s="1960" t="s">
        <v>1298</v>
      </c>
    </row>
    <row r="6" spans="1:4" ht="12" customHeight="1">
      <c r="A6" s="1957"/>
      <c r="B6" s="1958"/>
      <c r="C6" s="1962"/>
      <c r="D6" s="1960"/>
    </row>
    <row r="7" spans="1:4" ht="18">
      <c r="A7" s="2793" t="s">
        <v>1290</v>
      </c>
      <c r="B7" s="2793"/>
      <c r="C7" s="2793"/>
      <c r="D7" s="2793"/>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5" t="s">
        <v>1299</v>
      </c>
      <c r="B12" s="2796"/>
      <c r="C12" s="2796"/>
      <c r="D12" s="2796"/>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6"/>
      <c r="C13" s="2796"/>
      <c r="D13" s="2796"/>
    </row>
    <row r="14" spans="1:4" ht="30" customHeight="1">
      <c r="A14" s="2795" t="str">
        <f>IF(项目基本情况!D4="抵押","3.抵押双方在办理抵押登记手续时，应使用本公司出具的正式《房地产评估报告》，特提醒报告使用者注意。","——")</f>
        <v>——</v>
      </c>
      <c r="B14" s="2796"/>
      <c r="C14" s="2796"/>
      <c r="D14" s="2796"/>
    </row>
    <row r="15" spans="1:4" ht="15.75" customHeight="1">
      <c r="A15" s="2795" t="str">
        <f>IF(项目基本情况!D4="抵押","4.本次评估估价师所知悉的法定优先受偿款情况说明如下：","——")</f>
        <v>——</v>
      </c>
      <c r="B15" s="2796"/>
      <c r="C15" s="2796"/>
      <c r="D15" s="2796"/>
    </row>
    <row r="16" spans="1:4" ht="75" customHeight="1">
      <c r="A16" s="2795" t="str">
        <f>IF(项目基本情况!D4="抵押",CONCATENATE(项目基本情况!J13,项目基本情况!J14,项目基本情况!J15),"——")</f>
        <v>——</v>
      </c>
      <c r="B16" s="2795"/>
      <c r="C16" s="2795"/>
      <c r="D16" s="2795"/>
    </row>
    <row r="17" spans="1:4" ht="63.75" customHeight="1">
      <c r="A17" s="2797" t="s">
        <v>1300</v>
      </c>
      <c r="B17" s="2797"/>
      <c r="C17" s="2797"/>
      <c r="D17" s="2797"/>
    </row>
    <row r="18" spans="1:4" ht="15.75" customHeight="1">
      <c r="A18" s="2795" t="str">
        <f>IF(项目基本情况!D4="抵押",结果表!K106,"——")</f>
        <v>——</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7" t="s">
        <v>1293</v>
      </c>
      <c r="B20" s="2797"/>
      <c r="C20" s="2797"/>
      <c r="D20" s="2797"/>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3" t="s">
        <v>1379</v>
      </c>
      <c r="B15" s="2798" t="s">
        <v>1380</v>
      </c>
      <c r="C15" s="2799"/>
    </row>
    <row r="16" spans="1:7" ht="14.25">
      <c r="A16" s="2804"/>
      <c r="B16" s="2798" t="s">
        <v>1381</v>
      </c>
      <c r="C16" s="2799"/>
    </row>
    <row r="17" spans="1:3" ht="14.25">
      <c r="A17" s="2804"/>
      <c r="B17" s="2798" t="s">
        <v>1382</v>
      </c>
      <c r="C17" s="2799"/>
    </row>
    <row r="18" spans="1:3" ht="14.25">
      <c r="A18" s="2805"/>
      <c r="B18" s="2800" t="s">
        <v>1383</v>
      </c>
      <c r="C18" s="2799"/>
    </row>
    <row r="19" spans="1:3" ht="14.25">
      <c r="A19" s="1980" t="s">
        <v>1384</v>
      </c>
      <c r="B19" s="1981"/>
      <c r="C19" s="1982"/>
    </row>
    <row r="20" spans="1:3" ht="14.25">
      <c r="A20" s="2801" t="s">
        <v>1385</v>
      </c>
      <c r="B20" s="2800" t="s">
        <v>1386</v>
      </c>
      <c r="C20" s="2799"/>
    </row>
    <row r="21" spans="1:3" ht="14.25">
      <c r="A21" s="2801"/>
      <c r="B21" s="2800" t="s">
        <v>1387</v>
      </c>
      <c r="C21" s="2799"/>
    </row>
    <row r="22" spans="1:3" ht="14.25">
      <c r="A22" s="2801"/>
      <c r="B22" s="2800" t="s">
        <v>1388</v>
      </c>
      <c r="C22" s="2799"/>
    </row>
    <row r="23" spans="1:3" ht="14.25">
      <c r="A23" s="2801"/>
      <c r="B23" s="2802" t="s">
        <v>1389</v>
      </c>
      <c r="C23" s="1983" t="s">
        <v>1390</v>
      </c>
    </row>
    <row r="24" spans="1:3" ht="14.25">
      <c r="A24" s="2801"/>
      <c r="B24" s="2802"/>
      <c r="C24" s="1983" t="s">
        <v>1391</v>
      </c>
    </row>
    <row r="25" spans="1:3" ht="14.25">
      <c r="A25" s="2801"/>
      <c r="B25" s="2802"/>
      <c r="C25" s="1983" t="s">
        <v>1392</v>
      </c>
    </row>
    <row r="26" spans="1:3" ht="14.25">
      <c r="A26" s="2801"/>
      <c r="B26" s="2802"/>
      <c r="C26" s="1983" t="s">
        <v>1393</v>
      </c>
    </row>
    <row r="27" spans="1:3" ht="14.25">
      <c r="A27" s="2801"/>
      <c r="B27" s="2802"/>
      <c r="C27" s="1983" t="s">
        <v>1394</v>
      </c>
    </row>
    <row r="28" spans="1:3" ht="14.25">
      <c r="A28" s="2801"/>
      <c r="B28" s="2802"/>
      <c r="C28" s="1983" t="s">
        <v>1395</v>
      </c>
    </row>
    <row r="29" spans="1:3" ht="14.25">
      <c r="A29" s="2801"/>
      <c r="B29" s="2802"/>
      <c r="C29" s="1983" t="s">
        <v>1396</v>
      </c>
    </row>
    <row r="30" spans="1:3" ht="14.25">
      <c r="A30" s="2801"/>
      <c r="B30" s="2802"/>
      <c r="C30" s="1983" t="s">
        <v>1397</v>
      </c>
    </row>
    <row r="31" spans="1:3" ht="14.25">
      <c r="A31" s="2801"/>
      <c r="B31" s="2802"/>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43290</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6" t="s">
        <v>768</v>
      </c>
      <c r="B25" s="2806"/>
      <c r="C25" s="2806"/>
      <c r="D25" s="2806"/>
      <c r="E25" s="2806"/>
      <c r="F25" s="2806"/>
      <c r="G25" s="2806"/>
      <c r="H25" s="2806"/>
    </row>
    <row r="26" spans="1:8" s="1034" customFormat="1" ht="24" customHeight="1">
      <c r="A26" s="2807" t="s">
        <v>769</v>
      </c>
      <c r="B26" s="2807"/>
      <c r="C26" s="2807"/>
      <c r="D26" s="1062"/>
      <c r="E26" s="1062"/>
      <c r="F26" s="2807" t="s">
        <v>770</v>
      </c>
      <c r="G26" s="2807"/>
      <c r="H26" s="2807"/>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09" priority="66">
      <formula>AND($C24-TODAY()&lt;30,TODAY()&lt;$C24)</formula>
    </cfRule>
  </conditionalFormatting>
  <conditionalFormatting sqref="C28:E28">
    <cfRule type="expression" dxfId="208" priority="65">
      <formula>AND($C28-TODAY()&lt;30,TODAY()&lt;$C28)</formula>
    </cfRule>
  </conditionalFormatting>
  <conditionalFormatting sqref="C28:E28 G4">
    <cfRule type="cellIs" dxfId="207" priority="67" stopIfTrue="1" operator="lessThan">
      <formula>$B$2</formula>
    </cfRule>
  </conditionalFormatting>
  <conditionalFormatting sqref="D5">
    <cfRule type="expression" dxfId="206" priority="62">
      <formula>AND($C5-TODAY()&lt;30,TODAY()&lt;$C5)</formula>
    </cfRule>
  </conditionalFormatting>
  <conditionalFormatting sqref="D5 G5">
    <cfRule type="cellIs" dxfId="205" priority="63" stopIfTrue="1" operator="lessThan">
      <formula>$B$2</formula>
    </cfRule>
  </conditionalFormatting>
  <conditionalFormatting sqref="G6 G8 G10">
    <cfRule type="cellIs" dxfId="204" priority="61" stopIfTrue="1" operator="lessThan">
      <formula>$B$2</formula>
    </cfRule>
  </conditionalFormatting>
  <conditionalFormatting sqref="D24 C7:D7 D4:D6 C10:D12 D8:D9 C14:D14 D13 C16:D23 D15">
    <cfRule type="expression" dxfId="203" priority="59">
      <formula>AND($C4-TODAY()&lt;30,TODAY()&lt;$C4)</formula>
    </cfRule>
  </conditionalFormatting>
  <conditionalFormatting sqref="G7 G9 G11 D24 C7:D7 D4:D6 C10:D12 D8:D9 C14:D14 D13 C16:D23 D15">
    <cfRule type="cellIs" dxfId="202" priority="60" stopIfTrue="1" operator="lessThan">
      <formula>$B$2</formula>
    </cfRule>
  </conditionalFormatting>
  <conditionalFormatting sqref="C12:D12">
    <cfRule type="expression" dxfId="201" priority="57">
      <formula>AND($C12-TODAY()&lt;30,TODAY()&lt;$C12)</formula>
    </cfRule>
  </conditionalFormatting>
  <conditionalFormatting sqref="C12:D12">
    <cfRule type="cellIs" dxfId="200" priority="58" stopIfTrue="1" operator="lessThan">
      <formula>$B$2</formula>
    </cfRule>
  </conditionalFormatting>
  <conditionalFormatting sqref="C14:D14">
    <cfRule type="expression" dxfId="199" priority="53">
      <formula>AND($C14-TODAY()&lt;30,TODAY()&lt;$C14)</formula>
    </cfRule>
  </conditionalFormatting>
  <conditionalFormatting sqref="C14:D14">
    <cfRule type="cellIs" dxfId="198" priority="54" stopIfTrue="1" operator="lessThan">
      <formula>$B$2</formula>
    </cfRule>
  </conditionalFormatting>
  <conditionalFormatting sqref="C16:D16">
    <cfRule type="expression" dxfId="197" priority="51">
      <formula>AND($C16-TODAY()&lt;30,TODAY()&lt;$C16)</formula>
    </cfRule>
  </conditionalFormatting>
  <conditionalFormatting sqref="C16:D16">
    <cfRule type="cellIs" dxfId="196" priority="52" stopIfTrue="1" operator="lessThan">
      <formula>$B$2</formula>
    </cfRule>
  </conditionalFormatting>
  <conditionalFormatting sqref="C18:D18">
    <cfRule type="expression" dxfId="195" priority="49">
      <formula>AND($C18-TODAY()&lt;30,TODAY()&lt;$C18)</formula>
    </cfRule>
  </conditionalFormatting>
  <conditionalFormatting sqref="C18:D18">
    <cfRule type="cellIs" dxfId="194" priority="50" stopIfTrue="1" operator="lessThan">
      <formula>$B$2</formula>
    </cfRule>
  </conditionalFormatting>
  <conditionalFormatting sqref="C20:D20">
    <cfRule type="expression" dxfId="193" priority="47">
      <formula>AND($C20-TODAY()&lt;30,TODAY()&lt;$C20)</formula>
    </cfRule>
  </conditionalFormatting>
  <conditionalFormatting sqref="C20:D20">
    <cfRule type="cellIs" dxfId="192" priority="48" stopIfTrue="1" operator="lessThan">
      <formula>$B$2</formula>
    </cfRule>
  </conditionalFormatting>
  <conditionalFormatting sqref="C22:D22">
    <cfRule type="expression" dxfId="191" priority="45">
      <formula>AND($C22-TODAY()&lt;30,TODAY()&lt;$C22)</formula>
    </cfRule>
  </conditionalFormatting>
  <conditionalFormatting sqref="C22:D22">
    <cfRule type="cellIs" dxfId="190" priority="46" stopIfTrue="1" operator="lessThan">
      <formula>$B$2</formula>
    </cfRule>
  </conditionalFormatting>
  <conditionalFormatting sqref="D15">
    <cfRule type="expression" dxfId="189" priority="43">
      <formula>AND($C15-TODAY()&lt;30,TODAY()&lt;$C15)</formula>
    </cfRule>
  </conditionalFormatting>
  <conditionalFormatting sqref="D15">
    <cfRule type="cellIs" dxfId="188" priority="44" stopIfTrue="1" operator="lessThan">
      <formula>$B$2</formula>
    </cfRule>
  </conditionalFormatting>
  <conditionalFormatting sqref="C17:D17">
    <cfRule type="expression" dxfId="187" priority="41">
      <formula>AND($C17-TODAY()&lt;30,TODAY()&lt;$C17)</formula>
    </cfRule>
  </conditionalFormatting>
  <conditionalFormatting sqref="C17:D17">
    <cfRule type="cellIs" dxfId="186" priority="42" stopIfTrue="1" operator="lessThan">
      <formula>$B$2</formula>
    </cfRule>
  </conditionalFormatting>
  <conditionalFormatting sqref="C19:D19">
    <cfRule type="expression" dxfId="185" priority="39">
      <formula>AND($C19-TODAY()&lt;30,TODAY()&lt;$C19)</formula>
    </cfRule>
  </conditionalFormatting>
  <conditionalFormatting sqref="C19:D19">
    <cfRule type="cellIs" dxfId="184" priority="40" stopIfTrue="1" operator="lessThan">
      <formula>$B$2</formula>
    </cfRule>
  </conditionalFormatting>
  <conditionalFormatting sqref="C21:D21">
    <cfRule type="expression" dxfId="183" priority="37">
      <formula>AND($C21-TODAY()&lt;30,TODAY()&lt;$C21)</formula>
    </cfRule>
  </conditionalFormatting>
  <conditionalFormatting sqref="C21:D21">
    <cfRule type="cellIs" dxfId="182" priority="38" stopIfTrue="1" operator="lessThan">
      <formula>$B$2</formula>
    </cfRule>
  </conditionalFormatting>
  <conditionalFormatting sqref="C23:D23">
    <cfRule type="expression" dxfId="181" priority="35">
      <formula>AND($C23-TODAY()&lt;30,TODAY()&lt;$C23)</formula>
    </cfRule>
  </conditionalFormatting>
  <conditionalFormatting sqref="C23:D23">
    <cfRule type="cellIs" dxfId="180" priority="36" stopIfTrue="1" operator="lessThan">
      <formula>$B$2</formula>
    </cfRule>
  </conditionalFormatting>
  <conditionalFormatting sqref="G16">
    <cfRule type="cellIs" dxfId="179" priority="33" stopIfTrue="1" operator="lessThan">
      <formula>$B$2</formula>
    </cfRule>
  </conditionalFormatting>
  <conditionalFormatting sqref="G18">
    <cfRule type="cellIs" dxfId="178" priority="32" stopIfTrue="1" operator="lessThan">
      <formula>$B$2</formula>
    </cfRule>
  </conditionalFormatting>
  <conditionalFormatting sqref="G22">
    <cfRule type="cellIs" dxfId="177" priority="31" stopIfTrue="1" operator="lessThan">
      <formula>$B$2</formula>
    </cfRule>
  </conditionalFormatting>
  <conditionalFormatting sqref="G21">
    <cfRule type="cellIs" dxfId="176" priority="30" stopIfTrue="1" operator="lessThan">
      <formula>$B$2</formula>
    </cfRule>
  </conditionalFormatting>
  <conditionalFormatting sqref="G17">
    <cfRule type="cellIs" dxfId="175" priority="29" stopIfTrue="1" operator="lessThan">
      <formula>$B$2</formula>
    </cfRule>
  </conditionalFormatting>
  <conditionalFormatting sqref="B4:B14 F4:F14 B16:B23 F16:F23">
    <cfRule type="cellIs" dxfId="174" priority="28" stopIfTrue="1" operator="equal">
      <formula>"已过期"</formula>
    </cfRule>
  </conditionalFormatting>
  <conditionalFormatting sqref="H28">
    <cfRule type="expression" dxfId="173" priority="26">
      <formula>AND($F28-TODAY()&lt;30,TODAY()&lt;$F28)</formula>
    </cfRule>
  </conditionalFormatting>
  <conditionalFormatting sqref="H28">
    <cfRule type="cellIs" dxfId="172" priority="27" stopIfTrue="1" operator="lessThan">
      <formula>$B$2</formula>
    </cfRule>
  </conditionalFormatting>
  <conditionalFormatting sqref="H29">
    <cfRule type="expression" dxfId="171" priority="24" stopIfTrue="1">
      <formula>AND($F29-TODAY()&lt;30,TODAY()&lt;$F29)</formula>
    </cfRule>
  </conditionalFormatting>
  <conditionalFormatting sqref="H29">
    <cfRule type="cellIs" dxfId="170" priority="25" stopIfTrue="1" operator="lessThan">
      <formula>$B$2</formula>
    </cfRule>
  </conditionalFormatting>
  <conditionalFormatting sqref="C5">
    <cfRule type="expression" dxfId="169" priority="22">
      <formula>AND($C5-TODAY()&lt;30,TODAY()&lt;$C5)</formula>
    </cfRule>
  </conditionalFormatting>
  <conditionalFormatting sqref="C5">
    <cfRule type="cellIs" dxfId="168" priority="23" stopIfTrue="1" operator="lessThan">
      <formula>$B$2</formula>
    </cfRule>
  </conditionalFormatting>
  <conditionalFormatting sqref="C4:C6">
    <cfRule type="expression" dxfId="167" priority="20">
      <formula>AND($C4-TODAY()&lt;30,TODAY()&lt;$C4)</formula>
    </cfRule>
  </conditionalFormatting>
  <conditionalFormatting sqref="C4:C6">
    <cfRule type="cellIs" dxfId="166" priority="21" stopIfTrue="1" operator="lessThan">
      <formula>$B$2</formula>
    </cfRule>
  </conditionalFormatting>
  <conditionalFormatting sqref="C8">
    <cfRule type="expression" dxfId="165" priority="18">
      <formula>AND($C8-TODAY()&lt;30,TODAY()&lt;$C8)</formula>
    </cfRule>
  </conditionalFormatting>
  <conditionalFormatting sqref="C8">
    <cfRule type="cellIs" dxfId="164" priority="19" stopIfTrue="1" operator="lessThan">
      <formula>$B$2</formula>
    </cfRule>
  </conditionalFormatting>
  <conditionalFormatting sqref="C9">
    <cfRule type="expression" dxfId="163" priority="16">
      <formula>AND($C9-TODAY()&lt;30,TODAY()&lt;$C9)</formula>
    </cfRule>
  </conditionalFormatting>
  <conditionalFormatting sqref="C9">
    <cfRule type="cellIs" dxfId="162" priority="17" stopIfTrue="1" operator="lessThan">
      <formula>$B$2</formula>
    </cfRule>
  </conditionalFormatting>
  <conditionalFormatting sqref="C13">
    <cfRule type="expression" dxfId="161" priority="14">
      <formula>AND($C13-TODAY()&lt;30,TODAY()&lt;$C13)</formula>
    </cfRule>
  </conditionalFormatting>
  <conditionalFormatting sqref="C13">
    <cfRule type="cellIs" dxfId="160" priority="15" stopIfTrue="1" operator="lessThan">
      <formula>$B$2</formula>
    </cfRule>
  </conditionalFormatting>
  <conditionalFormatting sqref="C15">
    <cfRule type="expression" dxfId="159" priority="12">
      <formula>AND($C15-TODAY()&lt;30,TODAY()&lt;$C15)</formula>
    </cfRule>
  </conditionalFormatting>
  <conditionalFormatting sqref="C15">
    <cfRule type="cellIs" dxfId="158" priority="13" stopIfTrue="1" operator="lessThan">
      <formula>$B$2</formula>
    </cfRule>
  </conditionalFormatting>
  <conditionalFormatting sqref="C15">
    <cfRule type="expression" dxfId="157" priority="10">
      <formula>AND($C15-TODAY()&lt;30,TODAY()&lt;$C15)</formula>
    </cfRule>
  </conditionalFormatting>
  <conditionalFormatting sqref="C15">
    <cfRule type="cellIs" dxfId="156" priority="11" stopIfTrue="1" operator="lessThan">
      <formula>$B$2</formula>
    </cfRule>
  </conditionalFormatting>
  <conditionalFormatting sqref="B15">
    <cfRule type="cellIs" dxfId="155" priority="9" stopIfTrue="1" operator="equal">
      <formula>"已过期"</formula>
    </cfRule>
  </conditionalFormatting>
  <conditionalFormatting sqref="A15">
    <cfRule type="cellIs" dxfId="154" priority="8" stopIfTrue="1" operator="equal">
      <formula>"已过期"</formula>
    </cfRule>
  </conditionalFormatting>
  <conditionalFormatting sqref="C15">
    <cfRule type="expression" dxfId="153" priority="7">
      <formula>AND($C15-TODAY()&lt;30,TODAY()&lt;$C15)</formula>
    </cfRule>
  </conditionalFormatting>
  <conditionalFormatting sqref="F15">
    <cfRule type="cellIs" dxfId="152" priority="6" stopIfTrue="1" operator="equal">
      <formula>"已过期"</formula>
    </cfRule>
  </conditionalFormatting>
  <conditionalFormatting sqref="E15">
    <cfRule type="cellIs" dxfId="151" priority="5" stopIfTrue="1" operator="equal">
      <formula>"已过期"</formula>
    </cfRule>
  </conditionalFormatting>
  <conditionalFormatting sqref="A24:C24">
    <cfRule type="cellIs" dxfId="150" priority="4" stopIfTrue="1" operator="equal">
      <formula>"已过期"</formula>
    </cfRule>
  </conditionalFormatting>
  <conditionalFormatting sqref="E24:G24">
    <cfRule type="cellIs" dxfId="149" priority="3" stopIfTrue="1" operator="equal">
      <formula>"已过期"</formula>
    </cfRule>
  </conditionalFormatting>
  <conditionalFormatting sqref="G13">
    <cfRule type="cellIs" dxfId="148" priority="2" stopIfTrue="1" operator="lessThan">
      <formula>$B$2</formula>
    </cfRule>
  </conditionalFormatting>
  <conditionalFormatting sqref="G12">
    <cfRule type="cellIs" dxfId="14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8"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本次估价的“房地产价值”是指在正常市场情况下，在价值时点2018年6月21日，估价对象规划用途为住宅，假定未设立法定优先受偿款下的房地产市场价值。</v>
      </c>
    </row>
    <row r="54" spans="1:4">
      <c r="A54" s="2808"/>
      <c r="B54" s="9" t="s">
        <v>1535</v>
      </c>
      <c r="C54" s="9" t="s">
        <v>1536</v>
      </c>
    </row>
    <row r="55" spans="1:4">
      <c r="A55" s="2808"/>
      <c r="B55" s="9" t="s">
        <v>1537</v>
      </c>
      <c r="C55" s="9" t="s">
        <v>1538</v>
      </c>
    </row>
    <row r="56" spans="1:4">
      <c r="A56" s="2808"/>
      <c r="B56" s="9" t="s">
        <v>1539</v>
      </c>
      <c r="C56" s="9" t="s">
        <v>1540</v>
      </c>
    </row>
    <row r="57" spans="1:4">
      <c r="A57" s="2808"/>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2018-07-09T07:19:40Z</dcterms:modified>
</cp:coreProperties>
</file>