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BA90CC73-9B36-42FA-AC0D-FE7FB929F1F8}" xr6:coauthVersionLast="47" xr6:coauthVersionMax="47" xr10:uidLastSave="{00000000-0000-0000-0000-000000000000}"/>
  <bookViews>
    <workbookView xWindow="-120" yWindow="-120" windowWidth="19440" windowHeight="1500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78"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 i="78" l="1"/>
  <c r="J52" i="15" l="1"/>
  <c r="C38" i="39" l="1"/>
  <c r="I38" i="39"/>
  <c r="G38" i="39"/>
  <c r="E38" i="39"/>
  <c r="I7" i="39"/>
  <c r="G7" i="39"/>
  <c r="E71" i="39"/>
  <c r="F71" i="39" s="1"/>
  <c r="G71" i="39" s="1"/>
  <c r="H71" i="39" s="1"/>
  <c r="I71" i="39" s="1"/>
  <c r="J71" i="39" s="1"/>
  <c r="K71" i="39" s="1"/>
  <c r="L71" i="39" s="1"/>
  <c r="M71" i="39" s="1"/>
  <c r="N71" i="39" s="1"/>
  <c r="O71" i="39" s="1"/>
  <c r="D71" i="39"/>
  <c r="E57" i="39"/>
  <c r="AH6" i="1" l="1"/>
  <c r="N19" i="1"/>
  <c r="N6" i="1" s="1"/>
  <c r="N14" i="1" s="1"/>
  <c r="G19" i="6"/>
  <c r="F19" i="6"/>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c r="O46" i="71"/>
  <c r="C47" i="71"/>
  <c r="C48" i="71" s="1"/>
  <c r="C49" i="71" s="1"/>
  <c r="N46" i="71"/>
  <c r="B47" i="71"/>
  <c r="B48" i="71" s="1"/>
  <c r="B49" i="71" s="1"/>
  <c r="S49" i="71" s="1"/>
  <c r="D46" i="71"/>
  <c r="T45" i="71"/>
  <c r="Q45" i="71"/>
  <c r="P45" i="71"/>
  <c r="O45" i="71"/>
  <c r="N45" i="71"/>
  <c r="D45" i="71"/>
  <c r="Q44" i="71"/>
  <c r="P44" i="71"/>
  <c r="O44" i="71"/>
  <c r="N44" i="71"/>
  <c r="Q43" i="71"/>
  <c r="P43" i="71"/>
  <c r="O43" i="71"/>
  <c r="N43" i="71"/>
  <c r="V45" i="71"/>
  <c r="Q42" i="71"/>
  <c r="F43" i="71" s="1"/>
  <c r="F44" i="71" s="1"/>
  <c r="F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P27" i="71"/>
  <c r="AA23" i="71" s="1"/>
  <c r="O27" i="71"/>
  <c r="Y27" i="71"/>
  <c r="Z27" i="71" s="1"/>
  <c r="N27" i="71"/>
  <c r="F28" i="71"/>
  <c r="F29" i="71" s="1"/>
  <c r="V29" i="71" s="1"/>
  <c r="Q26" i="71"/>
  <c r="F27" i="71" s="1"/>
  <c r="P26" i="71"/>
  <c r="O26" i="71"/>
  <c r="N26" i="71"/>
  <c r="D26" i="71"/>
  <c r="O25" i="71"/>
  <c r="C25" i="71" s="1"/>
  <c r="N25" i="71"/>
  <c r="B27" i="71"/>
  <c r="B28" i="71" s="1"/>
  <c r="B29" i="71"/>
  <c r="S29" i="71" s="1"/>
  <c r="B31" i="71"/>
  <c r="X30" i="71"/>
  <c r="E35" i="71"/>
  <c r="E31" i="71"/>
  <c r="E32" i="71" s="1"/>
  <c r="E33" i="71" s="1"/>
  <c r="U33" i="71" s="1"/>
  <c r="C27" i="71"/>
  <c r="Y26" i="71"/>
  <c r="Z26" i="71" s="1"/>
  <c r="AA27" i="71"/>
  <c r="C31" i="71"/>
  <c r="C32" i="71"/>
  <c r="X31" i="71"/>
  <c r="X33" i="71"/>
  <c r="C35" i="71"/>
  <c r="D35" i="71" s="1"/>
  <c r="Y34" i="71"/>
  <c r="Z34" i="71"/>
  <c r="X35" i="71"/>
  <c r="F48" i="71"/>
  <c r="F49" i="71" s="1"/>
  <c r="V49" i="71"/>
  <c r="Y23" i="71"/>
  <c r="Z23" i="71" s="1"/>
  <c r="Y25" i="71"/>
  <c r="Z25" i="71" s="1"/>
  <c r="B25" i="71"/>
  <c r="X25" i="71"/>
  <c r="C28" i="71"/>
  <c r="D27" i="71"/>
  <c r="D31" i="71"/>
  <c r="C36" i="71"/>
  <c r="C37" i="71" s="1"/>
  <c r="C44" i="71"/>
  <c r="D44" i="71" s="1"/>
  <c r="D47" i="71"/>
  <c r="P25" i="71"/>
  <c r="E52" i="71"/>
  <c r="E53" i="71" s="1"/>
  <c r="U53" i="71" s="1"/>
  <c r="E56" i="71"/>
  <c r="E57" i="71"/>
  <c r="U57" i="71" s="1"/>
  <c r="E60" i="71"/>
  <c r="E61" i="71" s="1"/>
  <c r="U61" i="71" s="1"/>
  <c r="U65" i="71"/>
  <c r="E64" i="71"/>
  <c r="Q25" i="7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C24" i="71"/>
  <c r="F25" i="71"/>
  <c r="F24" i="71" s="1"/>
  <c r="F23" i="71" s="1"/>
  <c r="E25" i="71"/>
  <c r="E24" i="71"/>
  <c r="E23" i="71" s="1"/>
  <c r="AA3" i="71"/>
  <c r="C63" i="71"/>
  <c r="O64" i="71"/>
  <c r="D64" i="71"/>
  <c r="D80" i="71"/>
  <c r="C79" i="71"/>
  <c r="D79" i="71"/>
  <c r="D72" i="71"/>
  <c r="C71" i="71"/>
  <c r="D71" i="71" s="1"/>
  <c r="D84" i="71"/>
  <c r="D76" i="71"/>
  <c r="C75" i="71"/>
  <c r="D75" i="71" s="1"/>
  <c r="D68" i="71"/>
  <c r="C67" i="71"/>
  <c r="D67" i="71"/>
  <c r="C57" i="71"/>
  <c r="D56" i="71"/>
  <c r="P64" i="71"/>
  <c r="E63" i="71"/>
  <c r="P62" i="71" s="1"/>
  <c r="D48" i="71"/>
  <c r="D28" i="71"/>
  <c r="V25" i="71"/>
  <c r="P63" i="71"/>
  <c r="O63" i="71"/>
  <c r="D63" i="71"/>
  <c r="O62"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c r="F66" i="36" s="1"/>
  <c r="G66" i="36" s="1"/>
  <c r="H18" i="36"/>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18" i="36"/>
  <c r="S21" i="34"/>
  <c r="H25" i="40"/>
  <c r="AB25" i="40" s="1"/>
  <c r="J25" i="40"/>
  <c r="H29" i="39"/>
  <c r="AB29" i="39" s="1"/>
  <c r="J29" i="39"/>
  <c r="AC29" i="39" s="1"/>
  <c r="J18" i="36"/>
  <c r="AC18" i="36" s="1"/>
  <c r="F68" i="35"/>
  <c r="H18" i="35"/>
  <c r="AB18" i="35" s="1"/>
  <c r="S18" i="35"/>
  <c r="G68" i="35"/>
  <c r="J18" i="35"/>
  <c r="F77" i="37"/>
  <c r="G77" i="37" s="1"/>
  <c r="H21" i="37"/>
  <c r="F21" i="37"/>
  <c r="AA21" i="37" s="1"/>
  <c r="F84" i="34"/>
  <c r="H21" i="34"/>
  <c r="AB21" i="34" s="1"/>
  <c r="F83" i="33"/>
  <c r="H21" i="33"/>
  <c r="U21" i="33" s="1"/>
  <c r="F21" i="33"/>
  <c r="E83" i="21"/>
  <c r="F83" i="21" s="1"/>
  <c r="S21" i="21"/>
  <c r="H1" i="69"/>
  <c r="AC25" i="40"/>
  <c r="W25" i="40"/>
  <c r="U25" i="40"/>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4"/>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c r="H60" i="39"/>
  <c r="I60" i="39" s="1"/>
  <c r="C60" i="39"/>
  <c r="H59" i="39"/>
  <c r="I59" i="39"/>
  <c r="C59" i="39"/>
  <c r="H58" i="39"/>
  <c r="I58" i="39" s="1"/>
  <c r="C58" i="39"/>
  <c r="H57" i="39"/>
  <c r="I57" i="39"/>
  <c r="C57" i="39"/>
  <c r="H61" i="39"/>
  <c r="I61" i="39" s="1"/>
  <c r="C61" i="39"/>
  <c r="H63" i="39"/>
  <c r="I63" i="39"/>
  <c r="C63" i="39"/>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B5" i="3" s="1"/>
  <c r="BC526" i="3"/>
  <c r="BD526" i="3"/>
  <c r="BE526" i="3"/>
  <c r="BF526" i="3"/>
  <c r="BF5" i="3" s="1"/>
  <c r="BG526" i="3"/>
  <c r="BH526" i="3"/>
  <c r="BI526" i="3"/>
  <c r="BJ526" i="3"/>
  <c r="BJ5" i="3" s="1"/>
  <c r="BK526" i="3"/>
  <c r="BM526" i="3"/>
  <c r="BL526" i="3" s="1"/>
  <c r="BN526" i="3"/>
  <c r="BO526" i="3"/>
  <c r="BP526" i="3"/>
  <c r="BQ526" i="3"/>
  <c r="BR526" i="3"/>
  <c r="BS526" i="3"/>
  <c r="BS5" i="3" s="1"/>
  <c r="BT526" i="3"/>
  <c r="H527" i="3"/>
  <c r="AC527" i="3"/>
  <c r="BB527" i="3"/>
  <c r="BC527" i="3"/>
  <c r="BD527" i="3"/>
  <c r="BE527" i="3"/>
  <c r="BF527" i="3"/>
  <c r="BG527" i="3"/>
  <c r="BH527" i="3"/>
  <c r="BI527" i="3"/>
  <c r="BJ527" i="3"/>
  <c r="BK527" i="3"/>
  <c r="BM527" i="3"/>
  <c r="BL527" i="3" s="1"/>
  <c r="AZ527" i="3" s="1"/>
  <c r="BN527" i="3"/>
  <c r="BO527" i="3"/>
  <c r="BP527" i="3"/>
  <c r="BR527" i="3"/>
  <c r="BS527" i="3"/>
  <c r="BT527" i="3"/>
  <c r="H528" i="3"/>
  <c r="AC528" i="3"/>
  <c r="G528" i="3" s="1"/>
  <c r="BB528" i="3"/>
  <c r="BC528" i="3"/>
  <c r="BC5" i="3" s="1"/>
  <c r="BD528" i="3"/>
  <c r="BE528" i="3"/>
  <c r="BF528" i="3"/>
  <c r="BG528" i="3"/>
  <c r="BG5" i="3" s="1"/>
  <c r="BH528" i="3"/>
  <c r="BI528" i="3"/>
  <c r="BJ528" i="3"/>
  <c r="BK528" i="3"/>
  <c r="BK5" i="3" s="1"/>
  <c r="BM528" i="3"/>
  <c r="BN528" i="3"/>
  <c r="BL528" i="3" s="1"/>
  <c r="BO528" i="3"/>
  <c r="BP528" i="3"/>
  <c r="BQ528" i="3"/>
  <c r="BR528" i="3"/>
  <c r="BS528" i="3"/>
  <c r="BT528" i="3"/>
  <c r="H529" i="3"/>
  <c r="AC529" i="3"/>
  <c r="BB529" i="3"/>
  <c r="BC529" i="3"/>
  <c r="BA529" i="3" s="1"/>
  <c r="AZ529" i="3" s="1"/>
  <c r="BD529" i="3"/>
  <c r="BE529" i="3"/>
  <c r="BF529" i="3"/>
  <c r="BG529" i="3"/>
  <c r="BH529" i="3"/>
  <c r="BI529" i="3"/>
  <c r="BJ529" i="3"/>
  <c r="BK529" i="3"/>
  <c r="BM529" i="3"/>
  <c r="BN529" i="3"/>
  <c r="BO529" i="3"/>
  <c r="BP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L531" i="3" s="1"/>
  <c r="AZ531" i="3" s="1"/>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AZ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L535" i="3" s="1"/>
  <c r="AZ535" i="3" s="1"/>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AZ537" i="3" s="1"/>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AZ539" i="3" s="1"/>
  <c r="BN539" i="3"/>
  <c r="BO539" i="3"/>
  <c r="BP539" i="3"/>
  <c r="BR539" i="3"/>
  <c r="BS539" i="3"/>
  <c r="BT539" i="3"/>
  <c r="H540" i="3"/>
  <c r="AC540" i="3"/>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A541" i="3" s="1"/>
  <c r="AZ541" i="3" s="1"/>
  <c r="BD541" i="3"/>
  <c r="BE541" i="3"/>
  <c r="BF541" i="3"/>
  <c r="BG541" i="3"/>
  <c r="BH541" i="3"/>
  <c r="BI541" i="3"/>
  <c r="BJ541" i="3"/>
  <c r="BK541" i="3"/>
  <c r="BM541" i="3"/>
  <c r="BN541" i="3"/>
  <c r="BO541" i="3"/>
  <c r="BP541" i="3"/>
  <c r="BR541" i="3"/>
  <c r="BS541" i="3"/>
  <c r="BT541" i="3"/>
  <c r="H542" i="3"/>
  <c r="G542" i="3" s="1"/>
  <c r="AC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L543" i="3" s="1"/>
  <c r="AZ543" i="3" s="1"/>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AZ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L547" i="3" s="1"/>
  <c r="AZ547" i="3" s="1"/>
  <c r="BO547" i="3"/>
  <c r="BP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BC556" i="3"/>
  <c r="BD556" i="3"/>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L557" i="3" s="1"/>
  <c r="BO557" i="3"/>
  <c r="BP557" i="3"/>
  <c r="BR557" i="3"/>
  <c r="BS557" i="3"/>
  <c r="BT557" i="3"/>
  <c r="H558" i="3"/>
  <c r="G558" i="3" s="1"/>
  <c r="AC558" i="3"/>
  <c r="BB558" i="3"/>
  <c r="BC558" i="3"/>
  <c r="BA558" i="3" s="1"/>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L559" i="3" s="1"/>
  <c r="AZ559" i="3" s="1"/>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L573" i="3" s="1"/>
  <c r="BO573" i="3"/>
  <c r="BP573" i="3"/>
  <c r="BR573" i="3"/>
  <c r="BS573" i="3"/>
  <c r="BT573" i="3"/>
  <c r="H574" i="3"/>
  <c r="G574" i="3" s="1"/>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s="1"/>
  <c r="D76" i="40"/>
  <c r="E76" i="40" s="1"/>
  <c r="F76" i="40" s="1"/>
  <c r="G76" i="40" s="1"/>
  <c r="H76" i="40" s="1"/>
  <c r="I76" i="40" s="1"/>
  <c r="J76" i="40" s="1"/>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W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G88" i="40" s="1"/>
  <c r="D86" i="40"/>
  <c r="E86" i="40"/>
  <c r="F86" i="40" s="1"/>
  <c r="G86" i="40" s="1"/>
  <c r="D84" i="40"/>
  <c r="E84" i="40"/>
  <c r="F84" i="40" s="1"/>
  <c r="G84" i="40"/>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F27" i="39" s="1"/>
  <c r="S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F25" i="35" s="1"/>
  <c r="B75" i="35"/>
  <c r="J24" i="35"/>
  <c r="AC24" i="35" s="1"/>
  <c r="B73" i="35"/>
  <c r="B57" i="35"/>
  <c r="B61" i="35"/>
  <c r="F13" i="35" s="1"/>
  <c r="B59" i="35"/>
  <c r="B131" i="34"/>
  <c r="F47" i="34" s="1"/>
  <c r="B129" i="34"/>
  <c r="B127" i="34"/>
  <c r="H45" i="34" s="1"/>
  <c r="B99" i="34"/>
  <c r="B97" i="34"/>
  <c r="H31" i="34" s="1"/>
  <c r="B95" i="34"/>
  <c r="B93" i="34"/>
  <c r="J29" i="34" s="1"/>
  <c r="W29" i="34" s="1"/>
  <c r="B75" i="34"/>
  <c r="B73" i="34"/>
  <c r="B71" i="34"/>
  <c r="B130" i="33"/>
  <c r="B128" i="33"/>
  <c r="B126" i="33"/>
  <c r="B98" i="33"/>
  <c r="B96" i="33"/>
  <c r="J30" i="33" s="1"/>
  <c r="W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A586" i="3" s="1"/>
  <c r="AZ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J35" i="39"/>
  <c r="AC35" i="39"/>
  <c r="F35" i="39"/>
  <c r="AA35" i="39"/>
  <c r="W25" i="37"/>
  <c r="U30" i="37"/>
  <c r="W31" i="37"/>
  <c r="E103" i="37"/>
  <c r="F103" i="37"/>
  <c r="G103" i="37" s="1"/>
  <c r="H103" i="37" s="1"/>
  <c r="I103" i="37" s="1"/>
  <c r="J103" i="37" s="1"/>
  <c r="K103" i="37" s="1"/>
  <c r="L103" i="37" s="1"/>
  <c r="M103" i="37" s="1"/>
  <c r="F39" i="37"/>
  <c r="F29" i="36"/>
  <c r="AA29" i="36"/>
  <c r="W8" i="36"/>
  <c r="F16" i="36"/>
  <c r="AA16" i="36" s="1"/>
  <c r="U9" i="36"/>
  <c r="W28" i="36"/>
  <c r="S30" i="36"/>
  <c r="AC31" i="36"/>
  <c r="W31" i="36"/>
  <c r="J33" i="36"/>
  <c r="W33" i="36"/>
  <c r="H22" i="35"/>
  <c r="AB22" i="35"/>
  <c r="AC27" i="35"/>
  <c r="W28" i="35"/>
  <c r="U31" i="35"/>
  <c r="W36" i="35"/>
  <c r="W22" i="35"/>
  <c r="S31" i="35"/>
  <c r="F36" i="34"/>
  <c r="J35" i="34"/>
  <c r="U34" i="34"/>
  <c r="H39" i="33"/>
  <c r="AB39" i="33"/>
  <c r="U33" i="33"/>
  <c r="S40" i="33"/>
  <c r="W39" i="33"/>
  <c r="S27" i="35"/>
  <c r="F11" i="40"/>
  <c r="AA11" i="40" s="1"/>
  <c r="H11" i="40"/>
  <c r="AB11" i="40" s="1"/>
  <c r="AC40" i="40"/>
  <c r="AC9" i="40"/>
  <c r="S34" i="40"/>
  <c r="S40" i="40"/>
  <c r="U34" i="40"/>
  <c r="F42" i="39"/>
  <c r="AA42" i="39" s="1"/>
  <c r="F41" i="39"/>
  <c r="S41" i="39" s="1"/>
  <c r="H40" i="39"/>
  <c r="AB40" i="39" s="1"/>
  <c r="H39" i="39"/>
  <c r="U39" i="39" s="1"/>
  <c r="S34" i="39"/>
  <c r="H34" i="39"/>
  <c r="U34" i="39"/>
  <c r="E109" i="39"/>
  <c r="H31" i="39"/>
  <c r="AB31" i="39" s="1"/>
  <c r="H19" i="39"/>
  <c r="AB19" i="39"/>
  <c r="F19" i="39"/>
  <c r="AA19" i="39"/>
  <c r="F17" i="39"/>
  <c r="AA17" i="39" s="1"/>
  <c r="J23" i="40"/>
  <c r="AC23" i="40"/>
  <c r="F21" i="40"/>
  <c r="AA21" i="40"/>
  <c r="J21" i="40"/>
  <c r="W21" i="40"/>
  <c r="H42" i="39"/>
  <c r="AB42" i="39" s="1"/>
  <c r="J34" i="39"/>
  <c r="AC34" i="39" s="1"/>
  <c r="F109" i="39"/>
  <c r="G109" i="39" s="1"/>
  <c r="H109" i="39"/>
  <c r="I109" i="39" s="1"/>
  <c r="J109" i="39" s="1"/>
  <c r="K109" i="39" s="1"/>
  <c r="L109" i="39" s="1"/>
  <c r="M109" i="39" s="1"/>
  <c r="J19" i="39"/>
  <c r="AC19"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c r="I101" i="37" s="1"/>
  <c r="J101" i="37" s="1"/>
  <c r="K101" i="37" s="1"/>
  <c r="L101" i="37" s="1"/>
  <c r="M101" i="37" s="1"/>
  <c r="J34" i="37"/>
  <c r="W34" i="37" s="1"/>
  <c r="S10" i="37"/>
  <c r="AB34" i="37"/>
  <c r="J33" i="37"/>
  <c r="AC33" i="37"/>
  <c r="H40" i="34"/>
  <c r="U40" i="34" s="1"/>
  <c r="E114" i="34"/>
  <c r="F114" i="34" s="1"/>
  <c r="H36" i="34"/>
  <c r="U36" i="34"/>
  <c r="F37" i="34"/>
  <c r="AA37" i="34"/>
  <c r="F28" i="34"/>
  <c r="F25" i="34"/>
  <c r="S25" i="34" s="1"/>
  <c r="H23" i="34"/>
  <c r="J23" i="34"/>
  <c r="W23" i="34" s="1"/>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W40" i="34" s="1"/>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W12" i="40"/>
  <c r="F30" i="33"/>
  <c r="AA30" i="33" s="1"/>
  <c r="F29" i="34"/>
  <c r="S29" i="34" s="1"/>
  <c r="J31" i="34"/>
  <c r="AC31" i="34" s="1"/>
  <c r="F31" i="34"/>
  <c r="S31" i="34" s="1"/>
  <c r="J45" i="34"/>
  <c r="W45" i="34" s="1"/>
  <c r="H47" i="34"/>
  <c r="U47" i="34" s="1"/>
  <c r="J47" i="34"/>
  <c r="AC47" i="34" s="1"/>
  <c r="J13" i="35"/>
  <c r="AC13" i="35" s="1"/>
  <c r="J25" i="35"/>
  <c r="W2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AA14" i="39" s="1"/>
  <c r="H14" i="39"/>
  <c r="AB14" i="39"/>
  <c r="F12" i="40"/>
  <c r="S12" i="40"/>
  <c r="H12" i="40"/>
  <c r="AB12" i="40"/>
  <c r="H30" i="40"/>
  <c r="AB30" i="40"/>
  <c r="F33" i="40"/>
  <c r="AA33" i="40"/>
  <c r="H33" i="40"/>
  <c r="U33" i="40"/>
  <c r="J35" i="40"/>
  <c r="AC35" i="40"/>
  <c r="J37" i="40"/>
  <c r="AC37" i="40"/>
  <c r="F27" i="37"/>
  <c r="AA27" i="37"/>
  <c r="F13" i="39"/>
  <c r="J13" i="39"/>
  <c r="W13" i="39" s="1"/>
  <c r="H13" i="39"/>
  <c r="AB13" i="39" s="1"/>
  <c r="H14" i="40"/>
  <c r="AB14" i="40"/>
  <c r="J14" i="40"/>
  <c r="W14" i="40"/>
  <c r="F14" i="40"/>
  <c r="AA14" i="40"/>
  <c r="J27" i="37"/>
  <c r="AC27" i="37"/>
  <c r="J36" i="37"/>
  <c r="AC36" i="37" s="1"/>
  <c r="G105" i="37"/>
  <c r="AB11" i="35"/>
  <c r="J10" i="36"/>
  <c r="AC10" i="36"/>
  <c r="AB30" i="21"/>
  <c r="W31" i="34"/>
  <c r="AC13" i="36"/>
  <c r="W13" i="36"/>
  <c r="W11" i="35"/>
  <c r="AB46" i="34"/>
  <c r="AC30" i="34"/>
  <c r="AA14" i="34"/>
  <c r="S45" i="33"/>
  <c r="AB45" i="33"/>
  <c r="AB31" i="33"/>
  <c r="U31" i="33"/>
  <c r="W29" i="33"/>
  <c r="U13" i="33"/>
  <c r="AC28" i="21"/>
  <c r="S44" i="34"/>
  <c r="BA585" i="3"/>
  <c r="F17" i="21"/>
  <c r="AA17" i="21"/>
  <c r="H17" i="21"/>
  <c r="AB17" i="21"/>
  <c r="F15" i="21"/>
  <c r="S15" i="21"/>
  <c r="J41" i="39"/>
  <c r="W41" i="39" s="1"/>
  <c r="W35" i="39"/>
  <c r="S35" i="39"/>
  <c r="G540" i="3"/>
  <c r="G535" i="3"/>
  <c r="G531"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38" i="3"/>
  <c r="BL530" i="3"/>
  <c r="BL522" i="3"/>
  <c r="BL516" i="3"/>
  <c r="BL512" i="3"/>
  <c r="BL506" i="3"/>
  <c r="BL502" i="3"/>
  <c r="AZ502" i="3" s="1"/>
  <c r="BL498" i="3"/>
  <c r="BL494" i="3"/>
  <c r="BL582" i="3"/>
  <c r="BL578" i="3"/>
  <c r="BL570" i="3"/>
  <c r="BL566" i="3"/>
  <c r="BL562" i="3"/>
  <c r="BL552" i="3"/>
  <c r="BL540" i="3"/>
  <c r="G533" i="3"/>
  <c r="G529" i="3"/>
  <c r="G525" i="3"/>
  <c r="BL524" i="3"/>
  <c r="BL518" i="3"/>
  <c r="BL514" i="3"/>
  <c r="BL510" i="3"/>
  <c r="BL504" i="3"/>
  <c r="BL500" i="3"/>
  <c r="BL496" i="3"/>
  <c r="G493" i="3"/>
  <c r="BA584" i="3"/>
  <c r="BA582" i="3"/>
  <c r="AZ582" i="3" s="1"/>
  <c r="BA580" i="3"/>
  <c r="AZ580" i="3" s="1"/>
  <c r="BA578" i="3"/>
  <c r="AZ578" i="3" s="1"/>
  <c r="BA576" i="3"/>
  <c r="AZ576" i="3" s="1"/>
  <c r="BA574" i="3"/>
  <c r="BA572" i="3"/>
  <c r="AZ572" i="3" s="1"/>
  <c r="BA570" i="3"/>
  <c r="AZ570" i="3" s="1"/>
  <c r="BA568" i="3"/>
  <c r="AZ568" i="3" s="1"/>
  <c r="BA566" i="3"/>
  <c r="AZ566" i="3" s="1"/>
  <c r="BA564" i="3"/>
  <c r="AZ564" i="3" s="1"/>
  <c r="BA562" i="3"/>
  <c r="AZ562" i="3" s="1"/>
  <c r="BA560" i="3"/>
  <c r="BA554" i="3"/>
  <c r="AZ554" i="3"/>
  <c r="BA552" i="3"/>
  <c r="AZ552" i="3"/>
  <c r="BA546" i="3"/>
  <c r="AZ546" i="3" s="1"/>
  <c r="BA528" i="3"/>
  <c r="AZ528" i="3" s="1"/>
  <c r="BA526" i="3"/>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BA583" i="3"/>
  <c r="BA581" i="3"/>
  <c r="AZ581" i="3" s="1"/>
  <c r="BA579" i="3"/>
  <c r="AZ579" i="3" s="1"/>
  <c r="BA575" i="3"/>
  <c r="AZ575" i="3" s="1"/>
  <c r="BA571" i="3"/>
  <c r="AZ571" i="3" s="1"/>
  <c r="BA569" i="3"/>
  <c r="BA567" i="3"/>
  <c r="AZ567" i="3" s="1"/>
  <c r="BA565" i="3"/>
  <c r="BA563" i="3"/>
  <c r="AZ563" i="3" s="1"/>
  <c r="BA559" i="3"/>
  <c r="BA555" i="3"/>
  <c r="BA553" i="3"/>
  <c r="BA549" i="3"/>
  <c r="BA547" i="3"/>
  <c r="BA543" i="3"/>
  <c r="BA539" i="3"/>
  <c r="BA535" i="3"/>
  <c r="BA531"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3" i="3"/>
  <c r="G569" i="3"/>
  <c r="G567" i="3"/>
  <c r="G565" i="3"/>
  <c r="G563" i="3"/>
  <c r="G561" i="3"/>
  <c r="BA557" i="3"/>
  <c r="AZ557" i="3" s="1"/>
  <c r="AC557" i="3"/>
  <c r="BQ557" i="3"/>
  <c r="BQ583" i="3"/>
  <c r="BL583" i="3" s="1"/>
  <c r="AZ583" i="3" s="1"/>
  <c r="BQ581" i="3"/>
  <c r="BL581" i="3"/>
  <c r="BQ579" i="3"/>
  <c r="BL579" i="3"/>
  <c r="BQ577" i="3"/>
  <c r="BQ575" i="3"/>
  <c r="BL575" i="3"/>
  <c r="BQ573" i="3"/>
  <c r="BQ571" i="3"/>
  <c r="BL571" i="3"/>
  <c r="BQ569" i="3"/>
  <c r="BL569" i="3" s="1"/>
  <c r="AZ569" i="3" s="1"/>
  <c r="BQ567" i="3"/>
  <c r="BL567" i="3"/>
  <c r="BQ565" i="3"/>
  <c r="BL565" i="3" s="1"/>
  <c r="AZ565" i="3" s="1"/>
  <c r="BQ563" i="3"/>
  <c r="BL563" i="3"/>
  <c r="BQ561" i="3"/>
  <c r="BL561" i="3"/>
  <c r="BQ559" i="3"/>
  <c r="G555" i="3"/>
  <c r="G553" i="3"/>
  <c r="G549" i="3"/>
  <c r="G545" i="3"/>
  <c r="G541" i="3"/>
  <c r="G537" i="3"/>
  <c r="BQ555" i="3"/>
  <c r="BL555" i="3"/>
  <c r="AZ555" i="3" s="1"/>
  <c r="BQ553" i="3"/>
  <c r="BL553" i="3" s="1"/>
  <c r="AZ553" i="3" s="1"/>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2" i="36"/>
  <c r="AC33" i="36"/>
  <c r="AA12" i="35"/>
  <c r="AB28" i="37"/>
  <c r="U33" i="37"/>
  <c r="W26" i="37"/>
  <c r="AC8" i="37"/>
  <c r="U26" i="37"/>
  <c r="W37" i="34"/>
  <c r="AB37" i="34"/>
  <c r="AC36" i="34"/>
  <c r="AA13" i="33"/>
  <c r="AC31" i="33"/>
  <c r="AC45" i="33"/>
  <c r="U11" i="33"/>
  <c r="U19" i="21"/>
  <c r="W44" i="21"/>
  <c r="U26" i="21"/>
  <c r="AB38" i="21"/>
  <c r="F43" i="33"/>
  <c r="AA43" i="33"/>
  <c r="W15" i="34"/>
  <c r="AC15" i="34"/>
  <c r="W16" i="35"/>
  <c r="H37" i="21"/>
  <c r="U37" i="21" s="1"/>
  <c r="S42" i="21"/>
  <c r="H19" i="34"/>
  <c r="AB19" i="34"/>
  <c r="F36" i="35"/>
  <c r="S36" i="35"/>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19" i="40"/>
  <c r="S19" i="40"/>
  <c r="S14" i="40"/>
  <c r="AB33" i="40"/>
  <c r="AC43" i="39"/>
  <c r="H37" i="39"/>
  <c r="AB37" i="39"/>
  <c r="AC37" i="39"/>
  <c r="W37" i="39"/>
  <c r="H25" i="39"/>
  <c r="AB25" i="39" s="1"/>
  <c r="J25" i="39"/>
  <c r="AC25" i="39" s="1"/>
  <c r="F25" i="39"/>
  <c r="AA25" i="39" s="1"/>
  <c r="F15" i="39"/>
  <c r="AA15" i="39" s="1"/>
  <c r="H15" i="39"/>
  <c r="U15" i="39" s="1"/>
  <c r="J15" i="39"/>
  <c r="W15" i="39" s="1"/>
  <c r="H41" i="39"/>
  <c r="AB41" i="39" s="1"/>
  <c r="AB34" i="39"/>
  <c r="W14" i="39"/>
  <c r="AA41" i="39"/>
  <c r="W9" i="39"/>
  <c r="W8" i="39"/>
  <c r="J19" i="40"/>
  <c r="AC19" i="40" s="1"/>
  <c r="J50" i="40"/>
  <c r="H103" i="9"/>
  <c r="D8" i="53" s="1"/>
  <c r="B16" i="53"/>
  <c r="B33" i="72" s="1"/>
  <c r="C7" i="37"/>
  <c r="C7" i="34"/>
  <c r="C59" i="34" s="1"/>
  <c r="D59" i="34" s="1"/>
  <c r="E59" i="34" s="1"/>
  <c r="F59" i="34" s="1"/>
  <c r="G59" i="34" s="1"/>
  <c r="H59" i="34" s="1"/>
  <c r="I59" i="34" s="1"/>
  <c r="J59" i="34" s="1"/>
  <c r="C7" i="36"/>
  <c r="W35" i="40"/>
  <c r="A118" i="9"/>
  <c r="A4" i="52"/>
  <c r="B41" i="72" s="1"/>
  <c r="A12" i="52"/>
  <c r="B56" i="72" s="1"/>
  <c r="G4" i="4"/>
  <c r="I4" i="4"/>
  <c r="K5" i="4" s="1"/>
  <c r="B47" i="48" s="1"/>
  <c r="A2" i="9"/>
  <c r="F59" i="43"/>
  <c r="H62" i="43" s="1"/>
  <c r="AZ20" i="3"/>
  <c r="AZ24" i="3"/>
  <c r="AZ28" i="3"/>
  <c r="AZ32" i="3"/>
  <c r="AZ497" i="3"/>
  <c r="BL549" i="3"/>
  <c r="AZ494" i="3"/>
  <c r="AZ51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F28" i="6" s="1"/>
  <c r="AZ549" i="3"/>
  <c r="AZ496" i="3"/>
  <c r="G538" i="3"/>
  <c r="G520" i="3"/>
  <c r="G502" i="3"/>
  <c r="BP5" i="3"/>
  <c r="AZ343" i="3"/>
  <c r="BI5" i="3"/>
  <c r="BE5" i="3"/>
  <c r="G17" i="3"/>
  <c r="BA17" i="3"/>
  <c r="BT5" i="3"/>
  <c r="AZ350" i="3"/>
  <c r="AZ352" i="3"/>
  <c r="AZ360" i="3"/>
  <c r="AZ368" i="3"/>
  <c r="BA15" i="3"/>
  <c r="AZ15" i="3"/>
  <c r="BR5" i="3"/>
  <c r="G28" i="6" s="1"/>
  <c r="AZ380" i="3"/>
  <c r="AZ388" i="3"/>
  <c r="AZ396" i="3"/>
  <c r="AZ499" i="3"/>
  <c r="G509" i="3"/>
  <c r="AZ491" i="3"/>
  <c r="AZ390" i="3"/>
  <c r="U36" i="40"/>
  <c r="F36" i="43"/>
  <c r="F81" i="43"/>
  <c r="H83" i="43"/>
  <c r="H113" i="43"/>
  <c r="F48" i="43"/>
  <c r="H52" i="43" s="1"/>
  <c r="F70" i="43"/>
  <c r="H73" i="43" s="1"/>
  <c r="M11" i="43"/>
  <c r="D17" i="43"/>
  <c r="F39" i="43"/>
  <c r="I17" i="43"/>
  <c r="F35" i="43"/>
  <c r="J17" i="43"/>
  <c r="F6" i="1"/>
  <c r="S14" i="35"/>
  <c r="U43" i="21"/>
  <c r="U35" i="21"/>
  <c r="AC35" i="21"/>
  <c r="U10" i="21"/>
  <c r="G8" i="1"/>
  <c r="G9" i="1"/>
  <c r="G10" i="1"/>
  <c r="AZ501" i="3"/>
  <c r="W37" i="37"/>
  <c r="W44" i="34"/>
  <c r="AC44" i="34"/>
  <c r="S15" i="37"/>
  <c r="U13" i="37"/>
  <c r="U12" i="40"/>
  <c r="AA12" i="40"/>
  <c r="J37" i="33"/>
  <c r="W37" i="33" s="1"/>
  <c r="AC17" i="34"/>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K6" i="1"/>
  <c r="AC27" i="34"/>
  <c r="U34" i="36"/>
  <c r="U33" i="36"/>
  <c r="AC12" i="39"/>
  <c r="W12" i="39"/>
  <c r="AC39" i="40"/>
  <c r="W39" i="40"/>
  <c r="AZ401" i="3"/>
  <c r="AZ412" i="3"/>
  <c r="AZ417" i="3"/>
  <c r="AZ428" i="3"/>
  <c r="AZ433" i="3"/>
  <c r="AZ465" i="3"/>
  <c r="W12" i="33"/>
  <c r="AA32" i="36"/>
  <c r="AZ408" i="3"/>
  <c r="AZ437" i="3"/>
  <c r="AZ441" i="3"/>
  <c r="AZ457" i="3"/>
  <c r="AZ473" i="3"/>
  <c r="AZ490" i="3"/>
  <c r="AA39" i="34"/>
  <c r="BL14" i="3"/>
  <c r="AZ266" i="3"/>
  <c r="W28" i="37"/>
  <c r="S19" i="39"/>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B41" i="1"/>
  <c r="F48" i="9" s="1"/>
  <c r="O52" i="9" s="1"/>
  <c r="J100" i="43"/>
  <c r="S35" i="40"/>
  <c r="AC36" i="40"/>
  <c r="W38" i="40"/>
  <c r="AA32" i="40"/>
  <c r="S17" i="40"/>
  <c r="S23" i="40"/>
  <c r="AC17" i="40"/>
  <c r="AC15" i="40"/>
  <c r="S30" i="40"/>
  <c r="AA19" i="40"/>
  <c r="S28" i="40"/>
  <c r="U21" i="40"/>
  <c r="AB19" i="40"/>
  <c r="W42" i="39"/>
  <c r="U37" i="39"/>
  <c r="S37" i="39"/>
  <c r="U35" i="39"/>
  <c r="U25" i="39"/>
  <c r="J21" i="39"/>
  <c r="W21" i="39" s="1"/>
  <c r="F21" i="39"/>
  <c r="AA21" i="39" s="1"/>
  <c r="H21" i="39"/>
  <c r="AB21" i="39" s="1"/>
  <c r="W19" i="39"/>
  <c r="U19" i="39"/>
  <c r="S15" i="39"/>
  <c r="AA12" i="39"/>
  <c r="S9" i="39"/>
  <c r="U14" i="39"/>
  <c r="U12" i="39"/>
  <c r="S23" i="36"/>
  <c r="U13" i="36"/>
  <c r="AB27" i="36"/>
  <c r="U26" i="36"/>
  <c r="S33" i="36"/>
  <c r="AA26" i="36"/>
  <c r="AA34" i="36"/>
  <c r="S29" i="36"/>
  <c r="AC26" i="36"/>
  <c r="AA22" i="36"/>
  <c r="W14" i="36"/>
  <c r="AB14" i="36"/>
  <c r="U22" i="36"/>
  <c r="S16" i="36"/>
  <c r="AA25" i="36"/>
  <c r="U23" i="36"/>
  <c r="AB20" i="36"/>
  <c r="U16" i="36"/>
  <c r="U10" i="36"/>
  <c r="W10" i="36"/>
  <c r="W24" i="35"/>
  <c r="U29" i="35"/>
  <c r="U28" i="35"/>
  <c r="AB27" i="35"/>
  <c r="U36" i="35"/>
  <c r="U32" i="35"/>
  <c r="AA33" i="35"/>
  <c r="AC30" i="35"/>
  <c r="AA36" i="35"/>
  <c r="W32" i="35"/>
  <c r="S28" i="35"/>
  <c r="AB16" i="35"/>
  <c r="U22" i="35"/>
  <c r="S20" i="35"/>
  <c r="AC20" i="35"/>
  <c r="S22" i="35"/>
  <c r="U14" i="35"/>
  <c r="AC10" i="35"/>
  <c r="AA10" i="35"/>
  <c r="AB10" i="35"/>
  <c r="AA11" i="35"/>
  <c r="S8" i="35"/>
  <c r="AC9" i="35"/>
  <c r="W9" i="35"/>
  <c r="AC12" i="35"/>
  <c r="F9" i="35"/>
  <c r="AA9" i="35" s="1"/>
  <c r="H9" i="35"/>
  <c r="F26" i="35"/>
  <c r="AA26" i="35" s="1"/>
  <c r="J26" i="35"/>
  <c r="AC26" i="35" s="1"/>
  <c r="H26" i="35"/>
  <c r="S25" i="37"/>
  <c r="W27" i="37"/>
  <c r="S26" i="37"/>
  <c r="AC29" i="37"/>
  <c r="U29" i="37"/>
  <c r="AB31" i="37"/>
  <c r="W30" i="37"/>
  <c r="S36" i="37"/>
  <c r="AA38" i="37"/>
  <c r="U32" i="37"/>
  <c r="W38" i="37"/>
  <c r="AC35" i="37"/>
  <c r="S30" i="37"/>
  <c r="AC15" i="37"/>
  <c r="J17" i="37"/>
  <c r="W17" i="37"/>
  <c r="F17" i="37"/>
  <c r="AA17" i="37" s="1"/>
  <c r="AB17" i="37"/>
  <c r="F75" i="37"/>
  <c r="F19" i="37"/>
  <c r="S19" i="37" s="1"/>
  <c r="F23" i="37"/>
  <c r="S23" i="37" s="1"/>
  <c r="U23" i="37"/>
  <c r="U15" i="37"/>
  <c r="AC13" i="37"/>
  <c r="AA13" i="37"/>
  <c r="AA12" i="37"/>
  <c r="H10" i="37"/>
  <c r="H60" i="37"/>
  <c r="I60" i="37" s="1"/>
  <c r="F63" i="37"/>
  <c r="F11" i="37"/>
  <c r="S11" i="37" s="1"/>
  <c r="W25" i="34"/>
  <c r="AB8" i="34"/>
  <c r="AA33" i="34"/>
  <c r="U44" i="34"/>
  <c r="U43" i="34"/>
  <c r="AC39" i="34"/>
  <c r="AC42" i="34"/>
  <c r="U39" i="34"/>
  <c r="AB41" i="34"/>
  <c r="W34" i="34"/>
  <c r="U28" i="34"/>
  <c r="S17" i="34"/>
  <c r="AA29" i="34"/>
  <c r="S23" i="34"/>
  <c r="U15" i="34"/>
  <c r="S10" i="34"/>
  <c r="H67" i="34"/>
  <c r="I67" i="34" s="1"/>
  <c r="H10" i="34"/>
  <c r="F11" i="34"/>
  <c r="S11" i="34" s="1"/>
  <c r="F70" i="34"/>
  <c r="W42" i="33"/>
  <c r="AA35" i="33"/>
  <c r="S27" i="33"/>
  <c r="S32" i="33"/>
  <c r="AA29" i="33"/>
  <c r="AB29"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F79" i="33"/>
  <c r="S15" i="33"/>
  <c r="U9" i="33"/>
  <c r="J10" i="33"/>
  <c r="W10" i="33" s="1"/>
  <c r="H10" i="33"/>
  <c r="AA10" i="33"/>
  <c r="AC11"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s="1"/>
  <c r="M20" i="67"/>
  <c r="F34" i="15"/>
  <c r="F62" i="15" s="1"/>
  <c r="G13" i="3"/>
  <c r="BA13" i="3"/>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78" i="43"/>
  <c r="C17" i="43"/>
  <c r="F33" i="43"/>
  <c r="K17" i="43"/>
  <c r="F34" i="43"/>
  <c r="N6" i="43"/>
  <c r="C6" i="43"/>
  <c r="N3" i="43"/>
  <c r="F38" i="43"/>
  <c r="F37" i="43"/>
  <c r="M9" i="43"/>
  <c r="N5" i="43"/>
  <c r="M12" i="43"/>
  <c r="B19" i="53"/>
  <c r="B37" i="72" s="1"/>
  <c r="C7" i="39"/>
  <c r="C68" i="39" s="1"/>
  <c r="D68" i="39" s="1"/>
  <c r="D70" i="39" s="1"/>
  <c r="C7" i="35"/>
  <c r="C48" i="35" s="1"/>
  <c r="D48" i="35" s="1"/>
  <c r="C7" i="33"/>
  <c r="C58" i="33" s="1"/>
  <c r="C7" i="21"/>
  <c r="C58" i="21" s="1"/>
  <c r="C7" i="40"/>
  <c r="C63" i="40" s="1"/>
  <c r="M47" i="9"/>
  <c r="G19" i="43"/>
  <c r="O19" i="43" s="1"/>
  <c r="C19" i="43" s="1"/>
  <c r="T35" i="4"/>
  <c r="A19" i="51" s="1"/>
  <c r="B14" i="72" s="1"/>
  <c r="C46" i="36"/>
  <c r="D46" i="36" s="1"/>
  <c r="C52" i="37"/>
  <c r="D52" i="37" s="1"/>
  <c r="A4" i="51"/>
  <c r="B6" i="72"/>
  <c r="C4" i="12"/>
  <c r="H65" i="43"/>
  <c r="H63" i="43"/>
  <c r="H56" i="43"/>
  <c r="L20" i="6"/>
  <c r="B6" i="1"/>
  <c r="E6" i="1" s="1"/>
  <c r="S8" i="1"/>
  <c r="AQ8" i="1" s="1"/>
  <c r="K11" i="1"/>
  <c r="M11" i="1" s="1"/>
  <c r="AP6" i="1"/>
  <c r="B9" i="1"/>
  <c r="E9" i="1"/>
  <c r="K7" i="1"/>
  <c r="M7" i="1" s="1"/>
  <c r="O7" i="1" s="1"/>
  <c r="P7" i="1" s="1"/>
  <c r="G1" i="15"/>
  <c r="G1" i="69"/>
  <c r="G1" i="67"/>
  <c r="W23" i="40"/>
  <c r="U32" i="40"/>
  <c r="S37" i="40"/>
  <c r="AB28" i="40"/>
  <c r="W28" i="40"/>
  <c r="W34" i="40"/>
  <c r="W19" i="40"/>
  <c r="S36" i="40"/>
  <c r="W37" i="40"/>
  <c r="AC14" i="40"/>
  <c r="S33" i="40"/>
  <c r="AA15" i="40"/>
  <c r="U11" i="40"/>
  <c r="U15" i="40"/>
  <c r="AB17" i="40"/>
  <c r="U8" i="40"/>
  <c r="S8" i="40"/>
  <c r="AB23" i="39"/>
  <c r="W25" i="39"/>
  <c r="U13" i="39"/>
  <c r="AA13" i="39"/>
  <c r="S13" i="39"/>
  <c r="S14" i="39"/>
  <c r="AA27" i="39"/>
  <c r="AB39" i="39"/>
  <c r="U38" i="39"/>
  <c r="S8" i="39"/>
  <c r="S20" i="36"/>
  <c r="AC25" i="36"/>
  <c r="S28" i="36"/>
  <c r="U32" i="36"/>
  <c r="W29" i="36"/>
  <c r="AC20" i="36"/>
  <c r="U25" i="36"/>
  <c r="AB28" i="36"/>
  <c r="AA13" i="36"/>
  <c r="W9" i="36"/>
  <c r="W22" i="36"/>
  <c r="W23" i="36"/>
  <c r="S9" i="36"/>
  <c r="AB20" i="35"/>
  <c r="AC25" i="35"/>
  <c r="S24" i="35"/>
  <c r="W33" i="35"/>
  <c r="AA30" i="35"/>
  <c r="AA16" i="35"/>
  <c r="AA35" i="37"/>
  <c r="W36" i="37"/>
  <c r="S27" i="37"/>
  <c r="S28" i="37"/>
  <c r="U36" i="37"/>
  <c r="U38" i="37"/>
  <c r="AB37" i="37"/>
  <c r="S33" i="37"/>
  <c r="AC34" i="37"/>
  <c r="AB35" i="37"/>
  <c r="AA31" i="37"/>
  <c r="U19" i="37"/>
  <c r="AA29" i="37"/>
  <c r="AA8" i="37"/>
  <c r="U8" i="37"/>
  <c r="AB40" i="34"/>
  <c r="U19" i="34"/>
  <c r="W19" i="34"/>
  <c r="AC45" i="34"/>
  <c r="AA30" i="34"/>
  <c r="AB47" i="34"/>
  <c r="U25" i="34"/>
  <c r="AB36" i="34"/>
  <c r="W33" i="34"/>
  <c r="AC14" i="34"/>
  <c r="AC32" i="34"/>
  <c r="AC29" i="34"/>
  <c r="W46" i="34"/>
  <c r="S32" i="34"/>
  <c r="U30" i="34"/>
  <c r="S37" i="34"/>
  <c r="U38" i="34"/>
  <c r="AC40" i="34"/>
  <c r="AA19" i="34"/>
  <c r="S19" i="34"/>
  <c r="AA36" i="34"/>
  <c r="S36" i="34"/>
  <c r="AA8" i="34"/>
  <c r="S8" i="34"/>
  <c r="AB9" i="34"/>
  <c r="U9" i="34"/>
  <c r="S46" i="34"/>
  <c r="AA46" i="34"/>
  <c r="U32" i="34"/>
  <c r="AB32" i="34"/>
  <c r="U14" i="34"/>
  <c r="AB14" i="34"/>
  <c r="AC43" i="34"/>
  <c r="W43" i="34"/>
  <c r="AA11" i="34"/>
  <c r="AC23" i="34"/>
  <c r="AC35" i="34"/>
  <c r="W35" i="34"/>
  <c r="U12" i="34"/>
  <c r="AB12" i="34"/>
  <c r="AB28" i="33"/>
  <c r="AC37" i="33"/>
  <c r="U39" i="33"/>
  <c r="U38" i="33"/>
  <c r="S33" i="33"/>
  <c r="S30" i="33"/>
  <c r="AC30" i="33"/>
  <c r="S31" i="33"/>
  <c r="W13" i="33"/>
  <c r="U15" i="33"/>
  <c r="S11" i="33"/>
  <c r="U37" i="33"/>
  <c r="AC28" i="33"/>
  <c r="S28" i="33"/>
  <c r="W8" i="33"/>
  <c r="S44" i="21"/>
  <c r="AB42" i="21"/>
  <c r="U28" i="21"/>
  <c r="AA11" i="21"/>
  <c r="F33" i="21"/>
  <c r="J33" i="21"/>
  <c r="AC33" i="21" s="1"/>
  <c r="H33" i="21"/>
  <c r="AB33" i="21"/>
  <c r="F37" i="21"/>
  <c r="AA37" i="21"/>
  <c r="AA26" i="21"/>
  <c r="AB14" i="21"/>
  <c r="U40" i="21"/>
  <c r="AB31" i="21"/>
  <c r="U31" i="21"/>
  <c r="U13" i="21"/>
  <c r="AB13" i="21"/>
  <c r="W8" i="21"/>
  <c r="S35" i="21"/>
  <c r="AB37" i="21"/>
  <c r="J37" i="21"/>
  <c r="W37" i="21"/>
  <c r="H15" i="21"/>
  <c r="U15" i="21"/>
  <c r="J17" i="21"/>
  <c r="AC17" i="21"/>
  <c r="AC19" i="21"/>
  <c r="W39" i="21"/>
  <c r="W30" i="21"/>
  <c r="H45" i="21"/>
  <c r="U45" i="21" s="1"/>
  <c r="F29" i="21"/>
  <c r="S29" i="21" s="1"/>
  <c r="F13" i="21"/>
  <c r="AA13" i="21" s="1"/>
  <c r="AC38" i="21"/>
  <c r="H32" i="21"/>
  <c r="H9" i="21"/>
  <c r="AB9" i="21" s="1"/>
  <c r="J9" i="21"/>
  <c r="J32" i="21"/>
  <c r="W32" i="21" s="1"/>
  <c r="F32" i="21"/>
  <c r="AA31" i="21"/>
  <c r="U17" i="21"/>
  <c r="W29" i="21"/>
  <c r="S19" i="21"/>
  <c r="S9" i="21"/>
  <c r="K141" i="21"/>
  <c r="K144" i="21"/>
  <c r="K143" i="21"/>
  <c r="AB25" i="21"/>
  <c r="AA30" i="21"/>
  <c r="W42" i="21"/>
  <c r="F10" i="21"/>
  <c r="AA10" i="21" s="1"/>
  <c r="K145" i="21"/>
  <c r="W17" i="21"/>
  <c r="AA29"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AR11" i="1"/>
  <c r="T13" i="1"/>
  <c r="E7" i="70"/>
  <c r="AA39" i="40"/>
  <c r="S39" i="40"/>
  <c r="S21" i="39"/>
  <c r="S26" i="35"/>
  <c r="U9" i="35"/>
  <c r="AB9" i="35"/>
  <c r="S9" i="35"/>
  <c r="W26" i="35"/>
  <c r="AB26" i="35"/>
  <c r="U26" i="35"/>
  <c r="AC17" i="37"/>
  <c r="S17" i="37"/>
  <c r="J19" i="37"/>
  <c r="G75" i="37"/>
  <c r="AA19" i="37"/>
  <c r="J23" i="37"/>
  <c r="AC23" i="37" s="1"/>
  <c r="J10" i="37"/>
  <c r="W10" i="37" s="1"/>
  <c r="G63" i="37"/>
  <c r="H11" i="37"/>
  <c r="AB10" i="37"/>
  <c r="U10" i="37"/>
  <c r="G70" i="34"/>
  <c r="H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U33" i="21"/>
  <c r="S37" i="21"/>
  <c r="AB15" i="21"/>
  <c r="J23" i="21"/>
  <c r="F85" i="21"/>
  <c r="G85" i="21" s="1"/>
  <c r="H23" i="21"/>
  <c r="AB23" i="21" s="1"/>
  <c r="D6" i="52"/>
  <c r="AR8" i="1"/>
  <c r="T8" i="1"/>
  <c r="L27" i="6"/>
  <c r="AP7" i="1"/>
  <c r="AB45" i="21"/>
  <c r="W33" i="21"/>
  <c r="S33" i="21"/>
  <c r="AA33" i="21"/>
  <c r="AC32" i="21"/>
  <c r="U9" i="21"/>
  <c r="AA32" i="21"/>
  <c r="S32" i="21"/>
  <c r="W9" i="21"/>
  <c r="AC9" i="21"/>
  <c r="AB32" i="21"/>
  <c r="U32" i="21"/>
  <c r="S10" i="21"/>
  <c r="W19" i="37"/>
  <c r="AC19" i="37"/>
  <c r="W23" i="37"/>
  <c r="AB11" i="37"/>
  <c r="U11" i="37"/>
  <c r="H63" i="37"/>
  <c r="I63" i="37" s="1"/>
  <c r="J63" i="37"/>
  <c r="K63" i="37" s="1"/>
  <c r="L63" i="37" s="1"/>
  <c r="M63" i="37" s="1"/>
  <c r="J11" i="37"/>
  <c r="W11" i="37" s="1"/>
  <c r="AC10" i="37"/>
  <c r="U11" i="34"/>
  <c r="AB11" i="34"/>
  <c r="W10" i="34"/>
  <c r="I70" i="34"/>
  <c r="J70" i="34" s="1"/>
  <c r="K70" i="34"/>
  <c r="L70" i="34" s="1"/>
  <c r="M70" i="34" s="1"/>
  <c r="J11" i="34"/>
  <c r="AC36" i="33"/>
  <c r="U36" i="33"/>
  <c r="AB36" i="33"/>
  <c r="W27" i="33"/>
  <c r="AC27" i="33"/>
  <c r="W25" i="33"/>
  <c r="AC25" i="33"/>
  <c r="AA23" i="33"/>
  <c r="AB19" i="33"/>
  <c r="U19" i="33"/>
  <c r="AA17" i="33"/>
  <c r="S17" i="33"/>
  <c r="U17" i="33"/>
  <c r="U23" i="21"/>
  <c r="AC23" i="21"/>
  <c r="W23" i="21"/>
  <c r="W11" i="34"/>
  <c r="AC11" i="34"/>
  <c r="F34" i="11"/>
  <c r="F11" i="12"/>
  <c r="F34" i="68"/>
  <c r="R8" i="1"/>
  <c r="AE7" i="1"/>
  <c r="AE8" i="1"/>
  <c r="AG6" i="1"/>
  <c r="H112" i="9"/>
  <c r="D21" i="53" s="1"/>
  <c r="B39" i="72" s="1"/>
  <c r="H111" i="9"/>
  <c r="AD3" i="71"/>
  <c r="J1" i="73"/>
  <c r="H76" i="43"/>
  <c r="H67" i="43"/>
  <c r="H60" i="43"/>
  <c r="M4" i="43"/>
  <c r="M5" i="43"/>
  <c r="N12" i="43"/>
  <c r="N11" i="43"/>
  <c r="M10" i="43"/>
  <c r="M2" i="43"/>
  <c r="M7" i="43"/>
  <c r="H54" i="43"/>
  <c r="N9" i="43"/>
  <c r="M8" i="43"/>
  <c r="N10" i="43"/>
  <c r="H48" i="43"/>
  <c r="M6" i="43"/>
  <c r="N7" i="43"/>
  <c r="N4" i="43"/>
  <c r="N2" i="43"/>
  <c r="H49" i="43"/>
  <c r="N17" i="43"/>
  <c r="L17" i="43"/>
  <c r="O17" i="43"/>
  <c r="M17" i="43"/>
  <c r="E17" i="43"/>
  <c r="C70" i="39"/>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E18" i="71"/>
  <c r="E17" i="71"/>
  <c r="G20" i="43"/>
  <c r="E68" i="39"/>
  <c r="F68" i="39" s="1"/>
  <c r="E41" i="43"/>
  <c r="C41" i="43" s="1"/>
  <c r="AO9" i="1"/>
  <c r="AO7" i="1"/>
  <c r="B11" i="76"/>
  <c r="B7" i="76"/>
  <c r="D2" i="35"/>
  <c r="E10" i="76"/>
  <c r="E9" i="76"/>
  <c r="E12" i="76"/>
  <c r="AO11" i="1"/>
  <c r="F20" i="31"/>
  <c r="D2" i="21"/>
  <c r="AO8" i="1"/>
  <c r="F4" i="73"/>
  <c r="E7" i="76"/>
  <c r="D2" i="33"/>
  <c r="AO13" i="1"/>
  <c r="AO10" i="1"/>
  <c r="C76" i="15"/>
  <c r="F8" i="67"/>
  <c r="F37" i="67"/>
  <c r="M24" i="67"/>
  <c r="E2" i="69"/>
  <c r="M29" i="67"/>
  <c r="F3" i="73"/>
  <c r="E8" i="76"/>
  <c r="M24" i="15"/>
  <c r="F43" i="15"/>
  <c r="F36" i="67"/>
  <c r="M23" i="15"/>
  <c r="F38" i="15"/>
  <c r="M29" i="15"/>
  <c r="F7" i="67"/>
  <c r="C76" i="67"/>
  <c r="F13" i="67"/>
  <c r="L47" i="15"/>
  <c r="F5" i="73"/>
  <c r="D2" i="37"/>
  <c r="F16" i="15"/>
  <c r="F26" i="67"/>
  <c r="F41" i="67"/>
  <c r="F6" i="73"/>
  <c r="F37" i="15"/>
  <c r="F7" i="73"/>
  <c r="M9" i="67"/>
  <c r="E2" i="68"/>
  <c r="M27" i="67"/>
  <c r="D6" i="73"/>
  <c r="AO12" i="1"/>
  <c r="E13" i="76"/>
  <c r="F36" i="15"/>
  <c r="D2" i="34"/>
  <c r="D4" i="73"/>
  <c r="B10" i="76"/>
  <c r="B9" i="76"/>
  <c r="L48" i="67"/>
  <c r="D3" i="73"/>
  <c r="F43" i="67"/>
  <c r="F40" i="15"/>
  <c r="F6" i="67"/>
  <c r="B13" i="76"/>
  <c r="F16" i="67"/>
  <c r="D2" i="36"/>
  <c r="B12" i="76"/>
  <c r="M28" i="15"/>
  <c r="B8" i="76"/>
  <c r="E11" i="76"/>
  <c r="D126" i="9" l="1"/>
  <c r="I14" i="74" s="1"/>
  <c r="B8" i="74" s="1"/>
  <c r="D19" i="53"/>
  <c r="S25" i="35"/>
  <c r="AA25" i="35"/>
  <c r="W35" i="35"/>
  <c r="AC35" i="35"/>
  <c r="W9" i="37"/>
  <c r="AC9" i="37"/>
  <c r="AZ577" i="3"/>
  <c r="AZ556" i="3"/>
  <c r="AZ536" i="3"/>
  <c r="AZ534" i="3"/>
  <c r="AZ532" i="3"/>
  <c r="E15" i="6"/>
  <c r="E8" i="6"/>
  <c r="E14" i="6"/>
  <c r="E64" i="39" s="1"/>
  <c r="E10" i="6"/>
  <c r="E11" i="6"/>
  <c r="E61" i="39" s="1"/>
  <c r="E16" i="71"/>
  <c r="E15" i="71" s="1"/>
  <c r="E14" i="71" s="1"/>
  <c r="E13" i="71" s="1"/>
  <c r="V17" i="71"/>
  <c r="AC11" i="37"/>
  <c r="E28" i="6"/>
  <c r="K14" i="1" s="1"/>
  <c r="M14" i="1" s="1"/>
  <c r="AZ526" i="3"/>
  <c r="AZ574" i="3"/>
  <c r="W46" i="21"/>
  <c r="AC46" i="21"/>
  <c r="AB31" i="34"/>
  <c r="U31" i="34"/>
  <c r="U45" i="34"/>
  <c r="AB45" i="34"/>
  <c r="S47" i="34"/>
  <c r="AA47" i="34"/>
  <c r="S13" i="35"/>
  <c r="AA13" i="35"/>
  <c r="U13" i="40"/>
  <c r="AB13" i="40"/>
  <c r="AB27" i="40"/>
  <c r="U27" i="40"/>
  <c r="AZ573" i="3"/>
  <c r="AZ558" i="3"/>
  <c r="AZ544" i="3"/>
  <c r="AZ542" i="3"/>
  <c r="G5" i="3"/>
  <c r="B3" i="3" s="1"/>
  <c r="E391" i="3" s="1"/>
  <c r="AA28" i="34"/>
  <c r="S28" i="34"/>
  <c r="W34" i="36"/>
  <c r="AC34" i="36"/>
  <c r="W11" i="40"/>
  <c r="AC11" i="40"/>
  <c r="AC34" i="35"/>
  <c r="W34" i="35"/>
  <c r="H14" i="33"/>
  <c r="F14" i="33"/>
  <c r="J14" i="33"/>
  <c r="J24" i="36"/>
  <c r="H24" i="36"/>
  <c r="F24" i="36"/>
  <c r="J39" i="37"/>
  <c r="H39" i="37"/>
  <c r="E91" i="39"/>
  <c r="J17" i="39"/>
  <c r="AB38" i="40"/>
  <c r="U38" i="40"/>
  <c r="U42" i="34"/>
  <c r="AB42" i="34"/>
  <c r="S39" i="37"/>
  <c r="AA39" i="37"/>
  <c r="AB8" i="33"/>
  <c r="U8" i="33"/>
  <c r="AA9" i="33"/>
  <c r="S9" i="33"/>
  <c r="U12" i="33"/>
  <c r="AB12" i="33"/>
  <c r="AB35" i="33"/>
  <c r="U35" i="33"/>
  <c r="AA34" i="34"/>
  <c r="S34" i="34"/>
  <c r="J44" i="33"/>
  <c r="F44" i="33"/>
  <c r="J46" i="33"/>
  <c r="F46" i="33"/>
  <c r="H46" i="33"/>
  <c r="H13" i="34"/>
  <c r="J13" i="34"/>
  <c r="F13" i="34"/>
  <c r="J12" i="36"/>
  <c r="H12" i="36"/>
  <c r="AC40" i="39"/>
  <c r="W40" i="39"/>
  <c r="H45" i="39"/>
  <c r="F45" i="39"/>
  <c r="J45" i="39"/>
  <c r="AB9" i="40"/>
  <c r="U9" i="40"/>
  <c r="W38" i="34"/>
  <c r="AC38" i="34"/>
  <c r="BA551" i="3"/>
  <c r="AZ551" i="3" s="1"/>
  <c r="C20" i="43"/>
  <c r="H74" i="43"/>
  <c r="H70" i="43"/>
  <c r="H61" i="43"/>
  <c r="H59" i="43"/>
  <c r="H51" i="43"/>
  <c r="H77" i="43"/>
  <c r="C23" i="12"/>
  <c r="E13" i="3"/>
  <c r="S13" i="21"/>
  <c r="AA23" i="21"/>
  <c r="AA23" i="37"/>
  <c r="D9" i="69"/>
  <c r="C9" i="69" s="1"/>
  <c r="F30" i="11"/>
  <c r="C48" i="11" s="1"/>
  <c r="W12" i="21"/>
  <c r="AC27" i="21"/>
  <c r="W31" i="21"/>
  <c r="W25" i="21"/>
  <c r="AC45" i="21"/>
  <c r="W13" i="21"/>
  <c r="AB44" i="21"/>
  <c r="S46" i="21"/>
  <c r="AC14" i="21"/>
  <c r="AC15" i="21"/>
  <c r="AB46" i="21"/>
  <c r="S45" i="21"/>
  <c r="W9" i="33"/>
  <c r="AB34" i="33"/>
  <c r="AA31" i="34"/>
  <c r="AB33" i="34"/>
  <c r="AA40" i="34"/>
  <c r="AA11" i="37"/>
  <c r="W32" i="37"/>
  <c r="U24" i="35"/>
  <c r="W34" i="39"/>
  <c r="S31" i="40"/>
  <c r="AB31" i="40"/>
  <c r="H72" i="43"/>
  <c r="H55" i="43"/>
  <c r="H64" i="43"/>
  <c r="H66" i="43"/>
  <c r="H71" i="43"/>
  <c r="H53" i="43"/>
  <c r="G17" i="43"/>
  <c r="C16" i="43" s="1"/>
  <c r="W15" i="33"/>
  <c r="W38" i="33"/>
  <c r="U27" i="34"/>
  <c r="AA25" i="34"/>
  <c r="S43" i="34"/>
  <c r="AB35" i="34"/>
  <c r="W41" i="34"/>
  <c r="S37" i="37"/>
  <c r="S32" i="37"/>
  <c r="W13" i="35"/>
  <c r="S32" i="35"/>
  <c r="S14" i="36"/>
  <c r="S27" i="36"/>
  <c r="AC27" i="36"/>
  <c r="AC13" i="39"/>
  <c r="AB15" i="39"/>
  <c r="AC15" i="39"/>
  <c r="U35" i="40"/>
  <c r="AB37" i="40"/>
  <c r="AA34" i="33"/>
  <c r="F12" i="33"/>
  <c r="H50" i="43"/>
  <c r="F27" i="40"/>
  <c r="J27" i="40"/>
  <c r="BN5" i="3"/>
  <c r="G29" i="6" s="1"/>
  <c r="E29" i="6" s="1"/>
  <c r="BM5" i="3"/>
  <c r="F29" i="6" s="1"/>
  <c r="F30" i="6" s="1"/>
  <c r="AA25" i="21"/>
  <c r="F9" i="37"/>
  <c r="H9" i="37"/>
  <c r="W47" i="34"/>
  <c r="AA12" i="21"/>
  <c r="AC28" i="34"/>
  <c r="AB11" i="21"/>
  <c r="J14" i="37"/>
  <c r="F14" i="37"/>
  <c r="F13" i="40"/>
  <c r="J13" i="40"/>
  <c r="H43" i="39"/>
  <c r="F43" i="39"/>
  <c r="H35" i="35"/>
  <c r="F35" i="35"/>
  <c r="H25" i="35"/>
  <c r="H13" i="35"/>
  <c r="F45" i="34"/>
  <c r="H29" i="34"/>
  <c r="H44" i="33"/>
  <c r="H30" i="33"/>
  <c r="H27" i="21"/>
  <c r="AB17" i="34"/>
  <c r="AA41" i="33"/>
  <c r="S41" i="33"/>
  <c r="U23" i="34"/>
  <c r="AB23" i="34"/>
  <c r="F27" i="34"/>
  <c r="AB33" i="35"/>
  <c r="U33" i="35"/>
  <c r="F12" i="36"/>
  <c r="J31" i="39"/>
  <c r="E101" i="39"/>
  <c r="U40" i="40"/>
  <c r="W8" i="40"/>
  <c r="W9" i="34"/>
  <c r="S34" i="35"/>
  <c r="U31" i="36"/>
  <c r="U14" i="37"/>
  <c r="AA41" i="21"/>
  <c r="H12" i="21"/>
  <c r="BL587" i="3"/>
  <c r="AZ587" i="3" s="1"/>
  <c r="BL585" i="3"/>
  <c r="AZ585" i="3" s="1"/>
  <c r="AC33" i="33"/>
  <c r="W33" i="33"/>
  <c r="J26" i="33"/>
  <c r="F26" i="33"/>
  <c r="H26" i="33"/>
  <c r="S12" i="34"/>
  <c r="AA12" i="34"/>
  <c r="AA35" i="34"/>
  <c r="S35" i="34"/>
  <c r="AB34" i="35"/>
  <c r="U34" i="35"/>
  <c r="H23" i="35"/>
  <c r="J23" i="35"/>
  <c r="F23" i="35"/>
  <c r="J11" i="36"/>
  <c r="H11" i="36"/>
  <c r="F11" i="36"/>
  <c r="S31" i="36"/>
  <c r="AA31" i="36"/>
  <c r="H40" i="37"/>
  <c r="J40" i="37"/>
  <c r="F40" i="37"/>
  <c r="AA44" i="39"/>
  <c r="S44" i="39"/>
  <c r="H44" i="39"/>
  <c r="J44" i="39"/>
  <c r="AA38" i="39"/>
  <c r="S38" i="39"/>
  <c r="S9" i="40"/>
  <c r="AA9" i="40"/>
  <c r="U39" i="40"/>
  <c r="AB39" i="40"/>
  <c r="AA38" i="40"/>
  <c r="S38" i="40"/>
  <c r="F36" i="39"/>
  <c r="H36" i="39"/>
  <c r="J36" i="39"/>
  <c r="BL550" i="3"/>
  <c r="BL5" i="3" s="1"/>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Z177" i="3"/>
  <c r="AZ399" i="3"/>
  <c r="AZ404" i="3"/>
  <c r="AZ409" i="3"/>
  <c r="AZ464" i="3"/>
  <c r="AZ467" i="3"/>
  <c r="AZ480" i="3"/>
  <c r="AZ267" i="3"/>
  <c r="M108" i="43"/>
  <c r="M100" i="43"/>
  <c r="I108" i="43"/>
  <c r="I100" i="43"/>
  <c r="E108" i="43"/>
  <c r="E100" i="43"/>
  <c r="AB22" i="71"/>
  <c r="AB24" i="71"/>
  <c r="AB25" i="71"/>
  <c r="D37" i="71"/>
  <c r="T37" i="71"/>
  <c r="AB31" i="71"/>
  <c r="AB30" i="71"/>
  <c r="AA32" i="71"/>
  <c r="AA33" i="71"/>
  <c r="D39" i="71"/>
  <c r="C40" i="71"/>
  <c r="D49" i="71"/>
  <c r="T49" i="71"/>
  <c r="C52" i="71"/>
  <c r="D51" i="71"/>
  <c r="D60" i="71"/>
  <c r="C61" i="71"/>
  <c r="AZ193" i="3"/>
  <c r="AZ205" i="3"/>
  <c r="AZ23" i="3"/>
  <c r="AZ38" i="3"/>
  <c r="AZ48" i="3"/>
  <c r="AZ52" i="3"/>
  <c r="AZ64" i="3"/>
  <c r="AZ68" i="3"/>
  <c r="AZ108" i="3"/>
  <c r="K100" i="43"/>
  <c r="D108" i="43"/>
  <c r="D100" i="43"/>
  <c r="AC21" i="33"/>
  <c r="AC21" i="37"/>
  <c r="AB18" i="36"/>
  <c r="U18" i="36"/>
  <c r="D36" i="71"/>
  <c r="AA25" i="71"/>
  <c r="AB23" i="71"/>
  <c r="D59" i="71"/>
  <c r="C33" i="71"/>
  <c r="D32" i="71"/>
  <c r="AA29" i="71"/>
  <c r="AA30" i="71"/>
  <c r="B32" i="71"/>
  <c r="B33" i="71" s="1"/>
  <c r="S33" i="71" s="1"/>
  <c r="Y28" i="71"/>
  <c r="Z28" i="71" s="1"/>
  <c r="C29" i="71"/>
  <c r="Y22" i="71"/>
  <c r="Z22" i="71" s="1"/>
  <c r="Y24" i="71"/>
  <c r="Z24" i="71" s="1"/>
  <c r="AB28" i="71"/>
  <c r="X28" i="71"/>
  <c r="X29" i="71"/>
  <c r="X26" i="71"/>
  <c r="X23" i="71"/>
  <c r="AB29" i="71"/>
  <c r="AB26" i="71"/>
  <c r="AA28" i="71"/>
  <c r="AA35" i="71"/>
  <c r="AA34" i="71"/>
  <c r="X6" i="71"/>
  <c r="X7" i="71"/>
  <c r="X36" i="71"/>
  <c r="X32" i="71"/>
  <c r="E40" i="71"/>
  <c r="E41" i="71" s="1"/>
  <c r="U41" i="71" s="1"/>
  <c r="C23" i="71"/>
  <c r="D23" i="71" s="1"/>
  <c r="D24" i="71"/>
  <c r="B24" i="71"/>
  <c r="B23" i="71" s="1"/>
  <c r="S25" i="71"/>
  <c r="E36" i="71"/>
  <c r="E37" i="71" s="1"/>
  <c r="U37" i="71" s="1"/>
  <c r="T25" i="71"/>
  <c r="D25" i="71"/>
  <c r="U25" i="71" s="1"/>
  <c r="X22" i="7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7" i="71"/>
  <c r="AB36" i="71"/>
  <c r="Q62" i="71"/>
  <c r="Q63" i="71"/>
  <c r="Z12" i="43"/>
  <c r="Z10" i="43"/>
  <c r="AD12" i="43"/>
  <c r="AD10" i="43"/>
  <c r="AH12" i="43"/>
  <c r="AH10" i="43"/>
  <c r="Y19" i="71"/>
  <c r="Z19" i="71" s="1"/>
  <c r="AB20" i="71"/>
  <c r="AA18" i="71"/>
  <c r="Y15" i="71"/>
  <c r="Z15" i="71" s="1"/>
  <c r="AB15" i="71"/>
  <c r="X14" i="71"/>
  <c r="AA14" i="71"/>
  <c r="N65" i="71"/>
  <c r="Y6" i="71"/>
  <c r="Z6" i="71" s="1"/>
  <c r="Y7" i="71"/>
  <c r="Z7" i="71" s="1"/>
  <c r="AA6" i="71"/>
  <c r="AA7" i="71"/>
  <c r="B64" i="71"/>
  <c r="AF10" i="43"/>
  <c r="AC12" i="43"/>
  <c r="AC10" i="43"/>
  <c r="AG12" i="43"/>
  <c r="AG10" i="43"/>
  <c r="X21" i="71"/>
  <c r="Y21" i="71"/>
  <c r="Z21" i="71" s="1"/>
  <c r="AA20" i="71"/>
  <c r="X19" i="71"/>
  <c r="X15" i="71"/>
  <c r="Y10" i="71"/>
  <c r="Z10" i="71" s="1"/>
  <c r="Y14" i="71"/>
  <c r="Z14" i="71" s="1"/>
  <c r="AB14" i="71"/>
  <c r="Y18" i="71"/>
  <c r="Z18" i="71" s="1"/>
  <c r="AA19" i="71"/>
  <c r="AB18" i="71"/>
  <c r="X18" i="71"/>
  <c r="AA15" i="71"/>
  <c r="X12" i="71"/>
  <c r="AA12" i="71"/>
  <c r="AB9" i="71"/>
  <c r="AB10" i="71"/>
  <c r="Y8" i="71"/>
  <c r="Z8" i="71" s="1"/>
  <c r="Y11" i="71"/>
  <c r="Z11" i="71" s="1"/>
  <c r="AA9" i="71"/>
  <c r="X9" i="71"/>
  <c r="X10" i="71"/>
  <c r="AA21" i="71"/>
  <c r="AB21" i="71"/>
  <c r="B21" i="71"/>
  <c r="C21" i="71"/>
  <c r="Y20" i="71"/>
  <c r="Z20" i="71" s="1"/>
  <c r="AB12" i="71"/>
  <c r="AB8" i="71"/>
  <c r="AB11" i="71"/>
  <c r="Y9" i="71"/>
  <c r="Z9" i="71" s="1"/>
  <c r="AA8" i="71"/>
  <c r="AA10" i="71"/>
  <c r="AA11" i="71"/>
  <c r="X8" i="71"/>
  <c r="X11" i="71"/>
  <c r="U42" i="39"/>
  <c r="F107" i="39"/>
  <c r="J32" i="39"/>
  <c r="U31" i="39"/>
  <c r="S31" i="39"/>
  <c r="S25" i="39"/>
  <c r="AC21" i="39"/>
  <c r="U21" i="39"/>
  <c r="U41" i="39"/>
  <c r="AC41" i="39"/>
  <c r="S42" i="39"/>
  <c r="U40" i="39"/>
  <c r="AA39" i="39"/>
  <c r="W39" i="39"/>
  <c r="S29" i="39"/>
  <c r="S23" i="39"/>
  <c r="W23" i="39"/>
  <c r="S17" i="39"/>
  <c r="F81" i="39"/>
  <c r="G81" i="39" s="1"/>
  <c r="H81" i="39" s="1"/>
  <c r="I81" i="39" s="1"/>
  <c r="J81" i="39" s="1"/>
  <c r="K81" i="39" s="1"/>
  <c r="L81" i="39" s="1"/>
  <c r="M81" i="39" s="1"/>
  <c r="H11" i="39"/>
  <c r="F11" i="39"/>
  <c r="AA11" i="39" s="1"/>
  <c r="J11" i="39"/>
  <c r="W11" i="39" s="1"/>
  <c r="U9" i="39"/>
  <c r="C36" i="69"/>
  <c r="C94" i="9"/>
  <c r="C92" i="9"/>
  <c r="F30" i="69"/>
  <c r="F48" i="69" s="1"/>
  <c r="D68" i="9"/>
  <c r="M18" i="15"/>
  <c r="F52" i="9"/>
  <c r="C30" i="69"/>
  <c r="F32" i="15"/>
  <c r="F60" i="15" s="1"/>
  <c r="F32" i="67"/>
  <c r="F60" i="67" s="1"/>
  <c r="F28" i="67"/>
  <c r="C28" i="67" s="1"/>
  <c r="C24" i="12"/>
  <c r="C77" i="9"/>
  <c r="C74" i="9" s="1"/>
  <c r="C13" i="12"/>
  <c r="C36" i="11"/>
  <c r="C30" i="11"/>
  <c r="F54" i="9"/>
  <c r="F28" i="15"/>
  <c r="C28" i="15" s="1"/>
  <c r="M18" i="67"/>
  <c r="F31" i="12"/>
  <c r="C31" i="12" s="1"/>
  <c r="F30" i="68"/>
  <c r="F53" i="9"/>
  <c r="C21" i="69"/>
  <c r="D22" i="67"/>
  <c r="C34" i="69"/>
  <c r="C35" i="69" s="1"/>
  <c r="E175"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217" i="3"/>
  <c r="E366" i="3"/>
  <c r="E526" i="3"/>
  <c r="E553" i="3"/>
  <c r="E268" i="3"/>
  <c r="E282" i="3"/>
  <c r="E322" i="3"/>
  <c r="N6" i="3"/>
  <c r="AJ6" i="3"/>
  <c r="E143" i="3"/>
  <c r="E337" i="3"/>
  <c r="E410" i="3"/>
  <c r="E555" i="3"/>
  <c r="E388" i="3"/>
  <c r="M18" i="9"/>
  <c r="B118" i="9" s="1"/>
  <c r="B14" i="74" s="1"/>
  <c r="B1" i="74" s="1"/>
  <c r="C8" i="74" s="1"/>
  <c r="E60" i="40"/>
  <c r="E65" i="39"/>
  <c r="E56" i="40"/>
  <c r="E13" i="6"/>
  <c r="E53" i="3"/>
  <c r="E12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12" i="6"/>
  <c r="E30" i="6"/>
  <c r="K15" i="1"/>
  <c r="K16" i="1" s="1"/>
  <c r="F27" i="6"/>
  <c r="E51" i="40"/>
  <c r="E56" i="39"/>
  <c r="E59" i="40"/>
  <c r="D19" i="12"/>
  <c r="C19" i="12" s="1"/>
  <c r="O11" i="1"/>
  <c r="P11" i="1" s="1"/>
  <c r="O9" i="1"/>
  <c r="P9" i="1" s="1"/>
  <c r="O14" i="1"/>
  <c r="P14" i="1" s="1"/>
  <c r="O12" i="1"/>
  <c r="P12" i="1" s="1"/>
  <c r="M16" i="1"/>
  <c r="O8" i="1"/>
  <c r="C34" i="11"/>
  <c r="C38" i="11" s="1"/>
  <c r="H16" i="1"/>
  <c r="Q16" i="1"/>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2" i="1"/>
  <c r="G16" i="1" s="1"/>
  <c r="AB5" i="71"/>
  <c r="Y5" i="71"/>
  <c r="Z5" i="71" s="1"/>
  <c r="AA5" i="71"/>
  <c r="X5" i="71"/>
  <c r="D12" i="52"/>
  <c r="D127" i="9"/>
  <c r="D13" i="52" s="1"/>
  <c r="E70" i="39"/>
  <c r="C5" i="43"/>
  <c r="T11" i="43" s="1"/>
  <c r="V11" i="43" s="1"/>
  <c r="D5" i="43"/>
  <c r="C35" i="43" s="1"/>
  <c r="E35"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2" i="43"/>
  <c r="V12" i="43" s="1"/>
  <c r="Y13" i="71"/>
  <c r="Z13" i="71" s="1"/>
  <c r="Y12" i="71"/>
  <c r="AA13" i="71"/>
  <c r="AB3" i="71"/>
  <c r="C36" i="43"/>
  <c r="E36" i="43" s="1"/>
  <c r="T9" i="43"/>
  <c r="V9" i="43" s="1"/>
  <c r="C39" i="43"/>
  <c r="X13" i="71"/>
  <c r="AB13" i="71"/>
  <c r="Z12" i="71"/>
  <c r="Y3" i="71"/>
  <c r="Z3" i="71" s="1"/>
  <c r="F13" i="71"/>
  <c r="F12" i="71" s="1"/>
  <c r="F11" i="71" s="1"/>
  <c r="F10" i="71" s="1"/>
  <c r="F9" i="71" s="1"/>
  <c r="F8" i="71" s="1"/>
  <c r="F7" i="71" s="1"/>
  <c r="F6" i="71" s="1"/>
  <c r="F5" i="71" s="1"/>
  <c r="AF3" i="71"/>
  <c r="P22" i="43" s="1"/>
  <c r="C34" i="43"/>
  <c r="T10" i="43"/>
  <c r="V10" i="43" s="1"/>
  <c r="C33" i="43"/>
  <c r="T13" i="43"/>
  <c r="V13" i="43" s="1"/>
  <c r="C38" i="43"/>
  <c r="B10" i="70"/>
  <c r="Q71" i="15"/>
  <c r="K1" i="73"/>
  <c r="B20" i="31"/>
  <c r="B21" i="31" s="1"/>
  <c r="I1" i="73"/>
  <c r="B39" i="1" s="1"/>
  <c r="F51" i="67"/>
  <c r="F65" i="67"/>
  <c r="B12" i="70"/>
  <c r="J53" i="67"/>
  <c r="J57" i="67"/>
  <c r="J55" i="67" s="1"/>
  <c r="J58" i="67" s="1"/>
  <c r="Q50" i="67" s="1"/>
  <c r="L56" i="67"/>
  <c r="I54" i="67"/>
  <c r="F71" i="15"/>
  <c r="B7" i="70"/>
  <c r="F69" i="67"/>
  <c r="B11" i="70"/>
  <c r="L59" i="15"/>
  <c r="N59" i="15"/>
  <c r="M59" i="15"/>
  <c r="B8" i="70"/>
  <c r="F66" i="15"/>
  <c r="Q71" i="67"/>
  <c r="F64" i="15"/>
  <c r="C27" i="67"/>
  <c r="F71" i="67"/>
  <c r="F65" i="15"/>
  <c r="B9" i="70"/>
  <c r="B13" i="70"/>
  <c r="M7" i="67"/>
  <c r="F50" i="67"/>
  <c r="F64" i="67"/>
  <c r="F68" i="15"/>
  <c r="D5" i="73"/>
  <c r="M8" i="67"/>
  <c r="M23" i="67"/>
  <c r="F38" i="67"/>
  <c r="L47" i="67"/>
  <c r="F9" i="15"/>
  <c r="F7" i="15"/>
  <c r="F13" i="15"/>
  <c r="F40" i="67"/>
  <c r="M28" i="67"/>
  <c r="F8" i="15"/>
  <c r="J15" i="67"/>
  <c r="M22" i="67"/>
  <c r="M27" i="15"/>
  <c r="C36" i="68"/>
  <c r="C16" i="15"/>
  <c r="D9" i="68"/>
  <c r="D7" i="73"/>
  <c r="M6" i="15"/>
  <c r="M6" i="67"/>
  <c r="L48" i="15"/>
  <c r="M8" i="15"/>
  <c r="M22" i="15"/>
  <c r="F9" i="67"/>
  <c r="F42" i="15"/>
  <c r="F26" i="15"/>
  <c r="M26" i="67"/>
  <c r="M9" i="15"/>
  <c r="F42" i="67"/>
  <c r="J15" i="15"/>
  <c r="M26" i="15"/>
  <c r="F6" i="15"/>
  <c r="C16" i="67"/>
  <c r="G1" i="73"/>
  <c r="C6" i="15" l="1"/>
  <c r="C32" i="15" s="1"/>
  <c r="F70" i="67"/>
  <c r="C27" i="15"/>
  <c r="C6" i="67"/>
  <c r="C32" i="67" s="1"/>
  <c r="J53" i="15"/>
  <c r="L56" i="15" s="1"/>
  <c r="I54" i="15"/>
  <c r="L58" i="15"/>
  <c r="Q60" i="15" s="1"/>
  <c r="J57" i="15"/>
  <c r="J55" i="15" s="1"/>
  <c r="J58" i="15" s="1"/>
  <c r="Q50" i="15" s="1"/>
  <c r="F51" i="15"/>
  <c r="F68" i="67"/>
  <c r="F50" i="15"/>
  <c r="M7" i="15"/>
  <c r="J6" i="15" s="1"/>
  <c r="N59" i="67"/>
  <c r="L58" i="67"/>
  <c r="Q73" i="67" s="1"/>
  <c r="L59" i="67"/>
  <c r="Q61" i="67" s="1"/>
  <c r="M59" i="67"/>
  <c r="F66" i="67"/>
  <c r="J6" i="67"/>
  <c r="J18" i="67" s="1"/>
  <c r="F31" i="6"/>
  <c r="C20" i="71"/>
  <c r="D21" i="71"/>
  <c r="U21" i="71" s="1"/>
  <c r="T21" i="71"/>
  <c r="D29" i="71"/>
  <c r="T29" i="71"/>
  <c r="D33" i="71"/>
  <c r="T33" i="71"/>
  <c r="C53" i="71"/>
  <c r="D52" i="71"/>
  <c r="AC36" i="39"/>
  <c r="W36" i="39"/>
  <c r="S36" i="39"/>
  <c r="AA36" i="39"/>
  <c r="U44" i="39"/>
  <c r="AB44" i="39"/>
  <c r="W40" i="37"/>
  <c r="AC40" i="37"/>
  <c r="AA11" i="36"/>
  <c r="S11" i="36"/>
  <c r="AC11" i="36"/>
  <c r="W11" i="36"/>
  <c r="AC23" i="35"/>
  <c r="W23" i="35"/>
  <c r="AB26" i="33"/>
  <c r="U26" i="33"/>
  <c r="AC26" i="33"/>
  <c r="W26" i="33"/>
  <c r="W31" i="39"/>
  <c r="AC31" i="39"/>
  <c r="AA27" i="34"/>
  <c r="S27" i="34"/>
  <c r="AB27" i="21"/>
  <c r="U27" i="21"/>
  <c r="AB44" i="33"/>
  <c r="U44" i="33"/>
  <c r="S45" i="34"/>
  <c r="AA45" i="34"/>
  <c r="U25" i="35"/>
  <c r="AB25" i="35"/>
  <c r="U35" i="35"/>
  <c r="AB35" i="35"/>
  <c r="AB43" i="39"/>
  <c r="U43" i="39"/>
  <c r="S13" i="40"/>
  <c r="AA13" i="40"/>
  <c r="AC14" i="37"/>
  <c r="W14" i="37"/>
  <c r="S9" i="37"/>
  <c r="AA9" i="37"/>
  <c r="W27" i="40"/>
  <c r="AC27" i="40"/>
  <c r="BA5" i="3"/>
  <c r="W45" i="39"/>
  <c r="AC45" i="39"/>
  <c r="AB45" i="39"/>
  <c r="U45" i="39"/>
  <c r="W12" i="36"/>
  <c r="AC12" i="36"/>
  <c r="AC13" i="34"/>
  <c r="W13" i="34"/>
  <c r="AB46" i="33"/>
  <c r="U46" i="33"/>
  <c r="W46" i="33"/>
  <c r="AC46" i="33"/>
  <c r="W44" i="33"/>
  <c r="AC44" i="33"/>
  <c r="F91" i="39"/>
  <c r="G91" i="39" s="1"/>
  <c r="H17" i="39"/>
  <c r="AC39" i="37"/>
  <c r="W39" i="37"/>
  <c r="U24" i="36"/>
  <c r="AB24" i="36"/>
  <c r="W14" i="33"/>
  <c r="AC14" i="33"/>
  <c r="U14" i="33"/>
  <c r="AB14" i="33"/>
  <c r="E548" i="3"/>
  <c r="E571" i="3"/>
  <c r="E574" i="3"/>
  <c r="E496" i="3"/>
  <c r="E577" i="3"/>
  <c r="E379" i="3"/>
  <c r="E129" i="3"/>
  <c r="E522" i="3"/>
  <c r="E498" i="3"/>
  <c r="E357" i="3"/>
  <c r="E324" i="3"/>
  <c r="E346" i="3"/>
  <c r="E542" i="3"/>
  <c r="E557" i="3"/>
  <c r="E575" i="3"/>
  <c r="E537" i="3"/>
  <c r="E326" i="3"/>
  <c r="E372" i="3"/>
  <c r="E145" i="3"/>
  <c r="G30" i="6"/>
  <c r="G31" i="6" s="1"/>
  <c r="B38" i="72"/>
  <c r="D20" i="53"/>
  <c r="B40" i="72" s="1"/>
  <c r="E16" i="6"/>
  <c r="B20" i="71"/>
  <c r="B19" i="71" s="1"/>
  <c r="B18" i="71" s="1"/>
  <c r="B17" i="71" s="1"/>
  <c r="S21" i="71"/>
  <c r="N64" i="71"/>
  <c r="B63" i="71"/>
  <c r="D61" i="71"/>
  <c r="T61" i="71"/>
  <c r="C41" i="71"/>
  <c r="D40" i="71"/>
  <c r="U36" i="39"/>
  <c r="AB36" i="39"/>
  <c r="AC44" i="39"/>
  <c r="W44" i="39"/>
  <c r="AA40" i="37"/>
  <c r="S40" i="37"/>
  <c r="U40" i="37"/>
  <c r="AB40" i="37"/>
  <c r="AB11" i="36"/>
  <c r="U11" i="36"/>
  <c r="AA23" i="35"/>
  <c r="S23" i="35"/>
  <c r="AB23" i="35"/>
  <c r="U23" i="35"/>
  <c r="AA26" i="33"/>
  <c r="S26" i="33"/>
  <c r="AB12" i="21"/>
  <c r="U12" i="21"/>
  <c r="F101" i="39"/>
  <c r="G101" i="39" s="1"/>
  <c r="J27" i="39"/>
  <c r="H27" i="39"/>
  <c r="AA12" i="36"/>
  <c r="S12" i="36"/>
  <c r="AB30" i="33"/>
  <c r="U30" i="33"/>
  <c r="AB29" i="34"/>
  <c r="U29" i="34"/>
  <c r="U13" i="35"/>
  <c r="AB13" i="35"/>
  <c r="S35" i="35"/>
  <c r="AA35" i="35"/>
  <c r="AA43" i="39"/>
  <c r="S43" i="39"/>
  <c r="AC13" i="40"/>
  <c r="W13" i="40"/>
  <c r="AA14" i="37"/>
  <c r="S14" i="37"/>
  <c r="U9" i="37"/>
  <c r="AB9" i="37"/>
  <c r="AA27" i="40"/>
  <c r="S27" i="40"/>
  <c r="S12" i="33"/>
  <c r="AA12" i="33"/>
  <c r="AA45" i="39"/>
  <c r="S45" i="39"/>
  <c r="AB12" i="36"/>
  <c r="U12" i="36"/>
  <c r="AA13" i="34"/>
  <c r="S13" i="34"/>
  <c r="U13" i="34"/>
  <c r="AB13" i="34"/>
  <c r="AA46" i="33"/>
  <c r="S46" i="33"/>
  <c r="S44" i="33"/>
  <c r="AA44" i="33"/>
  <c r="AC17" i="39"/>
  <c r="W17" i="39"/>
  <c r="AB39" i="37"/>
  <c r="U39" i="37"/>
  <c r="S24" i="36"/>
  <c r="AA24" i="36"/>
  <c r="AC24" i="36"/>
  <c r="W24" i="36"/>
  <c r="AA14" i="33"/>
  <c r="S14" i="33"/>
  <c r="O6" i="3"/>
  <c r="H6" i="3" s="1"/>
  <c r="E97" i="3"/>
  <c r="S6" i="3"/>
  <c r="E523" i="3"/>
  <c r="E506" i="3"/>
  <c r="E418" i="3"/>
  <c r="E338" i="3"/>
  <c r="E298" i="3"/>
  <c r="E169" i="3"/>
  <c r="E61" i="3"/>
  <c r="E135" i="3"/>
  <c r="E290" i="3"/>
  <c r="E117" i="3"/>
  <c r="E207" i="3"/>
  <c r="E252" i="3"/>
  <c r="E271" i="3"/>
  <c r="E204" i="3"/>
  <c r="E164" i="3"/>
  <c r="E107" i="3"/>
  <c r="E327" i="3"/>
  <c r="E585" i="3"/>
  <c r="Z6" i="3"/>
  <c r="U6" i="3"/>
  <c r="AG6" i="3"/>
  <c r="E515" i="3"/>
  <c r="AO6" i="3"/>
  <c r="E411" i="3"/>
  <c r="E458" i="3"/>
  <c r="E456" i="3"/>
  <c r="E472" i="3"/>
  <c r="E486" i="3"/>
  <c r="E474" i="3"/>
  <c r="E469" i="3"/>
  <c r="E481" i="3"/>
  <c r="E507" i="3"/>
  <c r="E406" i="3"/>
  <c r="E422" i="3"/>
  <c r="E438" i="3"/>
  <c r="E408" i="3"/>
  <c r="E424" i="3"/>
  <c r="E440" i="3"/>
  <c r="E457" i="3"/>
  <c r="E451" i="3"/>
  <c r="E465" i="3"/>
  <c r="E490" i="3"/>
  <c r="E288" i="3"/>
  <c r="E360" i="3"/>
  <c r="E344" i="3"/>
  <c r="E556" i="3"/>
  <c r="E587" i="3"/>
  <c r="AH6" i="3"/>
  <c r="W6" i="3"/>
  <c r="AE6" i="3"/>
  <c r="J6" i="3"/>
  <c r="E494"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524" i="3"/>
  <c r="E22" i="3"/>
  <c r="E101" i="3"/>
  <c r="E83" i="3"/>
  <c r="E285" i="3"/>
  <c r="E270" i="3"/>
  <c r="E533" i="3"/>
  <c r="AR6" i="3"/>
  <c r="E561" i="3"/>
  <c r="E538" i="3"/>
  <c r="E439" i="3"/>
  <c r="E380" i="3"/>
  <c r="E231" i="3"/>
  <c r="E216" i="3"/>
  <c r="E185" i="3"/>
  <c r="E254" i="3"/>
  <c r="E91" i="3"/>
  <c r="E221" i="3"/>
  <c r="E180" i="3"/>
  <c r="E149" i="3"/>
  <c r="E77" i="3"/>
  <c r="E212" i="3"/>
  <c r="E253" i="3"/>
  <c r="E167" i="3"/>
  <c r="E199" i="3"/>
  <c r="E141" i="3"/>
  <c r="E286" i="3"/>
  <c r="E312" i="3"/>
  <c r="AD6" i="3"/>
  <c r="AC6" i="3" s="1"/>
  <c r="E499" i="3"/>
  <c r="R6" i="3"/>
  <c r="E552" i="3"/>
  <c r="E502" i="3"/>
  <c r="E421" i="3"/>
  <c r="E442" i="3"/>
  <c r="E448" i="3"/>
  <c r="E464" i="3"/>
  <c r="E478" i="3"/>
  <c r="E466" i="3"/>
  <c r="E485" i="3"/>
  <c r="E487" i="3"/>
  <c r="E541" i="3"/>
  <c r="P6" i="3"/>
  <c r="E398" i="3"/>
  <c r="E414" i="3"/>
  <c r="E430" i="3"/>
  <c r="E400" i="3"/>
  <c r="E416" i="3"/>
  <c r="E432" i="3"/>
  <c r="E449" i="3"/>
  <c r="E443" i="3"/>
  <c r="E459" i="3"/>
  <c r="E477" i="3"/>
  <c r="E255" i="3"/>
  <c r="E345" i="3"/>
  <c r="E374" i="3"/>
  <c r="E367" i="3"/>
  <c r="I3" i="6"/>
  <c r="E566" i="3"/>
  <c r="AP6" i="3"/>
  <c r="E500" i="3"/>
  <c r="E554" i="3"/>
  <c r="E581" i="3"/>
  <c r="E582" i="3"/>
  <c r="AS6" i="3"/>
  <c r="E517" i="3"/>
  <c r="E531" i="3"/>
  <c r="E403" i="3"/>
  <c r="E435" i="3"/>
  <c r="E460" i="3"/>
  <c r="E491" i="3"/>
  <c r="E489" i="3"/>
  <c r="E546" i="3"/>
  <c r="E404" i="3"/>
  <c r="E447" i="3"/>
  <c r="E28" i="3"/>
  <c r="E71" i="3"/>
  <c r="E88" i="3"/>
  <c r="E27" i="3"/>
  <c r="E70" i="3"/>
  <c r="E92" i="3"/>
  <c r="E121" i="3"/>
  <c r="E131" i="3"/>
  <c r="E152" i="3"/>
  <c r="E187" i="3"/>
  <c r="E132" i="3"/>
  <c r="E155" i="3"/>
  <c r="E192" i="3"/>
  <c r="E240" i="3"/>
  <c r="E258" i="3"/>
  <c r="E297" i="3"/>
  <c r="E241" i="3"/>
  <c r="E273" i="3"/>
  <c r="E291" i="3"/>
  <c r="E316" i="3"/>
  <c r="E331" i="3"/>
  <c r="E377" i="3"/>
  <c r="E317" i="3"/>
  <c r="E334" i="3"/>
  <c r="E384" i="3"/>
  <c r="E572" i="3"/>
  <c r="AM6" i="3"/>
  <c r="E30" i="3"/>
  <c r="E44" i="3"/>
  <c r="E76" i="3"/>
  <c r="E110" i="3"/>
  <c r="E59" i="3"/>
  <c r="E540" i="3"/>
  <c r="E462" i="3"/>
  <c r="E521" i="3"/>
  <c r="E446" i="3"/>
  <c r="E47" i="3"/>
  <c r="E505" i="3"/>
  <c r="E413" i="3"/>
  <c r="E444" i="3"/>
  <c r="E476" i="3"/>
  <c r="E520" i="3"/>
  <c r="E417" i="3"/>
  <c r="E436" i="3"/>
  <c r="E479" i="3"/>
  <c r="E39" i="3"/>
  <c r="E56" i="3"/>
  <c r="E90" i="3"/>
  <c r="E37" i="3"/>
  <c r="E57" i="3"/>
  <c r="E95" i="3"/>
  <c r="E162" i="3"/>
  <c r="E182" i="3"/>
  <c r="E126" i="3"/>
  <c r="E166" i="3"/>
  <c r="E186" i="3"/>
  <c r="E211" i="3"/>
  <c r="E272" i="3"/>
  <c r="E295" i="3"/>
  <c r="E210" i="3"/>
  <c r="E259" i="3"/>
  <c r="E292" i="3"/>
  <c r="E348" i="3"/>
  <c r="E363" i="3"/>
  <c r="E378" i="3"/>
  <c r="E349" i="3"/>
  <c r="E375" i="3"/>
  <c r="E389" i="3"/>
  <c r="E504" i="3"/>
  <c r="E58" i="3"/>
  <c r="E109" i="3"/>
  <c r="E29" i="3"/>
  <c r="E480" i="3"/>
  <c r="E441" i="3"/>
  <c r="E484" i="3"/>
  <c r="E425" i="3"/>
  <c r="E46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0" i="3"/>
  <c r="E371" i="3"/>
  <c r="E492" i="3"/>
  <c r="E67" i="3"/>
  <c r="E144" i="3"/>
  <c r="E233" i="3"/>
  <c r="E381" i="3"/>
  <c r="E68" i="3"/>
  <c r="E81" i="3"/>
  <c r="E264" i="3"/>
  <c r="E309" i="3"/>
  <c r="E21" i="3"/>
  <c r="E64" i="3"/>
  <c r="E46" i="3"/>
  <c r="E103" i="3"/>
  <c r="E142" i="3"/>
  <c r="E200" i="3"/>
  <c r="E267" i="3"/>
  <c r="E249" i="3"/>
  <c r="E300" i="3"/>
  <c r="E310" i="3"/>
  <c r="E23" i="3"/>
  <c r="E84" i="3"/>
  <c r="E33" i="3"/>
  <c r="E184" i="3"/>
  <c r="E355" i="3"/>
  <c r="E63" i="3"/>
  <c r="E118" i="3"/>
  <c r="E283" i="3"/>
  <c r="E513" i="3"/>
  <c r="E544" i="3"/>
  <c r="E547" i="3"/>
  <c r="AZ550" i="3"/>
  <c r="AZ5" i="3" s="1"/>
  <c r="E562" i="3"/>
  <c r="E527" i="3"/>
  <c r="E580" i="3"/>
  <c r="E321" i="3"/>
  <c r="E390" i="3"/>
  <c r="E161" i="3"/>
  <c r="E512" i="3"/>
  <c r="E333" i="3"/>
  <c r="E376" i="3"/>
  <c r="E332" i="3"/>
  <c r="E12" i="71"/>
  <c r="E11" i="71" s="1"/>
  <c r="E10" i="71" s="1"/>
  <c r="E9" i="71" s="1"/>
  <c r="V13" i="71"/>
  <c r="E558" i="3"/>
  <c r="E576" i="3"/>
  <c r="E497" i="3"/>
  <c r="E370" i="3"/>
  <c r="E113" i="3"/>
  <c r="E325" i="3"/>
  <c r="E359" i="3"/>
  <c r="W32" i="39"/>
  <c r="AC32" i="39"/>
  <c r="H32" i="39"/>
  <c r="F32" i="39"/>
  <c r="G107" i="39"/>
  <c r="H107" i="39" s="1"/>
  <c r="I107" i="39" s="1"/>
  <c r="J107" i="39" s="1"/>
  <c r="K107" i="39" s="1"/>
  <c r="L107" i="39" s="1"/>
  <c r="M107" i="39" s="1"/>
  <c r="AC11" i="39"/>
  <c r="S11" i="39"/>
  <c r="U11" i="39"/>
  <c r="AB11" i="39"/>
  <c r="C37" i="43"/>
  <c r="E37" i="43" s="1"/>
  <c r="C9" i="68"/>
  <c r="C48" i="69"/>
  <c r="F48" i="68"/>
  <c r="C48" i="68"/>
  <c r="C30" i="68"/>
  <c r="C35" i="11"/>
  <c r="C38" i="69"/>
  <c r="D22" i="43"/>
  <c r="E58" i="40"/>
  <c r="E63" i="39"/>
  <c r="E27" i="6"/>
  <c r="O16" i="1"/>
  <c r="E57" i="40"/>
  <c r="E62" i="39"/>
  <c r="E66" i="39" s="1"/>
  <c r="N16" i="1"/>
  <c r="L16" i="1"/>
  <c r="F28" i="12"/>
  <c r="C29" i="12" s="1"/>
  <c r="D28" i="12" s="1"/>
  <c r="F27" i="11"/>
  <c r="F27" i="69"/>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2" i="43"/>
  <c r="I103" i="43"/>
  <c r="I106"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J10" i="40"/>
  <c r="AC10" i="40" s="1"/>
  <c r="H10" i="39"/>
  <c r="AB10" i="39" s="1"/>
  <c r="F10" i="40"/>
  <c r="AA10" i="40" s="1"/>
  <c r="J10" i="39"/>
  <c r="W10" i="39" s="1"/>
  <c r="H10" i="40"/>
  <c r="AB10" i="40" s="1"/>
  <c r="G36" i="43"/>
  <c r="I36" i="43" s="1"/>
  <c r="T8" i="43"/>
  <c r="V8" i="43" s="1"/>
  <c r="T16" i="43"/>
  <c r="V16" i="43" s="1"/>
  <c r="T15" i="43"/>
  <c r="V15" i="43" s="1"/>
  <c r="F59" i="67"/>
  <c r="G35" i="43"/>
  <c r="I35" i="43" s="1"/>
  <c r="G70" i="39"/>
  <c r="H68" i="39"/>
  <c r="H7" i="37"/>
  <c r="AB7" i="37" s="1"/>
  <c r="T42" i="37" s="1"/>
  <c r="G42" i="37" s="1"/>
  <c r="B40" i="1"/>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E38" i="43"/>
  <c r="G38" i="43"/>
  <c r="I38" i="43" s="1"/>
  <c r="G34" i="43"/>
  <c r="I34" i="43" s="1"/>
  <c r="E34" i="43"/>
  <c r="G33" i="43"/>
  <c r="I33" i="43" s="1"/>
  <c r="E33" i="43"/>
  <c r="C49" i="15"/>
  <c r="J18" i="15"/>
  <c r="M28" i="43"/>
  <c r="N28" i="43"/>
  <c r="O28" i="43"/>
  <c r="P28" i="43"/>
  <c r="M11" i="67"/>
  <c r="J10" i="67" s="1"/>
  <c r="F11" i="15"/>
  <c r="M11" i="15"/>
  <c r="F11" i="67"/>
  <c r="F1" i="67"/>
  <c r="Q52" i="67"/>
  <c r="Q73" i="15"/>
  <c r="Q74" i="15"/>
  <c r="Q61" i="15"/>
  <c r="F27" i="68"/>
  <c r="J10" i="15" l="1"/>
  <c r="J5" i="15" s="1"/>
  <c r="J24" i="15" s="1"/>
  <c r="J5" i="67"/>
  <c r="J26" i="67" s="1"/>
  <c r="J29" i="67" s="1"/>
  <c r="Q60" i="67"/>
  <c r="Q74" i="67"/>
  <c r="Q52" i="15"/>
  <c r="F1" i="15"/>
  <c r="E6" i="3"/>
  <c r="E3" i="6"/>
  <c r="AY6" i="3"/>
  <c r="B71" i="39"/>
  <c r="U27" i="39"/>
  <c r="AB27" i="39"/>
  <c r="D41" i="71"/>
  <c r="T41" i="71"/>
  <c r="B16" i="71"/>
  <c r="B15" i="71" s="1"/>
  <c r="B14" i="71" s="1"/>
  <c r="B13" i="71" s="1"/>
  <c r="S17" i="71"/>
  <c r="C19" i="71"/>
  <c r="D20" i="71"/>
  <c r="E8" i="71"/>
  <c r="E7" i="71" s="1"/>
  <c r="E6" i="71" s="1"/>
  <c r="E5" i="71" s="1"/>
  <c r="V9" i="71"/>
  <c r="AC27" i="39"/>
  <c r="W27" i="39"/>
  <c r="N63" i="71"/>
  <c r="N62" i="71"/>
  <c r="AB17" i="39"/>
  <c r="U17" i="39"/>
  <c r="D53" i="71"/>
  <c r="T53" i="71"/>
  <c r="AA32" i="39"/>
  <c r="S32" i="39"/>
  <c r="AB32" i="39"/>
  <c r="U32" i="39"/>
  <c r="U10" i="39"/>
  <c r="S10" i="40"/>
  <c r="K26" i="6"/>
  <c r="M26" i="6" s="1"/>
  <c r="I26" i="6" s="1"/>
  <c r="S26" i="6" s="1"/>
  <c r="K19" i="6"/>
  <c r="S6" i="1" s="1"/>
  <c r="K25" i="6"/>
  <c r="M25" i="6" s="1"/>
  <c r="I25" i="6" s="1"/>
  <c r="K21" i="6"/>
  <c r="M21" i="6" s="1"/>
  <c r="I21" i="6" s="1"/>
  <c r="K20" i="6"/>
  <c r="K24" i="6"/>
  <c r="M24" i="6" s="1"/>
  <c r="I24" i="6" s="1"/>
  <c r="S24" i="6" s="1"/>
  <c r="K23" i="6"/>
  <c r="M23" i="6" s="1"/>
  <c r="I23" i="6" s="1"/>
  <c r="K22" i="6"/>
  <c r="M22" i="6" s="1"/>
  <c r="I22" i="6" s="1"/>
  <c r="E31" i="6"/>
  <c r="W10" i="40"/>
  <c r="U10" i="40"/>
  <c r="C15" i="12"/>
  <c r="C12" i="12"/>
  <c r="C47" i="11"/>
  <c r="D45" i="11" s="1"/>
  <c r="C29" i="11"/>
  <c r="D27" i="11" s="1"/>
  <c r="F45" i="68"/>
  <c r="C29" i="68"/>
  <c r="D27" i="68" s="1"/>
  <c r="C47" i="68"/>
  <c r="D45" i="68" s="1"/>
  <c r="F45" i="69"/>
  <c r="C47" i="69"/>
  <c r="D45" i="69" s="1"/>
  <c r="C29" i="69"/>
  <c r="D27" i="69" s="1"/>
  <c r="F50" i="69"/>
  <c r="F50" i="11"/>
  <c r="F50" i="68"/>
  <c r="C23" i="43"/>
  <c r="C21" i="43" s="1"/>
  <c r="C29" i="43" s="1"/>
  <c r="C30" i="43" s="1"/>
  <c r="E30" i="43" s="1"/>
  <c r="C27" i="43" s="1"/>
  <c r="S7" i="43"/>
  <c r="T7" i="43" s="1"/>
  <c r="V7" i="43" s="1"/>
  <c r="S3" i="43"/>
  <c r="T3" i="43" s="1"/>
  <c r="V3" i="43" s="1"/>
  <c r="S5" i="43"/>
  <c r="T5" i="43" s="1"/>
  <c r="V5" i="43" s="1"/>
  <c r="S4" i="43"/>
  <c r="T4" i="43" s="1"/>
  <c r="V4" i="43" s="1"/>
  <c r="S2" i="43"/>
  <c r="T2" i="43" s="1"/>
  <c r="V2" i="43" s="1"/>
  <c r="C26" i="43" s="1"/>
  <c r="S6" i="43"/>
  <c r="T6" i="43" s="1"/>
  <c r="V6" i="43" s="1"/>
  <c r="C115" i="43"/>
  <c r="D113" i="43"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AE6" i="1"/>
  <c r="F41" i="15"/>
  <c r="D10" i="68"/>
  <c r="E6" i="76"/>
  <c r="J24" i="67" l="1"/>
  <c r="J26" i="15"/>
  <c r="C10" i="68"/>
  <c r="C8" i="68" s="1"/>
  <c r="D19" i="68"/>
  <c r="F69" i="15"/>
  <c r="J29" i="15"/>
  <c r="D19" i="71"/>
  <c r="C18" i="71"/>
  <c r="B12" i="71"/>
  <c r="B11" i="71" s="1"/>
  <c r="B10" i="71" s="1"/>
  <c r="B9" i="71" s="1"/>
  <c r="S13" i="71"/>
  <c r="AY67" i="3"/>
  <c r="AY50" i="3"/>
  <c r="AY289" i="3"/>
  <c r="AY261" i="3"/>
  <c r="AY209" i="3"/>
  <c r="AY455" i="3"/>
  <c r="AY116" i="3"/>
  <c r="AY343" i="3"/>
  <c r="AY447" i="3"/>
  <c r="AY535" i="3"/>
  <c r="AY574" i="3"/>
  <c r="AY555" i="3"/>
  <c r="AY85" i="3"/>
  <c r="AY103" i="3"/>
  <c r="AY160" i="3"/>
  <c r="AY183" i="3"/>
  <c r="AY284" i="3"/>
  <c r="AY319" i="3"/>
  <c r="AY497" i="3"/>
  <c r="AY212" i="3"/>
  <c r="AY481" i="3"/>
  <c r="AY404" i="3"/>
  <c r="AY562" i="3"/>
  <c r="BO6" i="3"/>
  <c r="AY89" i="3"/>
  <c r="AY69" i="3"/>
  <c r="AY105" i="3"/>
  <c r="AY540" i="3"/>
  <c r="AY557" i="3"/>
  <c r="AY436" i="3"/>
  <c r="AY326" i="3"/>
  <c r="AY229" i="3"/>
  <c r="AY412" i="3"/>
  <c r="AY363" i="3"/>
  <c r="AY204" i="3"/>
  <c r="AY74" i="3"/>
  <c r="AY196" i="3"/>
  <c r="AY34" i="3"/>
  <c r="AY144" i="3"/>
  <c r="AY95" i="3"/>
  <c r="AY152" i="3"/>
  <c r="AY111" i="3"/>
  <c r="AY253" i="3"/>
  <c r="AY382" i="3"/>
  <c r="AY303" i="3"/>
  <c r="AY460" i="3"/>
  <c r="AY529" i="3"/>
  <c r="AY300" i="3"/>
  <c r="AY217" i="3"/>
  <c r="AY327" i="3"/>
  <c r="AY463" i="3"/>
  <c r="AY401" i="3"/>
  <c r="AY544" i="3"/>
  <c r="BE6" i="3"/>
  <c r="AY92"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66" i="3"/>
  <c r="AY176" i="3"/>
  <c r="AY115" i="3"/>
  <c r="AY188" i="3"/>
  <c r="AY276" i="3"/>
  <c r="AY297" i="3"/>
  <c r="AY225" i="3"/>
  <c r="AY335" i="3"/>
  <c r="AY470" i="3"/>
  <c r="AY409" i="3"/>
  <c r="AY180" i="3"/>
  <c r="AY228" i="3"/>
  <c r="AY358" i="3"/>
  <c r="AY465" i="3"/>
  <c r="AY433" i="3"/>
  <c r="BK6" i="3"/>
  <c r="AY541" i="3"/>
  <c r="AY108"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177" i="3"/>
  <c r="AY290" i="3"/>
  <c r="AY210" i="3"/>
  <c r="AY349" i="3"/>
  <c r="AY332"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66" i="3"/>
  <c r="AY242" i="3"/>
  <c r="AY348"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145" i="3"/>
  <c r="AY388"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311" i="3"/>
  <c r="AY390" i="3"/>
  <c r="AY269" i="3"/>
  <c r="AY526" i="3"/>
  <c r="AY444" i="3"/>
  <c r="AY334" i="3"/>
  <c r="AY387" i="3"/>
  <c r="AY237" i="3"/>
  <c r="AY75" i="3"/>
  <c r="AY163" i="3"/>
  <c r="AY90" i="3"/>
  <c r="AY171" i="3"/>
  <c r="AY18" i="3"/>
  <c r="AY98" i="3"/>
  <c r="AY100" i="3"/>
  <c r="AY539" i="3"/>
  <c r="AY573" i="3"/>
  <c r="AY417" i="3"/>
  <c r="AY478" i="3"/>
  <c r="AY379" i="3"/>
  <c r="AY43" i="3"/>
  <c r="AY489" i="3"/>
  <c r="AY252" i="3"/>
  <c r="AY123" i="3"/>
  <c r="AY139" i="3"/>
  <c r="AY51" i="3"/>
  <c r="AY207" i="3"/>
  <c r="AY124" i="3"/>
  <c r="AY42" i="3"/>
  <c r="AY281" i="3"/>
  <c r="AY168" i="3"/>
  <c r="AY236" i="3"/>
  <c r="AY366" i="3"/>
  <c r="AY473" i="3"/>
  <c r="AY441" i="3"/>
  <c r="AY26" i="3"/>
  <c r="AY260" i="3"/>
  <c r="AY372" i="3"/>
  <c r="AY310" i="3"/>
  <c r="AY420" i="3"/>
  <c r="AY549" i="3"/>
  <c r="AY533" i="3"/>
  <c r="AY97"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83" i="3"/>
  <c r="AY23" i="3"/>
  <c r="AY155" i="3"/>
  <c r="AY59" i="3"/>
  <c r="AY131" i="3"/>
  <c r="AY58" i="3"/>
  <c r="AY268" i="3"/>
  <c r="AY371" i="3"/>
  <c r="AY318" i="3"/>
  <c r="AY428" i="3"/>
  <c r="AY106" i="3"/>
  <c r="AY245" i="3"/>
  <c r="AY395" i="3"/>
  <c r="AY342" i="3"/>
  <c r="AY452" i="3"/>
  <c r="AY513" i="3"/>
  <c r="AY569" i="3"/>
  <c r="AY553" i="3"/>
  <c r="AY77"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114" i="3"/>
  <c r="AY274" i="3"/>
  <c r="AY377" i="3"/>
  <c r="AY317"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95" i="3"/>
  <c r="AY353"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259" i="3"/>
  <c r="AY333"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55" i="3"/>
  <c r="AY244" i="3"/>
  <c r="AY199" i="3"/>
  <c r="AY425" i="3"/>
  <c r="AY486" i="3"/>
  <c r="AY350" i="3"/>
  <c r="AY220" i="3"/>
  <c r="AY147" i="3"/>
  <c r="AY292" i="3"/>
  <c r="AY31" i="3"/>
  <c r="AY132" i="3"/>
  <c r="AY191" i="3"/>
  <c r="AY82" i="3"/>
  <c r="AY87" i="3"/>
  <c r="E6" i="70"/>
  <c r="E2" i="70" s="1"/>
  <c r="D19" i="11"/>
  <c r="C19" i="11" s="1"/>
  <c r="D14" i="12"/>
  <c r="D3" i="34"/>
  <c r="C17" i="4"/>
  <c r="B4" i="52" s="1"/>
  <c r="B43" i="72" s="1"/>
  <c r="D3" i="37"/>
  <c r="E6" i="6"/>
  <c r="D3" i="21"/>
  <c r="D37" i="11"/>
  <c r="C37" i="11" s="1"/>
  <c r="C33" i="11" s="1"/>
  <c r="D3" i="33"/>
  <c r="E29" i="43"/>
  <c r="M20" i="6"/>
  <c r="I20" i="6" s="1"/>
  <c r="S20" i="6" s="1"/>
  <c r="S7" i="1"/>
  <c r="AQ6" i="1"/>
  <c r="S16" i="1"/>
  <c r="T6" i="1"/>
  <c r="AR6" i="1"/>
  <c r="S22" i="6"/>
  <c r="H22" i="6"/>
  <c r="H21" i="6"/>
  <c r="S21" i="6"/>
  <c r="M19" i="6"/>
  <c r="K27" i="6"/>
  <c r="H26" i="6"/>
  <c r="H24" i="6"/>
  <c r="H23" i="6"/>
  <c r="S23" i="6"/>
  <c r="H25" i="6"/>
  <c r="S25" i="6"/>
  <c r="H20" i="6"/>
  <c r="C19" i="68"/>
  <c r="C24" i="68" s="1"/>
  <c r="D37" i="68"/>
  <c r="C37"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42" i="11"/>
  <c r="C38" i="67"/>
  <c r="C38" i="15"/>
  <c r="C66" i="67"/>
  <c r="C60" i="67"/>
  <c r="C17" i="67"/>
  <c r="C17" i="15"/>
  <c r="C14" i="67"/>
  <c r="B6" i="76"/>
  <c r="C34" i="68"/>
  <c r="C38" i="68" l="1"/>
  <c r="C35" i="68"/>
  <c r="C20" i="11"/>
  <c r="C25" i="11" s="1"/>
  <c r="D18" i="71"/>
  <c r="C17" i="71"/>
  <c r="R24" i="6"/>
  <c r="C39" i="11"/>
  <c r="C43" i="11" s="1"/>
  <c r="C41" i="11" s="1"/>
  <c r="D10" i="11"/>
  <c r="C10" i="11" s="1"/>
  <c r="D10" i="69"/>
  <c r="D20" i="12"/>
  <c r="C20" i="12" s="1"/>
  <c r="C18" i="12" s="1"/>
  <c r="D17" i="12"/>
  <c r="C17" i="12" s="1"/>
  <c r="C14" i="12"/>
  <c r="C16" i="12" s="1"/>
  <c r="D6" i="6"/>
  <c r="D19" i="6"/>
  <c r="C18" i="4"/>
  <c r="D22" i="6"/>
  <c r="R22" i="6" s="1"/>
  <c r="D24" i="6"/>
  <c r="D5" i="6"/>
  <c r="D10" i="6"/>
  <c r="D29" i="6"/>
  <c r="D15" i="6"/>
  <c r="D23" i="6"/>
  <c r="R23" i="6" s="1"/>
  <c r="D12" i="6"/>
  <c r="D13" i="6"/>
  <c r="E61" i="40"/>
  <c r="D26" i="6"/>
  <c r="R26" i="6" s="1"/>
  <c r="D25" i="6"/>
  <c r="R25" i="6" s="1"/>
  <c r="D21" i="6"/>
  <c r="R21" i="6" s="1"/>
  <c r="D20" i="6"/>
  <c r="R20" i="6" s="1"/>
  <c r="R7" i="1" s="1"/>
  <c r="D9" i="6"/>
  <c r="D8" i="6"/>
  <c r="D14" i="6"/>
  <c r="D11" i="6"/>
  <c r="D28" i="6"/>
  <c r="D30" i="6" s="1"/>
  <c r="B8" i="71"/>
  <c r="B7" i="71" s="1"/>
  <c r="B6" i="71" s="1"/>
  <c r="B5" i="71" s="1"/>
  <c r="S9" i="71"/>
  <c r="C15" i="67"/>
  <c r="C18" i="67"/>
  <c r="AQ7" i="1"/>
  <c r="AR7" i="1"/>
  <c r="T7" i="1"/>
  <c r="T16" i="1" s="1"/>
  <c r="I19" i="6"/>
  <c r="L18" i="9" s="1"/>
  <c r="M27"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22" i="11"/>
  <c r="C14" i="15"/>
  <c r="M21" i="67"/>
  <c r="F35" i="67"/>
  <c r="C33" i="68" l="1"/>
  <c r="C39" i="68" s="1"/>
  <c r="C43" i="68" s="1"/>
  <c r="C21" i="12"/>
  <c r="C22" i="12" s="1"/>
  <c r="C27" i="12" s="1"/>
  <c r="C25" i="12" s="1"/>
  <c r="F63" i="67"/>
  <c r="C62" i="67" s="1"/>
  <c r="C34" i="67"/>
  <c r="J20" i="67"/>
  <c r="D16" i="6"/>
  <c r="A10" i="51"/>
  <c r="B9" i="72" s="1"/>
  <c r="A7" i="51"/>
  <c r="B7" i="72" s="1"/>
  <c r="C4" i="52"/>
  <c r="B45" i="72" s="1"/>
  <c r="C10" i="69"/>
  <c r="C8" i="69" s="1"/>
  <c r="C5" i="69" s="1"/>
  <c r="D19" i="69"/>
  <c r="C46" i="11"/>
  <c r="C45" i="11" s="1"/>
  <c r="C49" i="11" s="1"/>
  <c r="C51" i="11" s="1"/>
  <c r="C16" i="71"/>
  <c r="T17" i="71"/>
  <c r="D17" i="71"/>
  <c r="U17" i="71" s="1"/>
  <c r="C28" i="11"/>
  <c r="C27" i="11" s="1"/>
  <c r="C31" i="11" s="1"/>
  <c r="M19" i="9"/>
  <c r="C118" i="9" s="1"/>
  <c r="C14" i="74" s="1"/>
  <c r="B2" i="74" s="1"/>
  <c r="D8" i="74" s="1"/>
  <c r="D27" i="6"/>
  <c r="D31" i="6" s="1"/>
  <c r="C19" i="67"/>
  <c r="C20" i="67" s="1"/>
  <c r="C26" i="67" s="1"/>
  <c r="C15" i="15"/>
  <c r="C18" i="15"/>
  <c r="I27" i="6"/>
  <c r="S19" i="6"/>
  <c r="S27" i="6" s="1"/>
  <c r="H19" i="6"/>
  <c r="L19" i="9" s="1"/>
  <c r="K70" i="39"/>
  <c r="L68" i="39"/>
  <c r="I63" i="40"/>
  <c r="H65" i="40"/>
  <c r="I58" i="21"/>
  <c r="J58" i="21" s="1"/>
  <c r="K58" i="21" s="1"/>
  <c r="L58" i="21" s="1"/>
  <c r="M58" i="21" s="1"/>
  <c r="N58" i="21" s="1"/>
  <c r="O58" i="21" s="1"/>
  <c r="H7" i="21" s="1"/>
  <c r="J7" i="21"/>
  <c r="F7" i="21"/>
  <c r="J48" i="35"/>
  <c r="C42" i="68" l="1"/>
  <c r="C46" i="68"/>
  <c r="C45" i="68" s="1"/>
  <c r="C52" i="11"/>
  <c r="B2" i="11" s="1"/>
  <c r="B3" i="11" s="1"/>
  <c r="C30" i="12"/>
  <c r="C28" i="12" s="1"/>
  <c r="C32" i="12" s="1"/>
  <c r="B2" i="12" s="1"/>
  <c r="B3" i="12" s="1"/>
  <c r="C41" i="68"/>
  <c r="C15" i="71"/>
  <c r="D16" i="71"/>
  <c r="D37" i="69"/>
  <c r="C37" i="69" s="1"/>
  <c r="C33" i="69" s="1"/>
  <c r="C19" i="69"/>
  <c r="C24" i="69" s="1"/>
  <c r="I6" i="6"/>
  <c r="I5" i="6"/>
  <c r="C23" i="69"/>
  <c r="C20" i="69"/>
  <c r="C19" i="15"/>
  <c r="C20" i="15" s="1"/>
  <c r="C26" i="15" s="1"/>
  <c r="C23" i="67"/>
  <c r="C29" i="67" s="1"/>
  <c r="C13" i="67"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C49" i="68" l="1"/>
  <c r="C51" i="68" s="1"/>
  <c r="C28" i="69"/>
  <c r="C27" i="69" s="1"/>
  <c r="C25" i="69"/>
  <c r="C22" i="69" s="1"/>
  <c r="C42" i="69"/>
  <c r="C39" i="69"/>
  <c r="C43" i="69" s="1"/>
  <c r="C14" i="71"/>
  <c r="D15" i="71"/>
  <c r="J19" i="67"/>
  <c r="J17" i="67" s="1"/>
  <c r="C36" i="67"/>
  <c r="C57" i="67"/>
  <c r="C64" i="67" s="1"/>
  <c r="C33" i="67"/>
  <c r="C31" i="67" s="1"/>
  <c r="Q49" i="67"/>
  <c r="J14" i="67"/>
  <c r="J13" i="67" s="1"/>
  <c r="J23" i="67" s="1"/>
  <c r="J59" i="67"/>
  <c r="J60" i="67" s="1"/>
  <c r="Q48" i="67" s="1"/>
  <c r="J22" i="67"/>
  <c r="Q70" i="67"/>
  <c r="C75" i="67"/>
  <c r="C37" i="67"/>
  <c r="C56" i="67"/>
  <c r="C65" i="67" s="1"/>
  <c r="C23" i="15"/>
  <c r="C29" i="15" s="1"/>
  <c r="R27" i="6"/>
  <c r="R6" i="1"/>
  <c r="J7" i="35"/>
  <c r="M70" i="39"/>
  <c r="N68" i="39"/>
  <c r="W7" i="35"/>
  <c r="AC7" i="35"/>
  <c r="V38" i="35" s="1"/>
  <c r="I38" i="35" s="1"/>
  <c r="J65" i="40"/>
  <c r="K63" i="40"/>
  <c r="I52" i="21"/>
  <c r="J52" i="21" s="1"/>
  <c r="U7" i="35"/>
  <c r="AB7" i="35"/>
  <c r="T38" i="35" s="1"/>
  <c r="G38" i="35" s="1"/>
  <c r="R49" i="21"/>
  <c r="E48" i="21"/>
  <c r="G52" i="21"/>
  <c r="H52" i="21" s="1"/>
  <c r="G53" i="21"/>
  <c r="H53" i="21" s="1"/>
  <c r="F7" i="35"/>
  <c r="M21" i="15"/>
  <c r="F35" i="15"/>
  <c r="C41" i="69" l="1"/>
  <c r="C31" i="69"/>
  <c r="C13" i="71"/>
  <c r="D14" i="71"/>
  <c r="C46" i="69"/>
  <c r="C45" i="69" s="1"/>
  <c r="C49" i="69" s="1"/>
  <c r="C51" i="69" s="1"/>
  <c r="F63" i="15"/>
  <c r="C62" i="15" s="1"/>
  <c r="C34" i="15"/>
  <c r="J20" i="15"/>
  <c r="R16" i="1"/>
  <c r="C30" i="67"/>
  <c r="C39" i="67" s="1"/>
  <c r="C40" i="67" s="1"/>
  <c r="C61" i="67"/>
  <c r="C59" i="67" s="1"/>
  <c r="C58" i="67" s="1"/>
  <c r="C67" i="67" s="1"/>
  <c r="C68" i="67" s="1"/>
  <c r="L46" i="67"/>
  <c r="J16" i="67"/>
  <c r="J25" i="67" s="1"/>
  <c r="J14" i="15"/>
  <c r="C36" i="15"/>
  <c r="C13" i="15"/>
  <c r="J19" i="15"/>
  <c r="C57" i="15"/>
  <c r="C33" i="15"/>
  <c r="C31" i="15" s="1"/>
  <c r="Q49" i="15"/>
  <c r="J59" i="15"/>
  <c r="J60" i="1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C52" i="69" l="1"/>
  <c r="B2" i="69" s="1"/>
  <c r="B3" i="69" s="1"/>
  <c r="C12" i="71"/>
  <c r="T13" i="71"/>
  <c r="D13" i="71"/>
  <c r="U13" i="71" s="1"/>
  <c r="J17" i="15"/>
  <c r="Q69" i="67"/>
  <c r="Q68" i="67" s="1"/>
  <c r="C80" i="67"/>
  <c r="C79" i="67" s="1"/>
  <c r="L57" i="67"/>
  <c r="L60" i="67" s="1"/>
  <c r="Q66" i="67" s="1"/>
  <c r="Q67" i="67"/>
  <c r="C71" i="67"/>
  <c r="C45" i="67"/>
  <c r="C46" i="67" s="1"/>
  <c r="C61" i="15"/>
  <c r="C59" i="15" s="1"/>
  <c r="C64" i="15"/>
  <c r="Q70" i="15"/>
  <c r="C75" i="15"/>
  <c r="C56" i="15"/>
  <c r="C65" i="15" s="1"/>
  <c r="C37" i="15"/>
  <c r="C30" i="15" s="1"/>
  <c r="C39" i="15" s="1"/>
  <c r="J22" i="15"/>
  <c r="J13" i="15"/>
  <c r="J23" i="15" s="1"/>
  <c r="D2" i="67"/>
  <c r="Q56" i="67"/>
  <c r="C83" i="67"/>
  <c r="C82" i="67" s="1"/>
  <c r="C43" i="67"/>
  <c r="Q47" i="67"/>
  <c r="Q53" i="67" s="1"/>
  <c r="Q65" i="67"/>
  <c r="Q48" i="15"/>
  <c r="L46" i="15"/>
  <c r="H7" i="39"/>
  <c r="J7" i="39"/>
  <c r="AA7" i="39"/>
  <c r="R47" i="39" s="1"/>
  <c r="S7" i="39"/>
  <c r="R39" i="35"/>
  <c r="E38" i="35"/>
  <c r="M63" i="40"/>
  <c r="L65" i="40"/>
  <c r="L51" i="15"/>
  <c r="C57" i="69" l="1"/>
  <c r="C56" i="69" s="1"/>
  <c r="D12" i="71"/>
  <c r="C11" i="71"/>
  <c r="Q75" i="67"/>
  <c r="Q57" i="67"/>
  <c r="Q62" i="67" s="1"/>
  <c r="J16" i="15"/>
  <c r="J25" i="15" s="1"/>
  <c r="L57" i="15"/>
  <c r="L60" i="15" s="1"/>
  <c r="Q67" i="15"/>
  <c r="Q69" i="15"/>
  <c r="Q68" i="15" s="1"/>
  <c r="C40" i="15"/>
  <c r="C58" i="15"/>
  <c r="C67" i="15" s="1"/>
  <c r="C68" i="15" s="1"/>
  <c r="B2" i="67"/>
  <c r="B3" i="67"/>
  <c r="C80" i="15"/>
  <c r="C79" i="15" s="1"/>
  <c r="E47" i="39"/>
  <c r="W7" i="39"/>
  <c r="AC7" i="39"/>
  <c r="V47" i="39" s="1"/>
  <c r="I47" i="39" s="1"/>
  <c r="U7" i="39"/>
  <c r="AB7" i="39"/>
  <c r="T47" i="39" s="1"/>
  <c r="G47" i="39" s="1"/>
  <c r="C39" i="35"/>
  <c r="B2" i="35" s="1"/>
  <c r="B3" i="35" s="1"/>
  <c r="C38" i="35"/>
  <c r="N63" i="40"/>
  <c r="M65" i="40"/>
  <c r="E43" i="35"/>
  <c r="F43" i="35" s="1"/>
  <c r="E42" i="35"/>
  <c r="F42" i="35" s="1"/>
  <c r="I43" i="35"/>
  <c r="J43" i="35" s="1"/>
  <c r="C10" i="71" l="1"/>
  <c r="D11" i="71"/>
  <c r="R48" i="39"/>
  <c r="C48" i="39" s="1"/>
  <c r="C71" i="15"/>
  <c r="C46" i="15"/>
  <c r="Q57" i="15"/>
  <c r="Q66" i="15"/>
  <c r="Q56" i="15"/>
  <c r="C43" i="15"/>
  <c r="B2" i="15"/>
  <c r="Q65" i="15"/>
  <c r="Q47" i="15"/>
  <c r="Q53" i="15" s="1"/>
  <c r="C83" i="15"/>
  <c r="C82" i="15" s="1"/>
  <c r="E52" i="39"/>
  <c r="F52" i="39" s="1"/>
  <c r="E51" i="39"/>
  <c r="F51" i="39" s="1"/>
  <c r="G51" i="39"/>
  <c r="H51" i="39" s="1"/>
  <c r="G52" i="39"/>
  <c r="H52" i="39" s="1"/>
  <c r="I51" i="39"/>
  <c r="J51" i="39" s="1"/>
  <c r="I52" i="39"/>
  <c r="J52" i="39" s="1"/>
  <c r="O63" i="40"/>
  <c r="O65" i="40" s="1"/>
  <c r="N65" i="40"/>
  <c r="C19" i="9"/>
  <c r="AO6" i="1"/>
  <c r="D10" i="71" l="1"/>
  <c r="C9" i="71"/>
  <c r="C47" i="39"/>
  <c r="C102" i="9"/>
  <c r="C21" i="9"/>
  <c r="B6" i="70"/>
  <c r="B2" i="70" s="1"/>
  <c r="B3" i="70" s="1"/>
  <c r="B3" i="15"/>
  <c r="Q62" i="15"/>
  <c r="Q75" i="15"/>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20" i="9"/>
  <c r="C8" i="71" l="1"/>
  <c r="T9" i="71"/>
  <c r="D9" i="71"/>
  <c r="U9" i="71" s="1"/>
  <c r="F66" i="39"/>
  <c r="B2" i="39" s="1"/>
  <c r="C103" i="9"/>
  <c r="U7" i="40"/>
  <c r="AB7" i="40"/>
  <c r="T42" i="40" s="1"/>
  <c r="G42" i="40" s="1"/>
  <c r="AA7" i="40"/>
  <c r="R42" i="40" s="1"/>
  <c r="S7" i="40"/>
  <c r="AC7" i="40"/>
  <c r="V42" i="40" s="1"/>
  <c r="I42" i="40" s="1"/>
  <c r="W7" i="40"/>
  <c r="C7" i="71" l="1"/>
  <c r="D8" i="71"/>
  <c r="B3" i="39"/>
  <c r="C6" i="68"/>
  <c r="I46" i="40"/>
  <c r="J46" i="40" s="1"/>
  <c r="R43" i="40"/>
  <c r="E42" i="40"/>
  <c r="G47" i="40"/>
  <c r="H47" i="40" s="1"/>
  <c r="G46" i="40"/>
  <c r="H46" i="40" s="1"/>
  <c r="D7" i="71" l="1"/>
  <c r="C6" i="71"/>
  <c r="C7" i="68"/>
  <c r="C5" i="68" s="1"/>
  <c r="C42" i="40"/>
  <c r="C43" i="40"/>
  <c r="E47" i="40"/>
  <c r="F47" i="40" s="1"/>
  <c r="E46" i="40"/>
  <c r="F46" i="40" s="1"/>
  <c r="I47" i="40"/>
  <c r="J47" i="40" s="1"/>
  <c r="C5" i="71" l="1"/>
  <c r="D6" i="7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28" i="68"/>
  <c r="C27" i="68" s="1"/>
  <c r="C22" i="68"/>
  <c r="H109" i="9"/>
  <c r="D16" i="53" s="1"/>
  <c r="D124" i="9" l="1"/>
  <c r="D125" i="9" s="1"/>
  <c r="D11" i="52" s="1"/>
  <c r="C31" i="68"/>
  <c r="C52" i="68" s="1"/>
  <c r="B2" i="68" s="1"/>
  <c r="B34" i="72"/>
  <c r="D17" i="53"/>
  <c r="B36" i="72" s="1"/>
  <c r="H14" i="74"/>
  <c r="B7" i="74" s="1"/>
  <c r="H110" i="9"/>
  <c r="D18" i="53" s="1"/>
  <c r="B35" i="72" s="1"/>
  <c r="D10" i="52"/>
  <c r="D19" i="9"/>
  <c r="B3" i="68"/>
  <c r="D20" i="9" s="1"/>
  <c r="C57" i="68" l="1"/>
  <c r="D21" i="9"/>
  <c r="D102" i="9"/>
  <c r="D22" i="9"/>
  <c r="G19" i="9"/>
  <c r="G21" i="9" s="1"/>
  <c r="D103" i="9"/>
  <c r="G20" i="9"/>
  <c r="D7" i="74"/>
  <c r="C7" i="74"/>
  <c r="D35" i="9"/>
  <c r="C56" i="68" l="1"/>
  <c r="C32" i="9"/>
  <c r="D34" i="9"/>
  <c r="C35" i="9" l="1"/>
  <c r="H118" i="9"/>
  <c r="H4" i="52" l="1"/>
  <c r="C104" i="9"/>
  <c r="H101" i="9"/>
  <c r="H119" i="9"/>
  <c r="H5" i="52" s="1"/>
  <c r="D14" i="74"/>
  <c r="I118" i="9"/>
  <c r="C34" i="9"/>
  <c r="D118" i="9" s="1"/>
  <c r="F118" i="9"/>
  <c r="F4" i="52" l="1"/>
  <c r="B51" i="72" s="1"/>
  <c r="F119" i="9"/>
  <c r="F5" i="52" s="1"/>
  <c r="B53" i="72" s="1"/>
  <c r="G118" i="9"/>
  <c r="G4" i="52" s="1"/>
  <c r="B52" i="72" s="1"/>
  <c r="I4" i="52"/>
  <c r="C105" i="9"/>
  <c r="H102" i="9"/>
  <c r="D7" i="53" s="1"/>
  <c r="B21" i="72" s="1"/>
  <c r="E118" i="9"/>
  <c r="E4" i="52" s="1"/>
  <c r="B48" i="72" s="1"/>
  <c r="D119" i="9"/>
  <c r="D5" i="52" s="1"/>
  <c r="B49" i="72" s="1"/>
  <c r="D4" i="52"/>
  <c r="B47" i="72" s="1"/>
  <c r="F14" i="74"/>
  <c r="E14" i="74"/>
  <c r="B5" i="74"/>
  <c r="M48" i="9"/>
  <c r="H107" i="9"/>
  <c r="D5" i="53"/>
  <c r="D45" i="9"/>
  <c r="D53" i="9" l="1"/>
  <c r="D52" i="9"/>
  <c r="C85" i="9"/>
  <c r="C72" i="9"/>
  <c r="C93" i="9"/>
  <c r="C86" i="9" s="1"/>
  <c r="D55" i="9"/>
  <c r="M53" i="9" s="1"/>
  <c r="C78" i="9"/>
  <c r="C73" i="9" s="1"/>
  <c r="C64" i="9"/>
  <c r="C63" i="9" s="1"/>
  <c r="C67" i="9" s="1"/>
  <c r="H108" i="9"/>
  <c r="D15" i="53" s="1"/>
  <c r="B31" i="72" s="1"/>
  <c r="D122" i="9"/>
  <c r="D13" i="53"/>
  <c r="M49" i="9"/>
  <c r="C5" i="74"/>
  <c r="D5" i="74"/>
  <c r="B20" i="72"/>
  <c r="D6" i="53"/>
  <c r="B22" i="72" s="1"/>
  <c r="C79" i="9" l="1"/>
  <c r="D59" i="9"/>
  <c r="M55" i="9" s="1"/>
  <c r="C68" i="9"/>
  <c r="D54" i="9" s="1"/>
  <c r="L68" i="9"/>
  <c r="M68" i="9" s="1"/>
  <c r="L67" i="9"/>
  <c r="M67" i="9" s="1"/>
  <c r="L65" i="9"/>
  <c r="M65" i="9" s="1"/>
  <c r="L63" i="9"/>
  <c r="M63" i="9" s="1"/>
  <c r="L64" i="9"/>
  <c r="M64" i="9" s="1"/>
  <c r="L66" i="9"/>
  <c r="M66" i="9" s="1"/>
  <c r="D123" i="9"/>
  <c r="D9" i="52" s="1"/>
  <c r="G14" i="74"/>
  <c r="B6" i="74" s="1"/>
  <c r="D8" i="52"/>
  <c r="D14" i="53"/>
  <c r="B32" i="72" s="1"/>
  <c r="B30" i="72"/>
  <c r="C95" i="9"/>
  <c r="M69" i="9" l="1"/>
  <c r="N69" i="9" s="1"/>
  <c r="C80" i="9"/>
  <c r="E80" i="9" s="1"/>
  <c r="E81" i="9" s="1"/>
  <c r="C96" i="9"/>
  <c r="E96" i="9" s="1"/>
  <c r="E97" i="9" s="1"/>
  <c r="C6" i="74"/>
  <c r="D6" i="74"/>
  <c r="C97" i="9" l="1"/>
  <c r="D58" i="9" s="1"/>
  <c r="D56" i="9" s="1"/>
  <c r="M54" i="9" s="1"/>
  <c r="N57" i="9" s="1"/>
  <c r="P57" i="9" s="1"/>
  <c r="C81" i="9"/>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200-000004000000}">
      <text>
        <r>
          <rPr>
            <sz val="11"/>
            <color indexed="81"/>
            <rFont val="宋体"/>
            <family val="3"/>
            <charset val="134"/>
          </rPr>
          <t>在建项目均选择“是”</t>
        </r>
      </text>
    </comment>
    <comment ref="F59" authorId="1" shapeId="0" xr:uid="{00000000-0006-0000-1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200-000006000000}">
      <text>
        <r>
          <rPr>
            <sz val="10"/>
            <color indexed="81"/>
            <rFont val="宋体"/>
            <family val="3"/>
            <charset val="134"/>
          </rPr>
          <t xml:space="preserve">在建
</t>
        </r>
      </text>
    </comment>
    <comment ref="N59" authorId="0" shapeId="0" xr:uid="{00000000-0006-0000-1200-000007000000}">
      <text>
        <r>
          <rPr>
            <sz val="10"/>
            <color indexed="81"/>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<sst xmlns="http://schemas.openxmlformats.org/spreadsheetml/2006/main" count="7514" uniqueCount="3226">
  <si>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</si>
  <si>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</si>
  <si>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</si>
  <si>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</si>
  <si>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</si>
  <si>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</si>
  <si>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</si>
  <si>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</si>
  <si>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</si>
  <si>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</si>
  <si>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</si>
  <si>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</si>
  <si>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</si>
  <si>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</si>
  <si>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</si>
  <si>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</si>
  <si>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</si>
  <si>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</si>
  <si>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</si>
  <si>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</si>
  <si>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</si>
  <si>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</si>
  <si>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</si>
  <si>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</si>
  <si>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</si>
  <si>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</si>
  <si>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</si>
  <si>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</si>
  <si>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</si>
  <si>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</si>
  <si>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</si>
  <si>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</si>
  <si>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</si>
  <si>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</si>
  <si>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</si>
  <si>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</si>
  <si>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</si>
  <si>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</si>
  <si>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</si>
  <si>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</si>
  <si>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</si>
  <si>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</si>
  <si>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</si>
  <si>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</si>
  <si>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</si>
  <si>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</si>
  <si>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</si>
  <si>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</si>
  <si>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</si>
  <si>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</si>
  <si>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</si>
  <si>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</si>
  <si>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</si>
  <si>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</si>
  <si>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</si>
  <si>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</si>
  <si>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</si>
  <si>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</si>
  <si>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</si>
  <si>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</si>
  <si>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</si>
  <si>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</si>
  <si>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</si>
  <si>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</si>
  <si>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</si>
  <si>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</si>
  <si>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</si>
  <si>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</si>
  <si>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</si>
  <si>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</si>
  <si>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</si>
  <si>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</si>
  <si>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</si>
  <si>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</si>
  <si>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</si>
  <si>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</si>
  <si>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</si>
  <si>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</si>
  <si>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</si>
  <si>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</si>
  <si>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</si>
  <si>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</si>
  <si>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</si>
  <si>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</si>
  <si>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</si>
  <si>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</si>
  <si>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</si>
  <si>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</si>
  <si>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</si>
  <si>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</si>
  <si>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</si>
  <si>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</si>
  <si>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</si>
  <si>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</si>
  <si>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</si>
  <si>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</si>
  <si>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</si>
  <si>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</si>
  <si>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</si>
  <si>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</si>
  <si>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</si>
  <si>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</si>
  <si>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</si>
  <si>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</si>
  <si>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</si>
  <si>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</si>
  <si>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</si>
  <si>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</si>
  <si>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</si>
  <si>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</si>
  <si>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</si>
  <si>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</si>
  <si>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</si>
  <si>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</si>
  <si>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</si>
  <si>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</si>
  <si>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</si>
  <si>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</si>
  <si>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</si>
  <si>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</si>
  <si>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</si>
  <si>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</si>
  <si>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</si>
  <si>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</si>
  <si>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</si>
  <si>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</si>
  <si>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</si>
  <si>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</si>
  <si>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</si>
  <si>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</si>
  <si>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</si>
  <si>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</si>
  <si>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</si>
  <si>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</si>
  <si>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</si>
  <si>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</si>
  <si>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</si>
  <si>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</si>
  <si>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</si>
  <si>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</si>
  <si>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</si>
  <si>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</si>
  <si>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</si>
  <si>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</si>
  <si>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</si>
  <si>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</si>
  <si>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</si>
  <si>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</si>
  <si>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</si>
  <si>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</si>
  <si>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</si>
  <si>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</si>
  <si>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</si>
  <si>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</si>
  <si>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</si>
  <si>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</si>
  <si>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</si>
  <si>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</si>
  <si>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</si>
  <si>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</si>
  <si>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</si>
  <si>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</si>
  <si>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</si>
  <si>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</si>
  <si>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</si>
  <si>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</si>
  <si>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</si>
  <si>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</si>
  <si>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</si>
  <si>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</si>
  <si>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</si>
  <si>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</si>
  <si>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</si>
  <si>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</si>
  <si>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</si>
  <si>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</si>
  <si>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</si>
  <si>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</si>
  <si>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</si>
  <si>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</si>
  <si>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</si>
  <si>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</si>
  <si>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</si>
  <si>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</si>
  <si>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</si>
  <si>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</si>
  <si>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</si>
  <si>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</si>
  <si>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</si>
  <si>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</si>
  <si>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</si>
  <si>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</si>
  <si>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</si>
  <si>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</si>
  <si>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</si>
  <si>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</si>
  <si>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</si>
  <si>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</si>
  <si>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</si>
  <si>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</si>
  <si>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</si>
  <si>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</si>
  <si>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</si>
  <si>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</si>
  <si>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</si>
  <si>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</si>
  <si>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</si>
  <si>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</si>
  <si>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</si>
  <si>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</si>
  <si>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</si>
  <si>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</si>
  <si>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</si>
  <si>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</si>
  <si>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</si>
  <si>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</si>
  <si>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</si>
  <si>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</si>
  <si>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</si>
  <si>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</si>
  <si>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</si>
  <si>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</si>
  <si>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</si>
  <si>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</si>
  <si>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</si>
  <si>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</si>
  <si>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</si>
  <si>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</si>
  <si>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</si>
  <si>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</si>
  <si>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</si>
  <si>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</si>
  <si>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</si>
  <si>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</si>
  <si>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</si>
  <si>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</si>
  <si>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</si>
  <si>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</si>
  <si>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</si>
  <si>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</si>
  <si>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</si>
  <si>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</si>
  <si>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</si>
  <si>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</si>
  <si>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</si>
  <si>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</si>
  <si>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</si>
  <si>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</si>
  <si>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</si>
  <si>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</si>
  <si>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</si>
  <si>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</si>
  <si>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</si>
  <si>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</si>
  <si>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</si>
  <si>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</si>
  <si>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</si>
  <si>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</si>
  <si>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</si>
  <si>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</si>
  <si>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</si>
  <si>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</si>
  <si>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</si>
  <si>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</si>
  <si>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</si>
  <si>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</si>
  <si>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</si>
  <si>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</si>
  <si>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</si>
  <si>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</si>
  <si>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</si>
  <si>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</si>
  <si>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</si>
  <si>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</si>
  <si>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</si>
  <si>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</si>
  <si>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</si>
  <si>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</si>
  <si>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</si>
  <si>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</si>
  <si>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</si>
  <si>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</si>
  <si>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</si>
  <si>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</si>
  <si>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</si>
  <si>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</si>
  <si>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</si>
  <si>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</si>
  <si>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</si>
  <si>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</si>
  <si>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</si>
  <si>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</si>
  <si>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</si>
  <si>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</si>
  <si>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</si>
  <si>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</si>
  <si>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</si>
  <si>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</si>
  <si>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</si>
  <si>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</si>
  <si>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</si>
  <si>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</si>
  <si>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</si>
  <si>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</si>
  <si>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</si>
  <si>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</si>
  <si>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</si>
  <si>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</si>
  <si>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</si>
  <si>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</si>
  <si>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</si>
  <si>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</si>
  <si>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</si>
  <si>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</si>
  <si>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</si>
  <si>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</si>
  <si>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</si>
  <si>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</si>
  <si>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</si>
  <si>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</si>
  <si>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</si>
  <si>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</si>
  <si>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</si>
  <si>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</si>
  <si>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</si>
  <si>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</si>
  <si>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</si>
  <si>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</si>
  <si>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</si>
  <si>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</si>
  <si>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</si>
  <si>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</si>
  <si>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</si>
  <si>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</si>
  <si>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</si>
  <si>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</si>
  <si>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</si>
  <si>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</si>
  <si>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</si>
  <si>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</si>
  <si>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</si>
  <si>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</si>
  <si>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</si>
  <si>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</si>
  <si>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</si>
  <si>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</si>
  <si>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</si>
  <si>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</si>
  <si>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</si>
  <si>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</si>
  <si>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</si>
  <si>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</si>
  <si>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</si>
  <si>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</si>
  <si>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</si>
  <si>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</si>
  <si>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</si>
  <si>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</si>
  <si>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</si>
  <si>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</si>
  <si>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</si>
  <si>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</si>
  <si>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</si>
  <si>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</si>
  <si>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</si>
  <si>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</si>
  <si>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</si>
  <si>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</si>
  <si>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</si>
  <si>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</si>
  <si>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</si>
  <si>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</si>
  <si>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</si>
  <si>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</si>
  <si>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</si>
  <si>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</si>
  <si>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</si>
  <si>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</si>
  <si>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</si>
  <si>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</si>
  <si>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</si>
  <si>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</si>
  <si>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</si>
  <si>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</si>
  <si>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</si>
  <si>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</si>
  <si>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</si>
  <si>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</si>
  <si>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</si>
  <si>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</si>
  <si>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</si>
  <si>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</si>
  <si>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</si>
  <si>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</si>
  <si>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</si>
  <si>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</si>
  <si>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</si>
  <si>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</si>
  <si>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</si>
  <si>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</si>
  <si>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</si>
  <si>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</si>
  <si>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</si>
  <si>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</si>
  <si>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</si>
  <si>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</si>
  <si>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</si>
  <si>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</si>
  <si>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</si>
  <si>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</si>
  <si>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</si>
  <si>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</si>
  <si>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</si>
  <si>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</si>
  <si>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</si>
  <si>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</si>
  <si>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</si>
  <si>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</si>
  <si>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</si>
  <si>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</si>
  <si>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</si>
  <si>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</si>
  <si>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</si>
  <si>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</si>
  <si>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</si>
  <si>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</si>
  <si>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</si>
  <si>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</si>
  <si>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</si>
  <si>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</si>
  <si>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</si>
  <si>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</si>
  <si>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</si>
  <si>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</si>
  <si>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</si>
  <si>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</si>
  <si>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</si>
  <si>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</si>
  <si>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</si>
  <si>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</si>
  <si>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</si>
  <si>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</si>
  <si>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</si>
  <si>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</si>
  <si>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</si>
  <si>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</si>
  <si>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</si>
  <si>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</si>
  <si>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</si>
  <si>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</si>
  <si>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</si>
  <si>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</si>
  <si>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</si>
  <si>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</si>
  <si>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</si>
  <si>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</si>
  <si>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</si>
  <si>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</si>
  <si>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</si>
  <si>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</si>
  <si>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</si>
  <si>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</si>
  <si>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</si>
  <si>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</si>
  <si>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</si>
  <si>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</si>
  <si>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</si>
  <si>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</si>
  <si>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</si>
  <si>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</si>
  <si>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</si>
  <si>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</si>
  <si>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</si>
  <si>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</si>
  <si>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</si>
  <si>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</si>
  <si>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</si>
  <si>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</si>
  <si>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</si>
  <si>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</si>
  <si>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</si>
  <si>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</si>
  <si>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</si>
  <si>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</si>
  <si>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</si>
  <si>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</si>
  <si>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</si>
  <si>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</si>
  <si>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</si>
  <si>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</si>
  <si>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</si>
  <si>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</si>
  <si>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</si>
  <si>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</si>
  <si>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</si>
  <si>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</si>
  <si>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</si>
  <si>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</si>
  <si>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</si>
  <si>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</si>
  <si>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</si>
  <si>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</si>
  <si>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</si>
  <si>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</si>
  <si>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</si>
  <si>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</si>
  <si>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</si>
  <si>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</si>
  <si>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</si>
  <si>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</si>
  <si>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</si>
  <si>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</si>
  <si>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</si>
  <si>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</si>
  <si>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</si>
  <si>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</si>
  <si>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</si>
  <si>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</si>
  <si>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</si>
  <si>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</si>
  <si>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</si>
  <si>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</si>
  <si>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</si>
  <si>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</si>
  <si>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</si>
  <si>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</si>
  <si>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</si>
  <si>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</si>
  <si>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</si>
  <si>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</si>
  <si>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</si>
  <si>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</si>
  <si>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</si>
  <si>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</si>
  <si>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</si>
  <si>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</si>
  <si>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</si>
  <si>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</si>
  <si>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</si>
  <si>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</si>
  <si>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</si>
  <si>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</si>
  <si>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</si>
  <si>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</si>
  <si>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</si>
  <si>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</si>
  <si>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</si>
  <si>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</si>
  <si>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</si>
  <si>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</si>
  <si>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</si>
  <si>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</si>
  <si>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</si>
  <si>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</si>
  <si>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</si>
  <si>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</si>
  <si>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</si>
  <si>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</si>
  <si>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</si>
  <si>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</si>
  <si>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</si>
  <si>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</si>
  <si>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</si>
  <si>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</si>
  <si>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</si>
  <si>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</si>
  <si>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</si>
  <si>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</si>
  <si>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</si>
  <si>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</si>
  <si>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</si>
  <si>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</si>
  <si>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</si>
  <si>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</si>
  <si>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</si>
  <si>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</si>
  <si>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</si>
  <si>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</si>
  <si>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</si>
  <si>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</si>
  <si>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</si>
  <si>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</si>
  <si>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</si>
  <si>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</si>
  <si>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</si>
  <si>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</si>
  <si>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</si>
  <si>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</si>
  <si>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</si>
  <si>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</si>
  <si>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</si>
  <si>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</si>
  <si>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</si>
  <si>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</si>
  <si>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</si>
  <si>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</si>
  <si>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</si>
  <si>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</si>
  <si>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</si>
  <si>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</si>
  <si>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</si>
  <si>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</si>
  <si>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</si>
  <si>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</si>
  <si>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</si>
  <si>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</si>
  <si>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</si>
  <si>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</si>
  <si>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</si>
  <si>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</si>
  <si>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</si>
  <si>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</si>
  <si>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</si>
  <si>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</si>
  <si>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</si>
  <si>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</si>
  <si>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</si>
  <si>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</si>
  <si>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</si>
  <si>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</si>
  <si>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</si>
  <si>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</si>
  <si>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</si>
  <si>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</si>
  <si>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</si>
  <si>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</si>
  <si>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</si>
  <si>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</si>
  <si>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</si>
  <si>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</si>
  <si>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</si>
  <si>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</si>
  <si>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</si>
  <si>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</si>
  <si>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</si>
  <si>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</si>
  <si>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</si>
  <si>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</si>
  <si>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</si>
  <si>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</si>
  <si>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</si>
  <si>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</si>
  <si>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</si>
  <si>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</si>
  <si>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</si>
  <si>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</si>
  <si>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</si>
  <si>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</si>
  <si>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</si>
  <si>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</si>
  <si>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</si>
  <si>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</si>
  <si>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</si>
  <si>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</si>
  <si>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</si>
  <si>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</si>
  <si>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</si>
  <si>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</si>
  <si>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</si>
  <si>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</si>
  <si>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</si>
  <si>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</si>
  <si>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</si>
  <si>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</si>
  <si>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</si>
  <si>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</si>
  <si>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</si>
  <si>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</si>
  <si>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</si>
  <si>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</si>
  <si>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</si>
  <si>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</si>
  <si>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</si>
  <si>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</si>
  <si>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</si>
  <si>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</si>
  <si>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</si>
  <si>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</si>
  <si>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</si>
  <si>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</si>
  <si>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</si>
  <si>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</si>
  <si>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</si>
  <si>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</si>
  <si>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</si>
  <si>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</si>
  <si>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</si>
  <si>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</si>
  <si>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</si>
  <si>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</si>
  <si>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</si>
  <si>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</si>
  <si>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</si>
  <si>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</si>
  <si>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</si>
  <si>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</si>
  <si>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</si>
  <si>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</si>
  <si>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</si>
  <si>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</si>
  <si>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</si>
  <si>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</si>
  <si>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</si>
  <si>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</si>
  <si>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</si>
  <si>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</si>
  <si>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</si>
  <si>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</si>
  <si>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</si>
  <si>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</si>
  <si>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</si>
  <si>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</si>
  <si>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</si>
  <si>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</si>
  <si>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</si>
  <si>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</si>
  <si>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</si>
  <si>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</si>
  <si>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</si>
  <si>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</si>
  <si>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</si>
  <si>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</si>
  <si>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</si>
  <si>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</si>
  <si>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</si>
  <si>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</si>
  <si>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</si>
  <si>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</si>
  <si>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</si>
  <si>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</si>
  <si>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</si>
  <si>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</si>
  <si>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</si>
  <si>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</si>
  <si>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</si>
  <si>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</si>
  <si>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</si>
  <si>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</si>
  <si>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</si>
  <si>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</si>
  <si>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</si>
  <si>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</si>
  <si>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</si>
  <si>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</si>
  <si>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</si>
  <si>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</si>
  <si>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</si>
  <si>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</si>
  <si>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</si>
  <si>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</si>
  <si>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</si>
  <si>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</si>
  <si>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</si>
  <si>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</si>
  <si>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</si>
  <si>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</si>
  <si>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</si>
  <si>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</si>
  <si>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</si>
  <si>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</si>
  <si>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</si>
  <si>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</si>
  <si>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</si>
  <si>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</si>
  <si>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</si>
  <si>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</si>
  <si>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</si>
  <si>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</si>
  <si>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</si>
  <si>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</si>
  <si>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</si>
  <si>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</si>
  <si>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</si>
  <si>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</si>
  <si>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</si>
  <si>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</si>
  <si>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</si>
  <si>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</si>
  <si>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</si>
  <si>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</si>
  <si>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</si>
  <si>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</si>
  <si>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</si>
  <si>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</si>
  <si>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</si>
  <si>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</si>
  <si>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</si>
  <si>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</si>
  <si>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</si>
  <si>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</si>
  <si>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</si>
  <si>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</si>
  <si>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</si>
  <si>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</si>
  <si>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</si>
  <si>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</si>
  <si>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</si>
  <si>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</si>
  <si>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</si>
  <si>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</si>
  <si>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</si>
  <si>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</si>
  <si>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</si>
  <si>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</si>
  <si>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</si>
  <si>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</si>
  <si>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</si>
  <si>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</si>
  <si>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</si>
  <si>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</si>
  <si>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</si>
  <si>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</si>
  <si>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</si>
  <si>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</si>
  <si>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</si>
  <si>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</si>
  <si>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</si>
  <si>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</si>
  <si>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</si>
  <si>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</si>
  <si>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</si>
  <si>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</si>
  <si>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</si>
  <si>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</si>
  <si>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</si>
  <si>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</si>
  <si>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</si>
  <si>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</si>
  <si>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</si>
  <si>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</si>
  <si>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</si>
  <si>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</si>
  <si>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</si>
  <si>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</si>
  <si>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</si>
  <si>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</si>
  <si>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</si>
  <si>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</si>
  <si>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</si>
  <si>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</si>
  <si>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</si>
  <si>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</si>
  <si>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</si>
  <si>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</si>
  <si>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</si>
  <si>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</si>
  <si>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</si>
  <si>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</si>
  <si>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</si>
  <si>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</si>
  <si>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</si>
  <si>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</si>
  <si>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</si>
  <si>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</si>
  <si>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</si>
  <si>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</si>
  <si>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</si>
  <si>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</si>
  <si>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</si>
  <si>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</si>
  <si>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</si>
  <si>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</si>
  <si>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</si>
  <si>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</si>
  <si>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</si>
  <si>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</si>
  <si>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</si>
  <si>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</si>
  <si>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</si>
  <si>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</si>
  <si>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</si>
  <si>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</si>
  <si>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</si>
  <si>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</si>
  <si>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</si>
  <si>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</si>
  <si>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</si>
  <si>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</si>
  <si>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</si>
  <si>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</si>
  <si>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</si>
  <si>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</si>
  <si>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</si>
  <si>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</si>
  <si>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</si>
  <si>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</si>
  <si>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</si>
  <si>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</si>
  <si>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</si>
  <si>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</si>
  <si>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</si>
  <si>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</si>
  <si>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</si>
  <si>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</si>
  <si>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</si>
  <si>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</si>
  <si>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</si>
  <si>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</si>
  <si>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</si>
  <si>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</si>
  <si>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</si>
  <si>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</si>
  <si>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</si>
  <si>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</si>
  <si>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</si>
  <si>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</si>
  <si>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</si>
  <si>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</si>
  <si>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</si>
  <si>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</si>
  <si>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</si>
  <si>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</si>
  <si>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</si>
  <si>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</si>
  <si>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</si>
  <si>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</si>
  <si>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</si>
  <si>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</si>
  <si>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</si>
  <si>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</si>
  <si>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</si>
  <si>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</si>
  <si>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</si>
  <si>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</si>
  <si>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</si>
  <si>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</si>
  <si>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</si>
  <si>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</si>
  <si>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</si>
  <si>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</si>
  <si>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</si>
  <si>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</si>
  <si>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</si>
  <si>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</si>
  <si>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</si>
  <si>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</si>
  <si>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</si>
  <si>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</si>
  <si>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</si>
  <si>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</si>
  <si>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</si>
  <si>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</si>
  <si>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</si>
  <si>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</si>
  <si>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</si>
  <si>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</si>
  <si>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</si>
  <si>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</si>
  <si>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</si>
  <si>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</si>
  <si>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</si>
  <si>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</si>
  <si>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</si>
  <si>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</si>
  <si>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</si>
  <si>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</si>
  <si>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</si>
  <si>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</si>
  <si>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</si>
  <si>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</si>
  <si>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</si>
  <si>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</si>
  <si>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</si>
  <si>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</si>
  <si>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</si>
  <si>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</si>
  <si>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</si>
  <si>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</si>
  <si>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</si>
  <si>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</si>
  <si>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</si>
  <si>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</si>
  <si>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</si>
  <si>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</si>
  <si>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</si>
  <si>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</si>
  <si>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</si>
  <si>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</si>
  <si>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</si>
  <si>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</si>
  <si>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</si>
  <si>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</si>
  <si>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</si>
  <si>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</si>
  <si>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</si>
  <si>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</si>
  <si>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</si>
  <si>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</si>
  <si>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</si>
  <si>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</si>
  <si>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</si>
  <si>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</si>
  <si>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</si>
  <si>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</si>
  <si>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</si>
  <si>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</si>
  <si>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</si>
  <si>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</si>
  <si>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</si>
  <si>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</si>
  <si>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</si>
  <si>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</si>
  <si>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</si>
  <si>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</si>
  <si>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</si>
  <si>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</si>
  <si>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</si>
  <si>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</si>
  <si>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</si>
  <si>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</si>
  <si>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</si>
  <si>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</si>
  <si>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</si>
  <si>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</si>
  <si>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</si>
  <si>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</si>
  <si>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</si>
  <si>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</si>
  <si>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</si>
  <si>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</si>
  <si>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</si>
  <si>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</si>
  <si>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</si>
  <si>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</si>
  <si>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</si>
  <si>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</si>
  <si>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</si>
  <si>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</si>
  <si>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</si>
  <si>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</si>
  <si>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</si>
  <si>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</si>
  <si>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</si>
  <si>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</si>
  <si>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</si>
  <si>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</si>
  <si>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</si>
  <si>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</si>
  <si>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</si>
  <si>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</si>
  <si>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</si>
  <si>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</si>
  <si>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</si>
  <si>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</si>
  <si>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</si>
  <si>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</si>
  <si>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</si>
  <si>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</si>
  <si>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</si>
  <si>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</si>
  <si>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</si>
  <si>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</si>
  <si>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</si>
  <si>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</si>
  <si>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</si>
  <si>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</si>
  <si>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</si>
  <si>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</si>
  <si>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</si>
  <si>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</si>
  <si>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</si>
  <si>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</si>
  <si>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</si>
  <si>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</si>
  <si>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</si>
  <si>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</si>
  <si>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</si>
  <si>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</si>
  <si>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</si>
  <si>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</si>
  <si>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</si>
  <si>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</si>
  <si>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</si>
  <si>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</si>
  <si>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</si>
  <si>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</si>
  <si>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</si>
  <si>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</si>
  <si>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</si>
  <si>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</si>
  <si>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</si>
  <si>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</si>
  <si>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</si>
  <si>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</si>
  <si>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</si>
  <si>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</si>
  <si>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</si>
  <si>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</si>
  <si>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</si>
  <si>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</si>
  <si>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</si>
  <si>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</si>
  <si>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</si>
  <si>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</si>
  <si>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</si>
  <si>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</si>
  <si>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</si>
  <si>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</si>
  <si>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</si>
  <si>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</si>
  <si>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</si>
  <si>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</si>
  <si>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</si>
  <si>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</si>
  <si>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</si>
  <si>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</si>
  <si>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</si>
  <si>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</si>
  <si>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</si>
  <si>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</si>
  <si>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</si>
  <si>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</si>
  <si>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</si>
  <si>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</si>
  <si>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</si>
  <si>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</si>
  <si>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</si>
  <si>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</si>
  <si>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</si>
  <si>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</si>
  <si>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</si>
  <si>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</si>
  <si>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</si>
  <si>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</si>
  <si>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</si>
  <si>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</si>
  <si>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</si>
  <si>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</si>
  <si>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</si>
  <si>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</si>
  <si>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</si>
  <si>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</si>
  <si>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</si>
  <si>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</si>
  <si>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</si>
  <si>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</si>
  <si>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</si>
  <si>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</si>
  <si>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</si>
  <si>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</si>
  <si>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</si>
  <si>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</si>
  <si>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</si>
  <si>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</si>
  <si>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</si>
  <si>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</si>
  <si>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</si>
  <si>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</si>
  <si>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</si>
  <si>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</si>
  <si>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</si>
  <si>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</si>
  <si>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</si>
  <si>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</si>
  <si>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</si>
  <si>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</si>
  <si>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</si>
  <si>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</si>
  <si>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</si>
  <si>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</si>
  <si>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</si>
  <si>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</si>
  <si>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</si>
  <si>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</si>
  <si>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</si>
  <si>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</si>
  <si>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</si>
  <si>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</si>
  <si>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</si>
  <si>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</si>
  <si>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</si>
  <si>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</si>
  <si>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</si>
  <si>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</si>
  <si>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</si>
  <si>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</si>
  <si>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</si>
  <si>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</si>
  <si>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</si>
  <si>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</si>
  <si>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</si>
  <si>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</si>
  <si>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</si>
  <si>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</si>
  <si>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</si>
  <si>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</si>
  <si>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</si>
  <si>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</si>
  <si>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</si>
  <si>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</si>
  <si>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</si>
  <si>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</si>
  <si>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</si>
  <si>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</si>
  <si>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</si>
  <si>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</si>
  <si>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</si>
  <si>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</si>
  <si>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</si>
  <si>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</si>
  <si>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</si>
  <si>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</si>
  <si>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</si>
  <si>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</si>
  <si>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</si>
  <si>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</si>
  <si>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</si>
  <si>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</si>
  <si>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</si>
  <si>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</si>
  <si>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</si>
  <si>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</si>
  <si>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</si>
  <si>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</si>
  <si>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</si>
  <si>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</si>
  <si>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</si>
  <si>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</si>
  <si>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</si>
  <si>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</si>
  <si>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</si>
  <si>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</si>
  <si>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</si>
  <si>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</si>
  <si>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</si>
  <si>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</si>
  <si>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</si>
  <si>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</si>
  <si>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</si>
  <si>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</si>
  <si>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</si>
  <si>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</si>
  <si>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</si>
  <si>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</si>
  <si>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</si>
  <si>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</si>
  <si>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</si>
  <si>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</si>
  <si>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</si>
  <si>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</si>
  <si>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</si>
  <si>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</si>
  <si>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</si>
  <si>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</si>
  <si>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</si>
  <si>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</si>
  <si>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</si>
  <si>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</si>
  <si>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</si>
  <si>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</si>
  <si>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</si>
  <si>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</si>
  <si>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</si>
  <si>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</si>
  <si>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</si>
  <si>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</si>
  <si>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</si>
  <si>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</si>
  <si>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</si>
  <si>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</si>
  <si>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</si>
  <si>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</si>
  <si>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</si>
  <si>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</si>
  <si>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</si>
  <si>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</si>
  <si>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</si>
  <si>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</si>
  <si>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</si>
  <si>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</si>
  <si>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</si>
  <si>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</si>
  <si>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</si>
  <si>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</si>
  <si>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</si>
  <si>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</si>
  <si>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</si>
  <si>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</si>
  <si>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</si>
  <si>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</si>
  <si>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</si>
  <si>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</si>
  <si>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</si>
  <si>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</si>
  <si>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</si>
  <si>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</si>
  <si>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</si>
  <si>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</si>
  <si>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</si>
  <si>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</si>
  <si>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</si>
  <si>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</si>
  <si>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</si>
  <si>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</si>
  <si>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</si>
  <si>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</si>
  <si>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</si>
  <si>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</si>
  <si>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</si>
  <si>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</si>
  <si>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</si>
  <si>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</si>
  <si>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</si>
  <si>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</si>
  <si>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</si>
  <si>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</si>
  <si>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</si>
  <si>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</si>
  <si>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</si>
  <si>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</si>
  <si>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</si>
  <si>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</si>
  <si>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</si>
  <si>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</si>
  <si>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</si>
  <si>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</si>
  <si>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</si>
  <si>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</si>
  <si>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</si>
  <si>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</si>
  <si>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</si>
  <si>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</si>
  <si>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</si>
  <si>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</si>
  <si>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</si>
  <si>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</si>
  <si>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</si>
  <si>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</si>
  <si>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</si>
  <si>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</si>
  <si>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</si>
  <si>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</si>
  <si>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</si>
  <si>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</si>
  <si>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</si>
  <si>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</si>
  <si>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</si>
  <si>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</si>
  <si>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</si>
  <si>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</si>
  <si>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</si>
  <si>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</si>
  <si>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</si>
  <si>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</si>
  <si>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</si>
  <si>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</si>
  <si>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</si>
  <si>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</si>
  <si>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</si>
  <si>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</si>
  <si>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</si>
  <si>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</si>
  <si>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</si>
  <si>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</si>
  <si>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</si>
  <si>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</si>
  <si>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</si>
  <si>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</si>
  <si>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</si>
  <si>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</si>
  <si>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</si>
  <si>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</si>
  <si>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</si>
  <si>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</si>
  <si>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</si>
  <si>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</si>
  <si>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</si>
  <si>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</si>
  <si>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</si>
  <si>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</si>
  <si>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</si>
  <si>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</si>
  <si>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</si>
  <si>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</si>
  <si>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</si>
  <si>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</si>
  <si>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</si>
  <si>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</si>
  <si>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</si>
  <si>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</si>
  <si>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</si>
  <si>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</si>
  <si>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</si>
  <si>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</si>
  <si>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</si>
  <si>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</si>
  <si>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</si>
  <si>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</si>
  <si>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</si>
  <si>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</si>
  <si>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</si>
  <si>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</si>
  <si>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</si>
  <si>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</si>
  <si>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</si>
  <si>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</si>
  <si>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</si>
  <si>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</si>
  <si>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</si>
  <si>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</si>
  <si>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</si>
  <si>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</si>
  <si>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</si>
  <si>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</si>
  <si>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</si>
  <si>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</si>
  <si>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</si>
  <si>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</si>
  <si>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</si>
  <si>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</si>
  <si>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</si>
  <si>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</si>
  <si>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</si>
  <si>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</si>
  <si>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</si>
  <si>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</si>
  <si>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</si>
  <si>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</si>
  <si>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</si>
  <si>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</si>
  <si>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</si>
  <si>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</si>
  <si>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</si>
  <si>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</si>
  <si>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</si>
  <si>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</si>
  <si>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</si>
  <si>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</si>
  <si>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</si>
  <si>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</si>
  <si>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</si>
  <si>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</si>
  <si>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</si>
  <si>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</si>
  <si>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</si>
  <si>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</si>
  <si>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</si>
  <si>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</si>
  <si>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</si>
  <si>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</si>
  <si>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</si>
  <si>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</si>
  <si>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</si>
  <si>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</si>
  <si>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</si>
  <si>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</si>
  <si>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</si>
  <si>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</si>
  <si>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</si>
  <si>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</si>
  <si>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</si>
  <si>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</si>
  <si>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</si>
  <si>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</si>
  <si>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</si>
  <si>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</si>
  <si>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</si>
  <si>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</si>
  <si>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</si>
  <si>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</si>
  <si>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</si>
  <si>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</si>
  <si>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</si>
  <si>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</si>
  <si>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</si>
  <si>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</si>
  <si>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</si>
  <si>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</si>
  <si>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</si>
  <si>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</si>
  <si>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</si>
  <si>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</si>
  <si>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</si>
  <si>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</si>
  <si>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</si>
  <si>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</si>
  <si>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</si>
  <si>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</si>
  <si>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</si>
  <si>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</si>
  <si>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</si>
  <si>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</si>
  <si>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</si>
  <si>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</si>
  <si>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</si>
  <si>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</si>
  <si>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</si>
  <si>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</si>
  <si>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</si>
  <si>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</si>
  <si>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</si>
  <si>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</si>
  <si>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</si>
  <si>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</si>
  <si>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</si>
  <si>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</si>
  <si>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</si>
  <si>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</si>
  <si>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</si>
  <si>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</si>
  <si>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</si>
  <si>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</si>
  <si>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</si>
  <si>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</si>
  <si>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</si>
  <si>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</si>
  <si>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</si>
  <si>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</si>
  <si>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</si>
  <si>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</si>
  <si>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</si>
  <si>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</si>
  <si>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</si>
  <si>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</si>
  <si>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</si>
  <si>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</si>
  <si>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</si>
  <si>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</si>
  <si>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</si>
  <si>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</si>
  <si>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</si>
  <si>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</si>
  <si>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</si>
  <si>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</si>
  <si>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</si>
  <si>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</si>
  <si>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</si>
  <si>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</si>
  <si>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</si>
  <si>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</si>
  <si>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</si>
  <si>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</si>
  <si>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</si>
  <si>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</si>
  <si>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</si>
  <si>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</si>
  <si>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</si>
  <si>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</si>
  <si>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</si>
  <si>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</si>
  <si>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</si>
  <si>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</si>
  <si>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</si>
  <si>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</si>
  <si>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</si>
  <si>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</si>
  <si>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</si>
  <si>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</si>
  <si>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</si>
  <si>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</si>
  <si>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</si>
  <si>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</si>
  <si>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</si>
  <si>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</si>
  <si>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</si>
  <si>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</si>
  <si>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</si>
  <si>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</si>
  <si>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</si>
  <si>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</si>
  <si>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</si>
  <si>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</si>
  <si>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</si>
  <si>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</si>
  <si>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</si>
  <si>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</si>
  <si>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</si>
  <si>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</si>
  <si>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</si>
  <si>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</si>
  <si>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</si>
  <si>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</si>
  <si>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</si>
  <si>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</si>
  <si>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</si>
  <si>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</si>
  <si>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</si>
  <si>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</si>
  <si>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</si>
  <si>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</si>
  <si>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</si>
  <si>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</si>
  <si>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</si>
  <si>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</si>
  <si>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</si>
  <si>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</si>
  <si>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</si>
  <si>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</si>
  <si>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</si>
  <si>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</si>
  <si>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</si>
  <si>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</si>
  <si>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</si>
  <si>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</si>
  <si>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</si>
  <si>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</si>
  <si>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</si>
  <si>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</si>
  <si>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</si>
  <si>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</si>
  <si>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</si>
  <si>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</si>
  <si>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</si>
  <si>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</si>
  <si>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</si>
  <si>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</si>
  <si>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</si>
  <si>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</si>
  <si>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</si>
  <si>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</si>
  <si>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</si>
  <si>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</si>
  <si>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</si>
  <si>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</si>
  <si>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</si>
  <si>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</si>
  <si>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</si>
  <si>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</si>
  <si>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</si>
  <si>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</si>
  <si>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</si>
  <si>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</si>
  <si>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</si>
  <si>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</si>
  <si>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</si>
  <si>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</si>
  <si>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</si>
  <si>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</si>
  <si>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</si>
  <si>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</si>
  <si>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</si>
  <si>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</si>
  <si>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</si>
  <si>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</si>
  <si>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</si>
  <si>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</si>
  <si>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</si>
  <si>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</si>
  <si>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</si>
  <si>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</si>
  <si>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</si>
  <si>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</si>
  <si>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</si>
  <si>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</si>
  <si>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</si>
  <si>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</si>
  <si>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</si>
  <si>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</si>
  <si>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</si>
  <si>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</si>
  <si>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</si>
  <si>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</si>
  <si>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</si>
  <si>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</si>
  <si>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</si>
  <si>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</si>
  <si>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</si>
  <si>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</si>
  <si>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</si>
  <si>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</si>
  <si>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</si>
  <si>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</si>
  <si>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</si>
  <si>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</si>
  <si>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</si>
  <si>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</si>
  <si>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</si>
  <si>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</si>
  <si>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</si>
  <si>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</si>
  <si>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</si>
  <si>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</si>
  <si>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</si>
  <si>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</si>
  <si>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</si>
  <si>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</si>
  <si>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</si>
  <si>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</si>
  <si>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</si>
  <si>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</si>
  <si>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</si>
  <si>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</si>
  <si>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</si>
  <si>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</si>
  <si>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</si>
  <si>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</si>
  <si>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</si>
  <si>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</si>
  <si>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</si>
  <si>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</si>
  <si>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</si>
  <si>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</si>
  <si>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</si>
  <si>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</si>
  <si>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</si>
  <si>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</si>
  <si>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</si>
  <si>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</si>
  <si>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</si>
  <si>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</si>
  <si>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</si>
  <si>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</si>
  <si>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</si>
  <si>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</si>
  <si>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</si>
  <si>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</si>
  <si>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</si>
  <si>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</si>
  <si>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</si>
  <si>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</si>
  <si>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</si>
  <si>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</si>
  <si>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</si>
  <si>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</si>
  <si>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</si>
  <si>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</si>
  <si>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</si>
  <si>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</si>
  <si>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</si>
  <si>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</si>
  <si>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</si>
  <si>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</si>
  <si>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</si>
  <si>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</si>
  <si>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</si>
  <si>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</si>
  <si>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</si>
  <si>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</si>
  <si>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</si>
  <si>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</si>
  <si>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</si>
  <si>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</si>
  <si>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</si>
  <si>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</si>
  <si>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</si>
  <si>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</si>
  <si>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</si>
  <si>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</si>
  <si>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</si>
  <si>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</si>
  <si>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</si>
  <si>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</si>
  <si>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</si>
  <si>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</si>
  <si>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</si>
  <si>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</si>
  <si>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</si>
  <si>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</si>
  <si>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</si>
  <si>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</si>
  <si>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</si>
  <si>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</si>
  <si>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</si>
  <si>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</si>
  <si>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</si>
  <si>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</si>
  <si>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</si>
  <si>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</si>
  <si>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</si>
  <si>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</si>
  <si>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</si>
  <si>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</si>
  <si>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</si>
  <si>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</si>
  <si>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</si>
  <si>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</si>
  <si>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</si>
  <si>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</si>
  <si>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</si>
  <si>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</si>
  <si>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</si>
  <si>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</si>
  <si>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</si>
  <si>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</si>
  <si>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</si>
  <si>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</si>
  <si>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</si>
  <si>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</si>
  <si>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</si>
  <si>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</si>
  <si>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</si>
  <si>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</si>
  <si>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</si>
  <si>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</si>
  <si>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</si>
  <si>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</si>
  <si>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</si>
  <si>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</si>
  <si>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</si>
  <si>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</si>
  <si>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</si>
  <si>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</si>
  <si>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</si>
  <si>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</si>
  <si>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</si>
  <si>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</si>
  <si>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</si>
  <si>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</si>
  <si>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</si>
  <si>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</si>
  <si>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</si>
  <si>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</si>
  <si>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</si>
  <si>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</si>
  <si>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</si>
  <si>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</si>
  <si>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</si>
  <si>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</si>
  <si>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</si>
  <si>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</si>
  <si>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</si>
  <si>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</si>
  <si>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</si>
  <si>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</si>
  <si>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</si>
  <si>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</si>
  <si>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</si>
  <si>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</si>
  <si>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</si>
  <si>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</si>
  <si>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</si>
  <si>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</si>
  <si>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</si>
  <si>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</si>
  <si>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</si>
  <si>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</si>
  <si>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</si>
  <si>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</si>
  <si>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</si>
  <si>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</si>
  <si>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</si>
  <si>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</si>
  <si>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</si>
  <si>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</si>
  <si>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</si>
  <si>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</si>
  <si>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</si>
  <si>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</si>
  <si>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</si>
  <si>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</si>
  <si>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</si>
  <si>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</si>
  <si>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</si>
  <si>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</si>
  <si>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</si>
  <si>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</si>
  <si>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</si>
  <si>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</si>
  <si>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</si>
  <si>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</si>
  <si>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</si>
  <si>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</si>
  <si>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</si>
  <si>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</si>
  <si>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</si>
  <si>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</si>
  <si>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</si>
  <si>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</si>
  <si>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</si>
  <si>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</si>
  <si>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</si>
  <si>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</si>
  <si>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</si>
  <si>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</si>
  <si>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</si>
  <si>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</si>
  <si>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</si>
  <si>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</si>
  <si>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</si>
  <si>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</si>
  <si>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</si>
  <si>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</si>
  <si>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</si>
  <si>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</si>
  <si>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</si>
  <si>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</si>
  <si>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</si>
  <si>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</si>
  <si>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</si>
  <si>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</si>
  <si>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</si>
  <si>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</si>
  <si>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</si>
  <si>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</si>
  <si>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</si>
  <si>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</si>
  <si>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</si>
  <si>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</si>
  <si>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</si>
  <si>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</si>
  <si>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</si>
  <si>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</si>
  <si>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</si>
  <si>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</si>
  <si>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</si>
  <si>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</si>
  <si>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</si>
  <si>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</si>
  <si>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</si>
  <si>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</si>
  <si>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</si>
  <si>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</si>
  <si>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</si>
  <si>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</si>
  <si>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</si>
  <si>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</si>
  <si>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</si>
  <si>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</si>
  <si>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</si>
  <si>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</si>
  <si>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</si>
  <si>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</si>
  <si>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</si>
  <si>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</si>
  <si>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</si>
  <si>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</si>
  <si>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</si>
  <si>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</si>
  <si>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</si>
  <si>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</si>
  <si>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</si>
  <si>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</si>
  <si>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</si>
  <si>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</si>
  <si>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</si>
  <si>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</si>
  <si>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</si>
  <si>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</si>
  <si>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</si>
  <si>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</si>
  <si>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</si>
  <si>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</si>
  <si>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</si>
  <si>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</si>
  <si>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</si>
  <si>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</si>
  <si>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</si>
  <si>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</si>
  <si>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</si>
  <si>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</si>
  <si>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</si>
  <si>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</si>
  <si>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</si>
  <si>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</si>
  <si>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</si>
  <si>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</si>
  <si>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</si>
  <si>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</si>
  <si>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</si>
  <si>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</si>
  <si>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</si>
  <si>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</si>
  <si>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</si>
  <si>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</si>
  <si>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</si>
  <si>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</si>
  <si>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</si>
  <si>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</si>
  <si>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</si>
  <si>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</si>
  <si>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</si>
  <si>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</si>
  <si>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</si>
  <si>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</si>
  <si>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</si>
  <si>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</si>
  <si>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</si>
  <si>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</si>
  <si>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</si>
  <si>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</si>
  <si>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</si>
  <si>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</si>
  <si>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</si>
  <si>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</si>
  <si>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</si>
  <si>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</si>
  <si>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</si>
  <si>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</si>
  <si>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</si>
  <si>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</si>
  <si>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</si>
  <si>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</si>
  <si>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</si>
  <si>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</si>
  <si>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</si>
  <si>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</si>
  <si>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</si>
  <si>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</si>
  <si>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</si>
  <si>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</si>
  <si>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</si>
  <si>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</si>
  <si>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</si>
  <si>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</si>
  <si>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</si>
  <si>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</si>
  <si>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</si>
  <si>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</si>
  <si>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</si>
  <si>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</si>
  <si>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</si>
  <si>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</si>
  <si>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</si>
  <si>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</si>
  <si>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</si>
  <si>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</si>
  <si>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</si>
  <si>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</si>
  <si>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</si>
  <si>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</si>
  <si>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</si>
  <si>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</si>
  <si>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</si>
  <si>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</si>
  <si>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</si>
  <si>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</si>
  <si>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</si>
  <si>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</si>
  <si>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</si>
  <si>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</si>
  <si>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</si>
  <si>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</si>
  <si>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</si>
  <si>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</si>
  <si>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</si>
  <si>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</si>
  <si>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</si>
  <si>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</si>
  <si>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</si>
  <si>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</si>
  <si>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</si>
  <si>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</si>
  <si>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</si>
  <si>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</si>
  <si>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</si>
  <si>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</si>
  <si>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</si>
  <si>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</si>
  <si>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</si>
  <si>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</si>
  <si>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</si>
  <si>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</si>
  <si>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</si>
  <si>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</si>
  <si>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</si>
  <si>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</si>
  <si>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</si>
  <si>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</si>
  <si>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</si>
  <si>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</si>
  <si>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</si>
  <si>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</si>
  <si>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</si>
  <si>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</si>
  <si>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</si>
  <si>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</si>
  <si>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</si>
  <si>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</si>
  <si>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</si>
  <si>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</si>
  <si>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</si>
  <si>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</si>
  <si>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</si>
  <si>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</si>
  <si>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</si>
  <si>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</si>
  <si>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</si>
  <si>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</si>
  <si>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</si>
  <si>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</si>
  <si>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</si>
  <si>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</si>
  <si>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</si>
  <si>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</si>
  <si>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</si>
  <si>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</si>
  <si>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</si>
  <si>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</si>
  <si>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</si>
  <si>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</si>
  <si>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</si>
  <si>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</si>
  <si>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</si>
  <si>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</si>
  <si>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</si>
  <si>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</si>
  <si>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</si>
  <si>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</si>
  <si>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</si>
  <si>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</si>
  <si>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</si>
  <si>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</si>
  <si>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</si>
  <si>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</si>
  <si>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</si>
  <si>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</si>
  <si>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</si>
  <si>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</si>
  <si>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</si>
  <si>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</si>
  <si>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</si>
  <si>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</si>
  <si>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</si>
  <si>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</si>
  <si>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</si>
  <si>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</si>
  <si>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</si>
  <si>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</si>
  <si>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</si>
  <si>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</si>
  <si>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</si>
  <si>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</si>
  <si>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</si>
  <si>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</si>
  <si>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</si>
  <si>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</si>
  <si>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</si>
  <si>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</si>
  <si>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</si>
  <si>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</si>
  <si>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</si>
  <si>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</si>
  <si>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</si>
  <si>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</si>
  <si>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</si>
  <si>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</si>
  <si>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</si>
  <si>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</si>
  <si>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</si>
  <si>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</si>
  <si>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</si>
  <si>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</si>
  <si>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</si>
  <si>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</si>
  <si>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</si>
  <si>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</si>
  <si>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</si>
  <si>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</si>
  <si>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</si>
  <si>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</si>
  <si>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</si>
  <si>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</si>
  <si>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</si>
  <si>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</si>
  <si>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</si>
  <si>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</si>
  <si>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</si>
  <si>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</si>
  <si>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</si>
  <si>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</si>
  <si>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</si>
  <si>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</si>
  <si>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</si>
  <si>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</si>
  <si>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</si>
  <si>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</si>
  <si>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</si>
  <si>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</si>
  <si>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</si>
  <si>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</si>
  <si>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</si>
  <si>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</si>
  <si>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</si>
  <si>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</si>
  <si>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</si>
  <si>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</si>
  <si>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</si>
  <si>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</si>
  <si>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</si>
  <si>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</si>
  <si>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</si>
  <si>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</si>
  <si>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</si>
  <si>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</si>
  <si>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</si>
  <si>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</si>
  <si>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</si>
  <si>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</si>
  <si>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</si>
  <si>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</si>
  <si>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</si>
  <si>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</si>
  <si>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</si>
  <si>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</si>
  <si>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</si>
  <si>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</si>
  <si>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</si>
  <si>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</si>
  <si>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</si>
  <si>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</si>
  <si>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</si>
  <si>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</si>
  <si>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</si>
  <si>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</si>
  <si>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</si>
  <si>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</si>
  <si>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</si>
  <si>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</si>
  <si>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</si>
  <si>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</si>
  <si>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</si>
  <si>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</si>
  <si>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</si>
  <si>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</si>
  <si>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</si>
  <si>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</si>
  <si>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</si>
  <si>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</si>
  <si>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</si>
  <si>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</si>
  <si>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</si>
  <si>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</si>
  <si>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</si>
  <si>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</si>
  <si>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</si>
  <si>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</si>
  <si>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</si>
  <si>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</si>
  <si>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</si>
  <si>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</si>
  <si>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</si>
  <si>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</si>
  <si>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</si>
  <si>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</si>
  <si>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</si>
  <si>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</si>
  <si>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</si>
  <si>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</si>
  <si>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</si>
  <si>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</si>
  <si>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</si>
  <si>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</si>
  <si>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</si>
  <si>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</si>
  <si>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</si>
  <si>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</si>
  <si>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</si>
  <si>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</si>
  <si>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</si>
  <si>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</si>
  <si>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</si>
  <si>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</si>
  <si>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</si>
  <si>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</si>
  <si>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</si>
  <si>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</si>
  <si>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</si>
  <si>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</si>
  <si>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</si>
  <si>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</si>
  <si>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</si>
  <si>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</si>
  <si>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</si>
  <si>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</si>
  <si>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</si>
  <si>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</si>
  <si>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</si>
  <si>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</si>
  <si>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</si>
  <si>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</si>
  <si>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</si>
  <si>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</si>
  <si>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</si>
  <si>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</si>
  <si>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</si>
  <si>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</si>
  <si>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</si>
  <si>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</si>
  <si>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</si>
  <si>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</si>
  <si>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</si>
  <si>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</si>
  <si>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</si>
  <si>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</si>
  <si>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</si>
  <si>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</si>
  <si>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</si>
  <si>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</si>
  <si>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</si>
  <si>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</si>
  <si>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</si>
  <si>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</si>
  <si>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</si>
  <si>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</si>
  <si>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</si>
  <si>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</si>
  <si>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</si>
  <si>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</si>
  <si>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</si>
  <si>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</si>
  <si>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</si>
  <si>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</si>
  <si>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</si>
  <si>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</si>
  <si>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</si>
  <si>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</si>
  <si>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</si>
  <si>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</si>
  <si>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</si>
  <si>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</si>
  <si>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</si>
  <si>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</si>
  <si>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</si>
  <si>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</si>
  <si>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</si>
  <si>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</si>
  <si>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</si>
  <si>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</si>
  <si>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</si>
  <si>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</si>
  <si>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</si>
  <si>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</si>
  <si>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</si>
  <si>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</si>
  <si>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</si>
  <si>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</si>
  <si>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</si>
  <si>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</si>
  <si>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</si>
  <si>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</si>
  <si>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</si>
  <si>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</si>
  <si>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</si>
  <si>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</si>
  <si>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</si>
  <si>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</si>
  <si>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</si>
  <si>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</si>
  <si>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</si>
  <si>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</si>
  <si>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</si>
  <si>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</si>
  <si>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</si>
  <si>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</si>
  <si>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</si>
  <si>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</si>
  <si>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</si>
  <si>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</si>
  <si>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</si>
  <si>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</si>
  <si>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</si>
  <si>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</si>
  <si>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</si>
  <si>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</si>
  <si>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</si>
  <si>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</si>
  <si>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</si>
  <si>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</si>
  <si>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</si>
  <si>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</si>
  <si>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</si>
  <si>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</si>
  <si>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</si>
  <si>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</si>
  <si>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</si>
  <si>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</si>
  <si>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</si>
  <si>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</si>
  <si>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</si>
  <si>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</si>
  <si>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</si>
  <si>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</si>
  <si>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</si>
  <si>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</si>
  <si>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</si>
  <si>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</si>
  <si>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</si>
  <si>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</si>
  <si>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</si>
  <si>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</si>
  <si>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</si>
  <si>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</si>
  <si>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</si>
  <si>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</si>
  <si>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</si>
  <si>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</si>
  <si>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</si>
  <si>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</si>
  <si>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</si>
  <si>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</si>
  <si>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</si>
  <si>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</si>
  <si>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</si>
  <si>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</si>
  <si>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</si>
  <si>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</si>
  <si>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</si>
  <si>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</si>
  <si>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</si>
  <si>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</si>
  <si>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</si>
  <si>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</si>
  <si>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</si>
  <si>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</si>
  <si>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</si>
  <si>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</si>
  <si>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</si>
  <si>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</si>
  <si>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</si>
  <si>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</si>
  <si>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</si>
  <si>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</si>
  <si>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</si>
  <si>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</si>
  <si>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</si>
  <si>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</si>
  <si>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</si>
  <si>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</si>
  <si>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</si>
  <si>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</si>
  <si>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</si>
  <si>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</si>
  <si>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</si>
  <si>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</si>
  <si>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</si>
  <si>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</si>
  <si>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</si>
  <si>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</si>
  <si>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</si>
  <si>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</si>
  <si>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</si>
  <si>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</si>
  <si>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</si>
  <si>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</si>
  <si>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</si>
  <si>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</si>
  <si>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</si>
  <si>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</si>
  <si>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</si>
  <si>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</si>
  <si>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</si>
  <si>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</si>
  <si>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</si>
  <si>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</si>
  <si>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</si>
  <si>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</si>
  <si>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</si>
  <si>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</si>
  <si>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</si>
  <si>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</si>
  <si>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</si>
  <si>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</si>
  <si>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</si>
  <si>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</si>
  <si>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</si>
  <si>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</si>
  <si>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</si>
  <si>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</si>
  <si>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</si>
  <si>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</si>
  <si>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</si>
  <si>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</si>
  <si>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</si>
  <si>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</si>
  <si>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</si>
  <si>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</si>
  <si>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</si>
  <si>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</si>
  <si>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</si>
  <si>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</si>
  <si>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</si>
  <si>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</si>
  <si>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</si>
  <si>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</si>
  <si>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</si>
  <si>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</si>
  <si>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</si>
  <si>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</si>
  <si>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</si>
  <si>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</si>
  <si>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</si>
  <si>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</si>
  <si>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</si>
  <si>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</si>
  <si>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</si>
  <si>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</si>
  <si>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</si>
  <si>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</si>
  <si>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</si>
  <si>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</si>
  <si>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</si>
  <si>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</si>
  <si>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</si>
  <si>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</si>
  <si>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</si>
  <si>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</si>
  <si>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</si>
  <si>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</si>
  <si>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</si>
  <si>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</si>
  <si>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</si>
  <si>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</si>
  <si>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</si>
  <si>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</si>
  <si>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</si>
  <si>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</si>
  <si>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</si>
  <si>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</si>
  <si>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</si>
  <si>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</si>
  <si>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</si>
  <si>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</si>
  <si>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</si>
  <si>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</si>
  <si>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</si>
  <si>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</si>
  <si>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</si>
  <si>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</si>
  <si>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</si>
  <si>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</si>
  <si>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</si>
  <si>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</si>
  <si>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</si>
  <si>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</si>
  <si>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</si>
  <si>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</si>
  <si>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</si>
  <si>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</si>
  <si>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</si>
  <si>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</si>
  <si>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</si>
  <si>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</si>
  <si>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</si>
  <si>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</si>
  <si>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</si>
  <si>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</si>
  <si>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</si>
  <si>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</si>
  <si>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</si>
  <si>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</si>
  <si>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</si>
  <si>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</si>
  <si>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</si>
  <si>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</si>
  <si>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</si>
  <si>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</si>
  <si>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</si>
  <si>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</si>
  <si>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</si>
  <si>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</si>
  <si>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</si>
  <si>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</si>
  <si>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</si>
  <si>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</si>
  <si>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</si>
  <si>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</si>
  <si>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</si>
  <si>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</si>
  <si>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</si>
  <si>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</si>
  <si>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</si>
  <si>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</si>
  <si>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</si>
  <si>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</si>
  <si>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</si>
  <si>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</si>
  <si>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</si>
  <si>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</si>
  <si>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</si>
  <si>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</si>
  <si>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</si>
  <si>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</si>
  <si>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</si>
  <si>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</si>
  <si>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</si>
  <si>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</si>
  <si>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</si>
  <si>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</si>
  <si>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</si>
  <si>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</si>
  <si>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</si>
  <si>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</si>
  <si>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</si>
  <si>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</si>
  <si>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</si>
  <si>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</si>
  <si>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</si>
  <si>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</si>
  <si>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</si>
  <si>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</si>
  <si>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</si>
  <si>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</si>
  <si>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</si>
  <si>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</si>
  <si>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</si>
  <si>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</si>
  <si>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</si>
  <si>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</si>
  <si>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</si>
  <si>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</si>
  <si>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</si>
  <si>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</si>
  <si>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</si>
  <si>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</si>
  <si>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</si>
  <si>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</si>
  <si>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</si>
  <si>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</si>
  <si>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</si>
  <si>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</si>
  <si>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</si>
  <si>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</si>
  <si>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</si>
  <si>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</si>
  <si>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</si>
  <si>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</si>
  <si>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</si>
  <si>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</si>
  <si>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</si>
  <si>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</si>
  <si>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</si>
  <si>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</si>
  <si>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</si>
  <si>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</si>
  <si>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</si>
  <si>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</si>
  <si>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</si>
  <si>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</si>
  <si>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</si>
  <si>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</si>
  <si>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</si>
  <si>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</si>
  <si>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</si>
  <si>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</si>
  <si>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</si>
  <si>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</si>
  <si>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</si>
  <si>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</si>
  <si>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</si>
  <si>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</si>
  <si>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</si>
  <si>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</si>
  <si>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</si>
  <si>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</si>
  <si>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</si>
  <si>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</si>
  <si>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</si>
  <si>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</si>
  <si>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</si>
  <si>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</si>
  <si>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</si>
  <si>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</si>
  <si>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</si>
  <si>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</si>
  <si>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</si>
  <si>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</si>
  <si>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</si>
  <si>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</si>
  <si>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</si>
  <si>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</si>
  <si>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</si>
  <si>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</si>
  <si>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</si>
  <si>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</si>
  <si>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</si>
  <si>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</si>
  <si>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</si>
  <si>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</si>
  <si>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</si>
  <si>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</si>
  <si>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</si>
  <si>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</si>
  <si>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</si>
  <si>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</si>
  <si>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</si>
  <si>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</si>
  <si>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</si>
  <si>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</si>
  <si>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</si>
  <si>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</si>
  <si>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</si>
  <si>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</si>
  <si>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</si>
  <si>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</si>
  <si>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</si>
  <si>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</si>
  <si>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</si>
  <si>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</si>
  <si>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</si>
  <si>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</si>
  <si>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</si>
  <si>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</si>
  <si>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</si>
  <si>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</si>
  <si>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</si>
  <si>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</si>
  <si>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</si>
  <si>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</si>
  <si>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</si>
  <si>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</si>
  <si>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</si>
  <si>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</si>
  <si>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</si>
  <si>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</si>
  <si>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</si>
  <si>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</si>
  <si>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</si>
  <si>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</si>
  <si>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</si>
  <si>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</si>
  <si>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</si>
  <si>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</si>
  <si>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</si>
  <si>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</si>
  <si>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</si>
  <si>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</si>
  <si>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</si>
  <si>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</si>
  <si>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</si>
  <si>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</si>
  <si>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</si>
  <si>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</si>
  <si>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</si>
  <si>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</si>
  <si>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</si>
  <si>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</si>
  <si>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</si>
  <si>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</si>
  <si>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</si>
  <si>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</si>
  <si>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</si>
  <si>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</si>
  <si>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</si>
  <si>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</si>
  <si>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</si>
  <si>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</si>
  <si>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</si>
  <si>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</si>
  <si>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</si>
  <si>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</si>
  <si>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</si>
  <si>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</si>
  <si>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</si>
  <si>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</si>
  <si>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</si>
  <si>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</si>
  <si>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</si>
  <si>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</si>
  <si>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</si>
  <si>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</si>
  <si>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</si>
  <si>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</si>
  <si>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</si>
  <si>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</si>
  <si>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</si>
  <si>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</si>
  <si>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</si>
  <si>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</si>
  <si>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</si>
  <si>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</si>
  <si>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</si>
  <si>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</si>
  <si>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</si>
  <si>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</si>
  <si>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</si>
  <si>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</si>
  <si>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</si>
  <si>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</si>
  <si>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</si>
  <si>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</si>
  <si>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</si>
  <si>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</si>
  <si>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</si>
  <si>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</si>
  <si>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</si>
  <si>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</si>
  <si>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</si>
  <si>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</si>
  <si>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</si>
  <si>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</si>
  <si>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</si>
  <si>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</si>
  <si>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</si>
  <si>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</si>
  <si>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</si>
  <si>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</si>
  <si>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</si>
  <si>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</si>
  <si>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</si>
  <si>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</si>
  <si>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</si>
  <si>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</si>
  <si>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</si>
  <si>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</si>
  <si>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</si>
  <si>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</si>
  <si>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</si>
  <si>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</si>
  <si>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</si>
  <si>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</si>
  <si>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</si>
  <si>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</si>
  <si>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</si>
  <si>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</si>
  <si>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</si>
  <si>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</si>
  <si>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</si>
  <si>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</si>
  <si>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</si>
  <si>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</si>
  <si>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</si>
  <si>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</si>
  <si>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</si>
  <si>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</si>
  <si>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</si>
  <si>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</si>
  <si>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</si>
  <si>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</si>
  <si>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</si>
  <si>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</si>
  <si>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</si>
  <si>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</si>
  <si>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</si>
  <si>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</si>
  <si>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</si>
  <si>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</si>
  <si>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</si>
  <si>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</si>
  <si>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</si>
  <si>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</si>
  <si>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</si>
  <si>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</si>
  <si>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</si>
  <si>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</si>
  <si>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</si>
  <si>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</si>
  <si>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</si>
  <si>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</si>
  <si>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</si>
  <si>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</si>
  <si>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</si>
  <si>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</si>
  <si>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</si>
  <si>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</si>
  <si>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</si>
  <si>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</si>
  <si>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</si>
  <si>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</si>
  <si>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</si>
  <si>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</si>
  <si>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</si>
  <si>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</si>
  <si>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</si>
  <si>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</si>
  <si>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</si>
  <si>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</si>
  <si>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</si>
  <si>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</si>
  <si>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</si>
  <si>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</si>
  <si>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</si>
  <si>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</si>
  <si>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</si>
  <si>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</si>
  <si>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</si>
  <si>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</si>
  <si>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</si>
  <si>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</si>
  <si>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</si>
  <si>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</si>
  <si>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</si>
  <si>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</si>
  <si>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</si>
  <si>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</si>
  <si>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</si>
  <si>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</si>
  <si>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</si>
  <si>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</si>
  <si>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</si>
  <si>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</si>
  <si>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</si>
  <si>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</si>
  <si>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</si>
  <si>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</si>
  <si>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</si>
  <si>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</si>
  <si>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</si>
  <si>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</si>
  <si>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</si>
  <si>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</si>
  <si>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</si>
  <si>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</si>
  <si>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</si>
  <si>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</si>
  <si>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</si>
  <si>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</si>
  <si>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</si>
  <si>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</si>
  <si>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</si>
  <si>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</si>
  <si>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</si>
  <si>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</si>
  <si>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</si>
  <si>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</si>
  <si>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</si>
  <si>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</si>
  <si>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</si>
  <si>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</si>
  <si>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</si>
  <si>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</si>
  <si>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</si>
  <si>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</si>
  <si>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</si>
  <si>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</si>
  <si>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</si>
  <si>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</si>
  <si>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</si>
  <si>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</si>
  <si>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</si>
  <si>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</si>
  <si>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</si>
  <si>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</si>
  <si>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</si>
  <si>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</si>
  <si>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</si>
  <si>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</si>
  <si>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</si>
  <si>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</si>
  <si>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</si>
  <si>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</si>
  <si>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</si>
  <si>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</si>
  <si>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</si>
  <si>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</si>
  <si>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</si>
  <si>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</si>
  <si>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</si>
  <si>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</si>
  <si>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</si>
  <si>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</si>
  <si>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</si>
  <si>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</si>
  <si>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</si>
  <si>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</si>
  <si>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</si>
  <si>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</si>
  <si>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</si>
  <si>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</si>
  <si>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</si>
  <si>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</si>
  <si>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</si>
  <si>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</si>
  <si>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</si>
  <si>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</si>
  <si>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</si>
  <si>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</si>
  <si>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</si>
  <si>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</si>
  <si>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</si>
  <si>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</si>
  <si>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</si>
  <si>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</si>
  <si>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</si>
  <si>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</si>
  <si>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</si>
  <si>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</si>
  <si>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</si>
  <si>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</si>
  <si>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</si>
  <si>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</si>
  <si>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</si>
  <si>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</si>
  <si>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</si>
  <si>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</si>
  <si>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</si>
  <si>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</si>
  <si>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</si>
  <si>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</si>
  <si>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</si>
  <si>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</si>
  <si>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</si>
  <si>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</si>
  <si>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</si>
  <si>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</si>
  <si>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</si>
  <si>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</si>
  <si>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</si>
  <si>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</si>
  <si>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</si>
  <si>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</si>
  <si>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</si>
  <si>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</si>
  <si>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</si>
  <si>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</si>
  <si>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</si>
  <si>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</si>
  <si>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</si>
  <si>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</si>
  <si>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</si>
  <si>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</si>
  <si>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</si>
  <si>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</si>
  <si>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</si>
  <si>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</si>
  <si>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</si>
  <si>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</si>
  <si>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</si>
  <si>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</si>
  <si>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</si>
  <si>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</si>
  <si>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</si>
  <si>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</si>
  <si>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</si>
  <si>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</si>
  <si>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</si>
  <si>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</si>
  <si>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</si>
  <si>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</si>
  <si>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</si>
  <si>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</si>
  <si>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</si>
  <si>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</si>
  <si>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</si>
  <si>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</si>
  <si>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</si>
  <si>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</si>
  <si>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</si>
  <si>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</si>
  <si>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</si>
  <si>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</si>
  <si>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</si>
  <si>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</si>
  <si>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</si>
  <si>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</si>
  <si>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</si>
  <si>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</si>
  <si>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</si>
  <si>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</si>
  <si>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</si>
  <si>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</si>
  <si>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</si>
  <si>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</si>
  <si>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</si>
  <si>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</si>
  <si>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</si>
  <si>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</si>
  <si>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</si>
  <si>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</si>
  <si>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</si>
  <si>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</si>
  <si>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</si>
  <si>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</si>
  <si>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</si>
  <si>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</si>
  <si>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</si>
  <si>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</si>
  <si>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</si>
  <si>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</si>
  <si>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</si>
  <si>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</si>
  <si>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</si>
  <si>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</si>
  <si>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</si>
  <si>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</si>
  <si>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</si>
  <si>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</si>
  <si>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</si>
  <si>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</si>
  <si>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</si>
  <si>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</si>
  <si>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</si>
  <si>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</si>
  <si>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</si>
  <si>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</si>
  <si>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</si>
  <si>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</si>
  <si>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</si>
  <si>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</si>
  <si>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</si>
  <si>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</si>
  <si>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</si>
  <si>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</si>
  <si>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</si>
  <si>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</si>
  <si>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</si>
  <si>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</si>
  <si>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</si>
  <si>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</si>
  <si>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</si>
  <si>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</si>
  <si>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</si>
  <si>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</si>
  <si>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</si>
  <si>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</si>
  <si>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</si>
  <si>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</si>
  <si>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</si>
  <si>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</si>
  <si>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</si>
  <si>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</si>
  <si>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</si>
  <si>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</si>
  <si>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</si>
  <si>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</si>
  <si>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</si>
  <si>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</si>
  <si>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</si>
  <si>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</si>
  <si>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</si>
  <si>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</si>
  <si>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</si>
  <si>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</si>
  <si>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</si>
  <si>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</si>
  <si>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</si>
  <si>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</si>
  <si>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</si>
  <si>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</si>
  <si>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</si>
  <si>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</si>
  <si>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</si>
  <si>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</si>
  <si>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</si>
  <si>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</si>
  <si>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</si>
  <si>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</si>
  <si>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</si>
  <si>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</si>
  <si>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</si>
  <si>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</si>
  <si>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</si>
  <si>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</si>
  <si>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</si>
  <si>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</si>
  <si>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</si>
  <si>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</si>
  <si>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</si>
  <si>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</si>
  <si>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</si>
  <si>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</si>
  <si>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</si>
  <si>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</si>
  <si>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地上</t>
  </si>
  <si>
    <t>独栋</t>
  </si>
  <si>
    <t>是</t>
  </si>
  <si>
    <t>地下</t>
  </si>
  <si>
    <t>车库</t>
  </si>
  <si>
    <t>1号楼</t>
    <phoneticPr fontId="7" type="noConversion"/>
  </si>
  <si>
    <t>利息：取LPR加浮动点数</t>
  </si>
  <si>
    <t>成新度</t>
  </si>
  <si>
    <t>收益法</t>
  </si>
  <si>
    <t>成本法</t>
  </si>
  <si>
    <t>未包含在土地购买价格中</t>
  </si>
  <si>
    <t>全部缴纳</t>
  </si>
  <si>
    <t>已包含在土地取得成本中</t>
  </si>
  <si>
    <t>1号楼</t>
  </si>
  <si>
    <t>总价</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</si>
  <si>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</si>
  <si>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</si>
  <si>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</si>
  <si>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</si>
  <si>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</si>
  <si>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</si>
  <si>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</si>
  <si>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</si>
  <si>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</si>
  <si>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</si>
  <si>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</si>
  <si>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</si>
  <si>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</si>
  <si>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北京大兴国际机场临空经济区(北京部分)0205街区DX09-0103-0205地块B4综合性商业金融服务业用地</t>
  </si>
  <si>
    <t>商业/办公用地</t>
  </si>
  <si>
    <t>挂牌</t>
  </si>
  <si>
    <t>2022-03-01</t>
  </si>
  <si>
    <t>北京新航城建设实业发展有限公司</t>
  </si>
  <si>
    <t>北京经济技术开发区亦庄新城0902街区JG01-07地块F3其他类多功能用地</t>
  </si>
  <si>
    <t>2022-02-08</t>
  </si>
  <si>
    <t>中国太平洋人寿保险股份有限公司</t>
  </si>
  <si>
    <t>北京市大兴区黄村镇DX00-0201-6001地块B14旅馆用地</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</si>
  <si>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</si>
  <si>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</si>
  <si>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</si>
  <si>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</si>
  <si>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</si>
  <si>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</si>
  <si>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北京经济技术开发区河西区X78C2地块B4综合性商业金融服务业用地</t>
  </si>
  <si>
    <t>≤2</t>
  </si>
  <si>
    <t>2019-08-29</t>
  </si>
  <si>
    <t>北京尚恒锦瑞商业运营管理有限公司</t>
  </si>
  <si>
    <t>北京经济技术开发区南海子郊野公园B片区B-04/*B-06/B-11地块F3其他类多功能用地</t>
  </si>
  <si>
    <t>b-04、b-06≤1.5,b-11≤2</t>
  </si>
  <si>
    <t>2019-05-28</t>
  </si>
  <si>
    <t>北京国苑体育文化投资有限责任公司</t>
  </si>
  <si>
    <t>正常</t>
  </si>
  <si>
    <t>商业</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</si>
  <si>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</si>
  <si>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</si>
  <si>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</si>
  <si>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</si>
  <si>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</si>
  <si>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</si>
  <si>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较好</t>
  </si>
  <si>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</si>
  <si>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</si>
  <si>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</si>
  <si>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</si>
  <si>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</si>
  <si>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</si>
  <si>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自持</t>
    <phoneticPr fontId="31" type="noConversion"/>
  </si>
  <si>
    <t>无自持</t>
    <phoneticPr fontId="31" type="noConversion"/>
  </si>
  <si>
    <t>一般</t>
  </si>
  <si>
    <t>七通</t>
  </si>
  <si>
    <t>多面临街</t>
  </si>
  <si>
    <t>双面临街</t>
  </si>
  <si>
    <t>单面临街</t>
  </si>
  <si>
    <t>高速路</t>
  </si>
  <si>
    <t>快速路</t>
  </si>
  <si>
    <t>主干道</t>
  </si>
  <si>
    <t>次干道</t>
  </si>
  <si>
    <t>支路</t>
  </si>
  <si>
    <t>规则</t>
  </si>
  <si>
    <t>六通</t>
  </si>
  <si>
    <t>三通</t>
  </si>
  <si>
    <t>其他省市系数</t>
  </si>
  <si>
    <t>100%自持</t>
    <phoneticPr fontId="140" type="noConversion"/>
  </si>
  <si>
    <t>50%自持</t>
    <phoneticPr fontId="140" type="noConversion"/>
  </si>
  <si>
    <t>无自持</t>
    <phoneticPr fontId="140" type="noConversion"/>
  </si>
  <si>
    <r>
      <t>100%</t>
    </r>
    <r>
      <rPr>
        <sz val="11"/>
        <color indexed="8"/>
        <rFont val="宋体"/>
        <family val="3"/>
        <charset val="134"/>
      </rPr>
      <t>自持</t>
    </r>
    <phoneticPr fontId="31" type="noConversion"/>
  </si>
  <si>
    <r>
      <t>50%</t>
    </r>
    <r>
      <rPr>
        <sz val="11"/>
        <color indexed="8"/>
        <rFont val="宋体"/>
        <family val="3"/>
        <charset val="134"/>
      </rPr>
      <t>自持</t>
    </r>
    <phoneticPr fontId="31" type="noConversion"/>
  </si>
  <si>
    <t>钢混</t>
  </si>
  <si>
    <t>非生产用房</t>
  </si>
  <si>
    <t>否</t>
  </si>
  <si>
    <t>押一</t>
  </si>
  <si>
    <t>按租金收入计税</t>
  </si>
  <si>
    <t>现房</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</si>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</sst>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55" fillId="9" borderId="0" xfId="17" applyFill="1" applyAlignment="1">
      <alignment horizontal="lef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46" fillId="0" borderId="23"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55" fillId="9" borderId="5" xfId="1" applyNumberFormat="1" applyFont="1" applyFill="1" applyBorder="1" applyAlignment="1" applyProtection="1">
      <alignment horizontal="center"/>
    </xf>
    <xf numFmtId="0" fontId="53" fillId="9" borderId="9" xfId="0" applyFont="1" applyFill="1" applyBorder="1" applyAlignment="1" applyProtection="1">
      <alignment horizontal="center" vertical="center"/>
      <protection locked="0"/>
    </xf>
    <xf numFmtId="49" fontId="64" fillId="20" borderId="27" xfId="0" applyNumberFormat="1" applyFont="1" applyFill="1" applyBorder="1" applyAlignment="1" applyProtection="1">
      <alignment horizontal="right"/>
      <protection locked="0"/>
    </xf>
    <xf numFmtId="0" fontId="102" fillId="20" borderId="1" xfId="0" applyFont="1" applyFill="1" applyBorder="1" applyAlignment="1" applyProtection="1">
      <alignment horizontal="center" vertical="center"/>
    </xf>
    <xf numFmtId="10" fontId="55" fillId="9" borderId="49" xfId="0" applyNumberFormat="1" applyFont="1" applyFill="1" applyBorder="1" applyAlignment="1" applyProtection="1">
      <alignment horizontal="center" vertical="center"/>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8</xdr:row>
      <xdr:rowOff>57150</xdr:rowOff>
    </xdr:from>
    <xdr:to>
      <xdr:col>5</xdr:col>
      <xdr:colOff>542111</xdr:colOff>
      <xdr:row>42</xdr:row>
      <xdr:rowOff>123129</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476250" y="1352550"/>
          <a:ext cx="6514286" cy="5571429"/>
        </a:xfrm>
        <a:prstGeom prst="rect">
          <a:avLst/>
        </a:prstGeom>
      </xdr:spPr>
    </xdr:pic>
    <xdr:clientData/>
  </xdr:twoCellAnchor>
  <xdr:twoCellAnchor>
    <xdr:from>
      <xdr:col>0</xdr:col>
      <xdr:colOff>2752725</xdr:colOff>
      <xdr:row>22</xdr:row>
      <xdr:rowOff>28575</xdr:rowOff>
    </xdr:from>
    <xdr:to>
      <xdr:col>0</xdr:col>
      <xdr:colOff>2990850</xdr:colOff>
      <xdr:row>23</xdr:row>
      <xdr:rowOff>95250</xdr:rowOff>
    </xdr:to>
    <xdr:sp macro="" textlink="">
      <xdr:nvSpPr>
        <xdr:cNvPr id="3" name="五角星 2">
          <a:extLst>
            <a:ext uri="{FF2B5EF4-FFF2-40B4-BE49-F238E27FC236}">
              <a16:creationId xmlns:a16="http://schemas.microsoft.com/office/drawing/2014/main" id="{00000000-0008-0000-2000-000003000000}"/>
            </a:ext>
          </a:extLst>
        </xdr:cNvPr>
        <xdr:cNvSpPr/>
      </xdr:nvSpPr>
      <xdr:spPr>
        <a:xfrm>
          <a:off x="2752725" y="359092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400050</xdr:colOff>
      <xdr:row>20</xdr:row>
      <xdr:rowOff>104775</xdr:rowOff>
    </xdr:from>
    <xdr:to>
      <xdr:col>2</xdr:col>
      <xdr:colOff>161925</xdr:colOff>
      <xdr:row>22</xdr:row>
      <xdr:rowOff>9525</xdr:rowOff>
    </xdr:to>
    <xdr:sp macro="" textlink="">
      <xdr:nvSpPr>
        <xdr:cNvPr id="4" name="五角星 3">
          <a:extLst>
            <a:ext uri="{FF2B5EF4-FFF2-40B4-BE49-F238E27FC236}">
              <a16:creationId xmlns:a16="http://schemas.microsoft.com/office/drawing/2014/main" id="{00000000-0008-0000-2000-000004000000}"/>
            </a:ext>
          </a:extLst>
        </xdr:cNvPr>
        <xdr:cNvSpPr/>
      </xdr:nvSpPr>
      <xdr:spPr>
        <a:xfrm>
          <a:off x="4019550" y="334327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76200</xdr:colOff>
      <xdr:row>18</xdr:row>
      <xdr:rowOff>57150</xdr:rowOff>
    </xdr:from>
    <xdr:to>
      <xdr:col>1</xdr:col>
      <xdr:colOff>314325</xdr:colOff>
      <xdr:row>19</xdr:row>
      <xdr:rowOff>123825</xdr:rowOff>
    </xdr:to>
    <xdr:sp macro="" textlink="">
      <xdr:nvSpPr>
        <xdr:cNvPr id="5" name="五角星 4">
          <a:extLst>
            <a:ext uri="{FF2B5EF4-FFF2-40B4-BE49-F238E27FC236}">
              <a16:creationId xmlns:a16="http://schemas.microsoft.com/office/drawing/2014/main" id="{00000000-0008-0000-2000-000005000000}"/>
            </a:ext>
          </a:extLst>
        </xdr:cNvPr>
        <xdr:cNvSpPr/>
      </xdr:nvSpPr>
      <xdr:spPr>
        <a:xfrm>
          <a:off x="3695700" y="2971800"/>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514350</xdr:colOff>
      <xdr:row>44</xdr:row>
      <xdr:rowOff>76200</xdr:rowOff>
    </xdr:from>
    <xdr:to>
      <xdr:col>5</xdr:col>
      <xdr:colOff>446878</xdr:colOff>
      <xdr:row>49</xdr:row>
      <xdr:rowOff>95146</xdr:rowOff>
    </xdr:to>
    <xdr:pic>
      <xdr:nvPicPr>
        <xdr:cNvPr id="6" name="图片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514350" y="7200900"/>
          <a:ext cx="6380953" cy="828571"/>
        </a:xfrm>
        <a:prstGeom prst="rect">
          <a:avLst/>
        </a:prstGeom>
      </xdr:spPr>
    </xdr:pic>
    <xdr:clientData/>
  </xdr:twoCellAnchor>
  <xdr:twoCellAnchor editAs="oneCell">
    <xdr:from>
      <xdr:col>0</xdr:col>
      <xdr:colOff>314325</xdr:colOff>
      <xdr:row>49</xdr:row>
      <xdr:rowOff>152400</xdr:rowOff>
    </xdr:from>
    <xdr:to>
      <xdr:col>8</xdr:col>
      <xdr:colOff>398938</xdr:colOff>
      <xdr:row>77</xdr:row>
      <xdr:rowOff>37548</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3"/>
        <a:stretch>
          <a:fillRect/>
        </a:stretch>
      </xdr:blipFill>
      <xdr:spPr>
        <a:xfrm>
          <a:off x="314325" y="8086725"/>
          <a:ext cx="8904763" cy="4419048"/>
        </a:xfrm>
        <a:prstGeom prst="rect">
          <a:avLst/>
        </a:prstGeom>
      </xdr:spPr>
    </xdr:pic>
    <xdr:clientData/>
  </xdr:twoCellAnchor>
  <xdr:twoCellAnchor editAs="oneCell">
    <xdr:from>
      <xdr:col>0</xdr:col>
      <xdr:colOff>390525</xdr:colOff>
      <xdr:row>78</xdr:row>
      <xdr:rowOff>9525</xdr:rowOff>
    </xdr:from>
    <xdr:to>
      <xdr:col>8</xdr:col>
      <xdr:colOff>503709</xdr:colOff>
      <xdr:row>99</xdr:row>
      <xdr:rowOff>18624</xdr:rowOff>
    </xdr:to>
    <xdr:pic>
      <xdr:nvPicPr>
        <xdr:cNvPr id="8" name="图片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4"/>
        <a:stretch>
          <a:fillRect/>
        </a:stretch>
      </xdr:blipFill>
      <xdr:spPr>
        <a:xfrm>
          <a:off x="390525" y="12639675"/>
          <a:ext cx="8933334" cy="3409524"/>
        </a:xfrm>
        <a:prstGeom prst="rect">
          <a:avLst/>
        </a:prstGeom>
      </xdr:spPr>
    </xdr:pic>
    <xdr:clientData/>
  </xdr:twoCellAnchor>
  <xdr:twoCellAnchor editAs="oneCell">
    <xdr:from>
      <xdr:col>0</xdr:col>
      <xdr:colOff>542925</xdr:colOff>
      <xdr:row>100</xdr:row>
      <xdr:rowOff>9525</xdr:rowOff>
    </xdr:from>
    <xdr:to>
      <xdr:col>8</xdr:col>
      <xdr:colOff>579918</xdr:colOff>
      <xdr:row>118</xdr:row>
      <xdr:rowOff>161542</xdr:rowOff>
    </xdr:to>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5"/>
        <a:stretch>
          <a:fillRect/>
        </a:stretch>
      </xdr:blipFill>
      <xdr:spPr>
        <a:xfrm>
          <a:off x="542925" y="16202025"/>
          <a:ext cx="8857143" cy="3066667"/>
        </a:xfrm>
        <a:prstGeom prst="rect">
          <a:avLst/>
        </a:prstGeom>
      </xdr:spPr>
    </xdr:pic>
    <xdr:clientData/>
  </xdr:twoCellAnchor>
  <xdr:twoCellAnchor editAs="oneCell">
    <xdr:from>
      <xdr:col>0</xdr:col>
      <xdr:colOff>962025</xdr:colOff>
      <xdr:row>120</xdr:row>
      <xdr:rowOff>0</xdr:rowOff>
    </xdr:from>
    <xdr:to>
      <xdr:col>6</xdr:col>
      <xdr:colOff>265846</xdr:colOff>
      <xdr:row>147</xdr:row>
      <xdr:rowOff>28025</xdr:rowOff>
    </xdr:to>
    <xdr:pic>
      <xdr:nvPicPr>
        <xdr:cNvPr id="10" name="图片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6"/>
        <a:stretch>
          <a:fillRect/>
        </a:stretch>
      </xdr:blipFill>
      <xdr:spPr>
        <a:xfrm>
          <a:off x="962025" y="19431000"/>
          <a:ext cx="6838096"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估价对象为北京市房地产，为所有。根据《国有土地使用证》[]，估价对象（分摊）出让国有建设用地使用权面积为55191.78平方米，建筑面积为210956.06平方米。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估价对象为北京市房地产,属开发建设的，该项目尚在开发建设中。根据《国有土地使用证》[]，估价对象（分摊）出让国有建设用地使用权面积为55191.78平方米，规划建筑面积为210956.06平方米。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2022年4月11日</v>
      </c>
    </row>
    <row r="13" spans="1:2" s="1336" customFormat="1">
      <c r="A13" s="1334" t="s">
        <v>1135</v>
      </c>
      <c r="B13" s="1335" t="str">
        <f>'预评函-1'!A18</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本次评估采用的主估价方法为收益法和成本法。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305869</v>
      </c>
    </row>
    <row r="21" spans="1:2" s="1336" customFormat="1">
      <c r="A21" s="1334" t="s">
        <v>1143</v>
      </c>
      <c r="B21" s="1335">
        <f ca="1">'预评函-2'!D7</f>
        <v>15820</v>
      </c>
    </row>
    <row r="22" spans="1:2" s="1336" customFormat="1">
      <c r="A22" s="1334" t="s">
        <v>1144</v>
      </c>
      <c r="B22" s="1335" t="str">
        <f ca="1">'预评函-2'!D6</f>
        <v>叁拾亿伍仟捌佰陆拾玖万元整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305869</v>
      </c>
    </row>
    <row r="31" spans="1:2" s="1336" customFormat="1">
      <c r="A31" s="1334" t="s">
        <v>1182</v>
      </c>
      <c r="B31" s="1335">
        <f ca="1">'预评函-2'!D15</f>
        <v>14499</v>
      </c>
    </row>
    <row r="32" spans="1:2" s="1336" customFormat="1">
      <c r="A32" s="1334" t="s">
        <v>1149</v>
      </c>
      <c r="B32" s="1335" t="str">
        <f ca="1">'预评函-2'!D14</f>
        <v>叁拾亿伍仟捌佰陆拾玖万元整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210956.06</v>
      </c>
    </row>
    <row r="44" spans="1:2" s="1336" customFormat="1">
      <c r="A44" s="1334" t="s">
        <v>1181</v>
      </c>
      <c r="B44" s="1335" t="str">
        <f>'预评函-3'!C2</f>
        <v>(分摊)土地面积</v>
      </c>
    </row>
    <row r="45" spans="1:2" s="1336" customFormat="1">
      <c r="A45" s="1334" t="s">
        <v>1153</v>
      </c>
      <c r="B45" s="1335">
        <f>'预评函-3'!C4</f>
        <v>55191.78</v>
      </c>
    </row>
    <row r="46" spans="1:2" s="1336" customFormat="1">
      <c r="A46" s="1334" t="s">
        <v>1179</v>
      </c>
      <c r="B46" s="1335" t="str">
        <f>'预评函-3'!D2</f>
        <v>出让国有建设用地使用权价值</v>
      </c>
    </row>
    <row r="47" spans="1:2" s="1336" customFormat="1">
      <c r="A47" s="1334" t="s">
        <v>1154</v>
      </c>
      <c r="B47" s="1335">
        <f ca="1">'预评函-3'!D4</f>
        <v>232155</v>
      </c>
    </row>
    <row r="48" spans="1:2" s="1336" customFormat="1">
      <c r="A48" s="1334" t="s">
        <v>1155</v>
      </c>
      <c r="B48" s="1335">
        <f ca="1">'预评函-3'!E4</f>
        <v>12007</v>
      </c>
    </row>
    <row r="49" spans="1:2" s="1336" customFormat="1">
      <c r="A49" s="1334" t="s">
        <v>1156</v>
      </c>
      <c r="B49" s="1335" t="str">
        <f ca="1">'预评函-3'!D5</f>
        <v>贰拾叁亿贰仟壹佰伍拾伍万元整</v>
      </c>
    </row>
    <row r="50" spans="1:2" s="1336" customFormat="1">
      <c r="A50" s="1334" t="s">
        <v>1180</v>
      </c>
      <c r="B50" s="1335" t="str">
        <f>'预评函-3'!F2</f>
        <v>在建建筑物价值</v>
      </c>
    </row>
    <row r="51" spans="1:2" s="1336" customFormat="1">
      <c r="A51" s="1334" t="s">
        <v>1157</v>
      </c>
      <c r="B51" s="1335">
        <f ca="1">'预评函-3'!F4</f>
        <v>73714</v>
      </c>
    </row>
    <row r="52" spans="1:2" s="1336" customFormat="1">
      <c r="A52" s="1334" t="s">
        <v>1158</v>
      </c>
      <c r="B52" s="1335">
        <f ca="1">'预评函-3'!G4</f>
        <v>3813</v>
      </c>
    </row>
    <row r="53" spans="1:2" s="1336" customFormat="1">
      <c r="A53" s="1334" t="s">
        <v>1186</v>
      </c>
      <c r="B53" s="1335" t="str">
        <f ca="1">'预评函-3'!F5</f>
        <v>柒亿叁仟柒佰壹拾肆万元整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59"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708" t="s">
        <v>832</v>
      </c>
      <c r="C54" s="1705" t="s">
        <v>1189</v>
      </c>
    </row>
    <row r="55" spans="1:4">
      <c r="A55" s="3259"/>
      <c r="B55" s="1708" t="s">
        <v>833</v>
      </c>
      <c r="C55" s="1705" t="s">
        <v>1190</v>
      </c>
    </row>
    <row r="56" spans="1:4">
      <c r="A56" s="3259"/>
      <c r="B56" s="1708" t="s">
        <v>834</v>
      </c>
      <c r="C56" s="1705" t="s">
        <v>1194</v>
      </c>
    </row>
    <row r="57" spans="1:4">
      <c r="A57" s="3259"/>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268" t="str">
        <f>IF(B10="北京市","北京市",C10)&amp;F10&amp;IF(结果表!G1="在建","出让国有建设用地使用权及在建建筑物",IF(结果表!G1="土地","出让国有建设用地使用权",))&amp;B9&amp;"预评估"</f>
        <v>北京市房地产抵押价值预评估</v>
      </c>
      <c r="C1" s="3269"/>
      <c r="D1" s="3269"/>
      <c r="E1" s="3269"/>
      <c r="F1" s="3269"/>
      <c r="G1" s="3269"/>
      <c r="H1" s="3269"/>
      <c r="I1" s="3270"/>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44662</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271"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272"/>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c r="A13" s="1213"/>
      <c r="B13" s="2600"/>
      <c r="C13" s="2601" t="s">
        <v>2875</v>
      </c>
      <c r="D13" s="965"/>
      <c r="E13" s="965">
        <v>55161</v>
      </c>
      <c r="F13" s="965"/>
      <c r="G13" s="965">
        <v>58814</v>
      </c>
      <c r="H13" s="965"/>
      <c r="I13" s="965"/>
      <c r="J13" s="2634"/>
      <c r="K13" s="2811"/>
      <c r="L13" s="2808"/>
      <c r="M13" s="2808"/>
      <c r="N13" s="2634"/>
      <c r="O13" s="2645"/>
      <c r="P13" s="2634"/>
      <c r="Q13" s="2634"/>
      <c r="R13" s="2634"/>
    </row>
    <row r="14" spans="1:28">
      <c r="A14" s="1213"/>
      <c r="B14" s="2600"/>
      <c r="C14" s="2601" t="s">
        <v>2876</v>
      </c>
      <c r="D14" s="2602"/>
      <c r="E14" s="2602">
        <v>40</v>
      </c>
      <c r="F14" s="2602"/>
      <c r="G14" s="2602">
        <v>50</v>
      </c>
      <c r="H14" s="2602"/>
      <c r="I14" s="2602"/>
      <c r="J14" s="2634"/>
      <c r="K14" s="2812"/>
      <c r="L14" s="2808"/>
      <c r="M14" s="2808"/>
      <c r="N14" s="2634"/>
      <c r="O14" s="2645"/>
      <c r="P14" s="2634"/>
      <c r="Q14" s="2634"/>
      <c r="R14" s="2634"/>
    </row>
    <row r="15" spans="1:28">
      <c r="A15" s="326"/>
      <c r="B15" s="2603"/>
      <c r="C15" s="2604" t="s">
        <v>2877</v>
      </c>
      <c r="D15" s="2605" t="str">
        <f>IF(B12="出让",IF(D13="","",ROUNDDOWN(MIN((D13-$D$3)/365,D14),2)),D14)</f>
        <v/>
      </c>
      <c r="E15" s="2605">
        <f>IF(B12="出让",IF(E13="","",ROUNDDOWN(MIN((E13-$D$3)/365,E14),2)),E14)</f>
        <v>28.76</v>
      </c>
      <c r="F15" s="2605" t="str">
        <f>IF(B12="出让",IF(F13="","",ROUNDDOWN(MIN((F13-$D$3)/365,F14),2)),F14)</f>
        <v/>
      </c>
      <c r="G15" s="2605">
        <f>IF(B12="出让",IF(G13="","",ROUNDDOWN(MIN((G13-$D$3)/365,G14),2)),G14)</f>
        <v>38.770000000000003</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2878</v>
      </c>
      <c r="B16" s="3278"/>
      <c r="C16" s="3279"/>
      <c r="D16" s="3280"/>
      <c r="E16" s="2608" t="s">
        <v>2879</v>
      </c>
      <c r="F16" s="3281"/>
      <c r="G16" s="3282"/>
      <c r="H16" s="3282"/>
      <c r="I16" s="3283"/>
      <c r="J16" s="2634"/>
      <c r="K16" s="2813"/>
      <c r="L16" s="2646"/>
      <c r="M16" s="2646"/>
      <c r="N16" s="2704"/>
      <c r="O16" s="2646"/>
      <c r="P16" s="2704"/>
      <c r="Q16" s="2634"/>
      <c r="R16" s="2634"/>
    </row>
    <row r="17" spans="1:28">
      <c r="A17" s="319" t="s">
        <v>2880</v>
      </c>
      <c r="B17" s="308" t="s">
        <v>2881</v>
      </c>
      <c r="C17" s="11">
        <f>'数据-汇总表'!E3</f>
        <v>210956.06</v>
      </c>
      <c r="D17" s="2514" t="s">
        <v>2882</v>
      </c>
      <c r="E17" s="3284" t="s">
        <v>2883</v>
      </c>
      <c r="F17" s="3285"/>
      <c r="G17" s="3285"/>
      <c r="H17" s="3285"/>
      <c r="I17" s="3286"/>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55191.78</v>
      </c>
      <c r="D18" s="1224" t="s">
        <v>2886</v>
      </c>
      <c r="E18" s="3287" t="s">
        <v>2887</v>
      </c>
      <c r="F18" s="3288"/>
      <c r="G18" s="3288"/>
      <c r="H18" s="3288"/>
      <c r="I18" s="3289"/>
      <c r="J18" s="2634"/>
      <c r="K18" s="2814"/>
      <c r="L18" s="2646"/>
      <c r="M18" s="2646"/>
      <c r="N18" s="2704"/>
      <c r="O18" s="2646"/>
      <c r="P18" s="2704"/>
      <c r="Q18" s="2634"/>
      <c r="R18" s="2634"/>
      <c r="S18" s="2634"/>
      <c r="T18" s="2634"/>
      <c r="U18" s="2634"/>
      <c r="V18" s="2634"/>
    </row>
    <row r="19" spans="1:28" ht="37.5" thickTop="1" thickBot="1">
      <c r="A19" s="333" t="s">
        <v>1681</v>
      </c>
      <c r="B19" s="313" t="s">
        <v>2888</v>
      </c>
      <c r="C19" s="1717"/>
      <c r="D19" s="1718" t="s">
        <v>2889</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2890</v>
      </c>
      <c r="B20" s="3274" t="s">
        <v>2891</v>
      </c>
      <c r="C20" s="3275"/>
      <c r="D20" s="3276" t="s">
        <v>2892</v>
      </c>
      <c r="E20" s="3277"/>
      <c r="F20" s="2843" t="s">
        <v>1682</v>
      </c>
      <c r="G20" s="2860"/>
      <c r="H20" s="2860"/>
      <c r="I20" s="2860"/>
      <c r="J20" s="2634"/>
      <c r="K20" s="3273"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27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27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61" t="s">
        <v>2899</v>
      </c>
      <c r="B27" s="326" t="s">
        <v>2900</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61"/>
      <c r="B28" s="308" t="s">
        <v>2901</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61"/>
      <c r="B29" s="308" t="s">
        <v>2902</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62"/>
      <c r="B30" s="308" t="s">
        <v>2903</v>
      </c>
      <c r="C30" s="3263"/>
      <c r="D30" s="3264"/>
      <c r="E30" s="2860"/>
      <c r="F30" s="2860"/>
      <c r="G30" s="2860"/>
      <c r="H30" s="2860"/>
      <c r="I30" s="2860"/>
      <c r="J30" s="2634"/>
      <c r="K30" s="2811"/>
      <c r="L30" s="2808"/>
      <c r="M30" s="2808"/>
      <c r="N30" s="2634"/>
      <c r="O30" s="2645"/>
      <c r="P30" s="2634"/>
      <c r="Q30" s="2634"/>
      <c r="R30" s="2634"/>
      <c r="S30" s="2634"/>
      <c r="T30" s="2634"/>
      <c r="U30" s="2634"/>
      <c r="V30" s="2634"/>
    </row>
    <row r="31" spans="1:28">
      <c r="A31" s="3265" t="s">
        <v>2904</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266"/>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266"/>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c r="C34" s="2183"/>
      <c r="D34" s="2183"/>
      <c r="E34" s="2183"/>
      <c r="F34" s="2183"/>
      <c r="G34" s="2183"/>
      <c r="H34" s="2183"/>
      <c r="I34" s="2860"/>
      <c r="J34" s="2634"/>
      <c r="K34" s="2622">
        <f>COUNTIF(B34:H34,"——")</f>
        <v>0</v>
      </c>
      <c r="L34" s="329" t="s">
        <v>2906</v>
      </c>
      <c r="M34" s="329" t="s">
        <v>2907</v>
      </c>
      <c r="N34" s="329" t="s">
        <v>2908</v>
      </c>
      <c r="O34" s="329" t="s">
        <v>2909</v>
      </c>
      <c r="P34" s="329" t="s">
        <v>2910</v>
      </c>
      <c r="Q34" s="329" t="s">
        <v>2911</v>
      </c>
      <c r="R34" s="329" t="s">
        <v>2912</v>
      </c>
      <c r="S34" s="3260" t="s">
        <v>2913</v>
      </c>
      <c r="T34" s="2623" t="str">
        <f>NUMBERSTRING(7-K34,1)&amp;"通"</f>
        <v>七通</v>
      </c>
      <c r="U34" s="2634"/>
      <c r="V34" s="2634"/>
    </row>
    <row r="35" spans="1:30">
      <c r="A35" s="2624"/>
      <c r="B35" s="3267" t="s">
        <v>2914</v>
      </c>
      <c r="C35" s="3267"/>
      <c r="D35" s="3267"/>
      <c r="E35" s="3267"/>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0"/>
      <c r="T35" s="335" t="str">
        <f>IF(T34="一通",L35,IF(T34="二通",M35,IF(T34="三通",N35,IF(T34="四通",O35,IF(T34="五通",P35,IF(T34="六通",Q35,R35))))))</f>
        <v>、、、、、、</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hidden="1" customWidth="1"/>
    <col min="16" max="16" width="9.75" style="1727" hidden="1" customWidth="1"/>
    <col min="17" max="17" width="9.375" style="1727" hidden="1" customWidth="1"/>
    <col min="18" max="18" width="9.25" style="1727" hidden="1" customWidth="1"/>
    <col min="19" max="19" width="10.875" style="1727" hidden="1" customWidth="1"/>
    <col min="20" max="21" width="10.75" style="1727" hidden="1" customWidth="1"/>
    <col min="22" max="22" width="10.875" style="1727" hidden="1" customWidth="1"/>
    <col min="23" max="27" width="10.75" style="1727" hidden="1" customWidth="1"/>
    <col min="28" max="28" width="10.875" style="1727" hidden="1" customWidth="1"/>
    <col min="29" max="29" width="11" style="1727" bestFit="1" customWidth="1"/>
    <col min="30" max="30" width="10" style="1727" hidden="1" customWidth="1"/>
    <col min="31" max="31" width="9.75" style="1727" hidden="1" customWidth="1"/>
    <col min="32" max="37" width="9.5" style="1727" hidden="1" customWidth="1"/>
    <col min="38"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55191.78</v>
      </c>
      <c r="B3" s="14">
        <f>IF(C3="否",G5-AT5,G5)</f>
        <v>210956.06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210956.06</v>
      </c>
      <c r="H5" s="16">
        <f t="shared" ref="H5:AT5" si="0">SUM(H13:H656)</f>
        <v>193344.75</v>
      </c>
      <c r="I5" s="16">
        <f t="shared" si="0"/>
        <v>125418.93</v>
      </c>
      <c r="J5" s="16">
        <f t="shared" si="0"/>
        <v>0</v>
      </c>
      <c r="K5" s="16">
        <f t="shared" si="0"/>
        <v>19300.580000000002</v>
      </c>
      <c r="L5" s="16">
        <f t="shared" si="0"/>
        <v>0</v>
      </c>
      <c r="M5" s="16">
        <f t="shared" si="0"/>
        <v>48625.24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17611.310000000001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17611.310000000001</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210956.06</v>
      </c>
      <c r="BA5" s="18">
        <f t="shared" si="1"/>
        <v>193344.75</v>
      </c>
      <c r="BB5" s="18">
        <f t="shared" si="1"/>
        <v>125418.93</v>
      </c>
      <c r="BC5" s="18">
        <f t="shared" si="1"/>
        <v>19300.580000000002</v>
      </c>
      <c r="BD5" s="18">
        <f t="shared" si="1"/>
        <v>48625.24</v>
      </c>
      <c r="BE5" s="18">
        <f t="shared" si="1"/>
        <v>0</v>
      </c>
      <c r="BF5" s="18">
        <f t="shared" si="1"/>
        <v>0</v>
      </c>
      <c r="BG5" s="18">
        <f t="shared" si="1"/>
        <v>0</v>
      </c>
      <c r="BH5" s="18">
        <f t="shared" si="1"/>
        <v>0</v>
      </c>
      <c r="BI5" s="18">
        <f t="shared" si="1"/>
        <v>0</v>
      </c>
      <c r="BJ5" s="18">
        <f t="shared" si="1"/>
        <v>0</v>
      </c>
      <c r="BK5" s="18">
        <f t="shared" si="1"/>
        <v>0</v>
      </c>
      <c r="BL5" s="18">
        <f t="shared" si="1"/>
        <v>17611.310000000001</v>
      </c>
      <c r="BM5" s="18">
        <f t="shared" si="1"/>
        <v>0</v>
      </c>
      <c r="BN5" s="18">
        <f t="shared" si="1"/>
        <v>0</v>
      </c>
      <c r="BO5" s="18">
        <f t="shared" si="1"/>
        <v>0</v>
      </c>
      <c r="BP5" s="18">
        <f t="shared" si="1"/>
        <v>0</v>
      </c>
      <c r="BQ5" s="18">
        <f t="shared" si="1"/>
        <v>17611.310000000001</v>
      </c>
      <c r="BR5" s="18">
        <f t="shared" si="1"/>
        <v>0</v>
      </c>
      <c r="BS5" s="18">
        <f t="shared" si="1"/>
        <v>0</v>
      </c>
      <c r="BT5" s="19">
        <f t="shared" si="1"/>
        <v>0</v>
      </c>
    </row>
    <row r="6" spans="1:72" s="1743" customFormat="1" ht="12.75">
      <c r="A6" s="15" t="s">
        <v>1698</v>
      </c>
      <c r="B6" s="1740"/>
      <c r="C6" s="1740"/>
      <c r="D6" s="1741"/>
      <c r="E6" s="16">
        <f>H6+AC6+AT6</f>
        <v>55191.78</v>
      </c>
      <c r="F6" s="16" t="s">
        <v>1</v>
      </c>
      <c r="G6" s="16" t="s">
        <v>2</v>
      </c>
      <c r="H6" s="20">
        <f>SUMIF(I$12:AB$12,"总值",I6:AB6)</f>
        <v>50584.19</v>
      </c>
      <c r="I6" s="16">
        <f t="shared" ref="I6:AB6" si="2">ROUND($A$3*I5/$B$3,2)</f>
        <v>32812.97</v>
      </c>
      <c r="J6" s="16">
        <f t="shared" si="2"/>
        <v>0</v>
      </c>
      <c r="K6" s="16">
        <f t="shared" si="2"/>
        <v>5049.55</v>
      </c>
      <c r="L6" s="16">
        <f t="shared" si="2"/>
        <v>0</v>
      </c>
      <c r="M6" s="16">
        <f t="shared" si="2"/>
        <v>12721.67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4607.59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4607.59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55191.78</v>
      </c>
      <c r="AZ6" s="16" t="s">
        <v>3</v>
      </c>
      <c r="BA6" s="16">
        <f>ROUND($AY$6*BA5/$AZ$5,2)</f>
        <v>50584.19</v>
      </c>
      <c r="BB6" s="16">
        <f>ROUND($AY$6*BB5/$AZ$5,2)</f>
        <v>32812.97</v>
      </c>
      <c r="BC6" s="16">
        <f t="shared" ref="BC6:BH6" si="4">ROUND($AY$6*BC5/$AZ$5,2)</f>
        <v>5049.55</v>
      </c>
      <c r="BD6" s="16">
        <f t="shared" si="4"/>
        <v>12721.67</v>
      </c>
      <c r="BE6" s="16">
        <f t="shared" si="4"/>
        <v>0</v>
      </c>
      <c r="BF6" s="16">
        <f t="shared" si="4"/>
        <v>0</v>
      </c>
      <c r="BG6" s="16">
        <f t="shared" si="4"/>
        <v>0</v>
      </c>
      <c r="BH6" s="16">
        <f t="shared" si="4"/>
        <v>0</v>
      </c>
      <c r="BI6" s="16">
        <f t="shared" ref="BI6:BT6" si="5">ROUND($AY$6*BI5/$AZ$5,2)</f>
        <v>0</v>
      </c>
      <c r="BJ6" s="16">
        <f t="shared" si="5"/>
        <v>0</v>
      </c>
      <c r="BK6" s="16">
        <f t="shared" si="5"/>
        <v>0</v>
      </c>
      <c r="BL6" s="16">
        <f t="shared" si="5"/>
        <v>4607.59</v>
      </c>
      <c r="BM6" s="16">
        <f t="shared" si="5"/>
        <v>0</v>
      </c>
      <c r="BN6" s="16">
        <f t="shared" si="5"/>
        <v>0</v>
      </c>
      <c r="BO6" s="16">
        <f t="shared" si="5"/>
        <v>0</v>
      </c>
      <c r="BP6" s="16">
        <f t="shared" si="5"/>
        <v>0</v>
      </c>
      <c r="BQ6" s="16">
        <f t="shared" si="5"/>
        <v>4607.59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3132</v>
      </c>
      <c r="J9" s="918"/>
      <c r="K9" s="1757" t="s">
        <v>3135</v>
      </c>
      <c r="L9" s="918"/>
      <c r="M9" s="1757" t="s">
        <v>3135</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1283</v>
      </c>
      <c r="L10" s="918"/>
      <c r="M10" s="1763" t="s">
        <v>3136</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3133</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商业</v>
      </c>
      <c r="BD11" s="1753" t="str">
        <f>M10</f>
        <v>车库</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独栋</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3134</v>
      </c>
      <c r="E13" s="16">
        <f>IF($C$3="是",ROUND($A$3*G13/$B$3,2),ROUND($A$3*(G13-AT13)/$B$3,2))</f>
        <v>55191.78</v>
      </c>
      <c r="F13" s="32"/>
      <c r="G13" s="33">
        <f>H13+AC13+AT13</f>
        <v>210956.06</v>
      </c>
      <c r="H13" s="20">
        <f>SUMIF(I$12:AB$12,"总值",I13:AB13)</f>
        <v>193344.75</v>
      </c>
      <c r="I13" s="1780">
        <v>125418.93</v>
      </c>
      <c r="J13" s="1780"/>
      <c r="K13" s="1780">
        <v>19300.580000000002</v>
      </c>
      <c r="L13" s="1780"/>
      <c r="M13" s="1780">
        <v>48625.24</v>
      </c>
      <c r="N13" s="1780"/>
      <c r="O13" s="1780"/>
      <c r="P13" s="1780"/>
      <c r="Q13" s="1780"/>
      <c r="R13" s="1780"/>
      <c r="S13" s="1780"/>
      <c r="T13" s="1780"/>
      <c r="U13" s="1780"/>
      <c r="V13" s="1780"/>
      <c r="W13" s="1780"/>
      <c r="X13" s="1780"/>
      <c r="Y13" s="1780"/>
      <c r="Z13" s="1780"/>
      <c r="AA13" s="1780"/>
      <c r="AB13" s="1780"/>
      <c r="AC13" s="16">
        <f>SUMIF(AD$12:AS$12,"总值",AD13:AS13)</f>
        <v>17611.310000000001</v>
      </c>
      <c r="AD13" s="1781"/>
      <c r="AE13" s="1781"/>
      <c r="AF13" s="1781"/>
      <c r="AG13" s="1781"/>
      <c r="AH13" s="1781"/>
      <c r="AI13" s="1781"/>
      <c r="AJ13" s="1781"/>
      <c r="AK13" s="1781"/>
      <c r="AL13" s="1781">
        <v>17611.310000000001</v>
      </c>
      <c r="AM13" s="1781"/>
      <c r="AN13" s="1781"/>
      <c r="AO13" s="1781"/>
      <c r="AP13" s="1781"/>
      <c r="AQ13" s="1781"/>
      <c r="AR13" s="1781"/>
      <c r="AS13" s="1781"/>
      <c r="AT13" s="1782"/>
      <c r="AU13" s="1783"/>
      <c r="AV13" s="11">
        <f t="shared" ref="AV13:AX17" si="6">A13</f>
        <v>0</v>
      </c>
      <c r="AW13" s="11">
        <f t="shared" si="6"/>
        <v>0</v>
      </c>
      <c r="AX13" s="11">
        <f t="shared" si="6"/>
        <v>0</v>
      </c>
      <c r="AY13" s="1502">
        <f>ROUND($AY$6*AZ13/$AZ$5,2)</f>
        <v>55191.78</v>
      </c>
      <c r="AZ13" s="16">
        <f>BA13+BL13</f>
        <v>210956.06</v>
      </c>
      <c r="BA13" s="16">
        <f>SUM(BB13:BK13)</f>
        <v>193344.75</v>
      </c>
      <c r="BB13" s="16">
        <f>IF($D13="是",I13-J13,0)</f>
        <v>125418.93</v>
      </c>
      <c r="BC13" s="16">
        <f>IF($D13="是",K13-L13,0)</f>
        <v>19300.580000000002</v>
      </c>
      <c r="BD13" s="16">
        <f>IF($D13="是",M13-N13,0)</f>
        <v>48625.24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17611.310000000001</v>
      </c>
      <c r="BM13" s="16">
        <f>IF($D13="是",AD13-AE13,0)</f>
        <v>0</v>
      </c>
      <c r="BN13" s="16">
        <f>IF($D13="是",AF13-AG13,0)</f>
        <v>0</v>
      </c>
      <c r="BO13" s="16">
        <f>IF($D13="是",AH13-AI13,0)</f>
        <v>0</v>
      </c>
      <c r="BP13" s="16">
        <f>IF($D13="是",AJ13-AK13,0)</f>
        <v>0</v>
      </c>
      <c r="BQ13" s="16">
        <f>IF($D13="是",AL13-AM13,0)</f>
        <v>17611.310000000001</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0" t="s">
        <v>0</v>
      </c>
      <c r="B1" s="3290" t="s">
        <v>4</v>
      </c>
      <c r="C1" s="3290" t="s">
        <v>5</v>
      </c>
      <c r="D1" s="3291" t="s">
        <v>53</v>
      </c>
      <c r="E1" s="3291" t="s">
        <v>54</v>
      </c>
      <c r="F1" s="3291"/>
      <c r="G1" s="3291"/>
      <c r="H1" s="3291"/>
      <c r="I1" s="3291"/>
      <c r="J1" s="3291"/>
      <c r="K1" s="3291"/>
      <c r="L1" s="3291"/>
      <c r="M1" s="3291"/>
    </row>
    <row r="2" spans="1:13" ht="27" customHeight="1">
      <c r="A2" s="3290"/>
      <c r="B2" s="3290"/>
      <c r="C2" s="3290"/>
      <c r="D2" s="3291"/>
      <c r="E2" s="3291" t="s">
        <v>37</v>
      </c>
      <c r="F2" s="3291" t="s">
        <v>38</v>
      </c>
      <c r="G2" s="3291"/>
      <c r="H2" s="3291"/>
      <c r="I2" s="3291"/>
      <c r="J2" s="3291" t="s">
        <v>39</v>
      </c>
      <c r="K2" s="3291"/>
      <c r="L2" s="3291"/>
      <c r="M2" s="3291"/>
    </row>
    <row r="3" spans="1:13" ht="28.5">
      <c r="A3" s="3290"/>
      <c r="B3" s="3290"/>
      <c r="C3" s="3290"/>
      <c r="D3" s="3291"/>
      <c r="E3" s="32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1" t="s">
        <v>55</v>
      </c>
      <c r="B9" s="3291"/>
      <c r="C9" s="32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7" zoomScale="80" zoomScaleNormal="100" zoomScaleSheetLayoutView="80" workbookViewId="0">
      <selection activeCell="G31" sqref="G3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01" t="s">
        <v>1757</v>
      </c>
      <c r="B2" s="3301"/>
      <c r="C2" s="3301"/>
      <c r="D2" s="904" t="s">
        <v>1733</v>
      </c>
      <c r="E2" s="1793" t="s">
        <v>1734</v>
      </c>
      <c r="F2" s="2855"/>
      <c r="G2" s="2846"/>
      <c r="H2" s="2847"/>
      <c r="I2" s="2517" t="s">
        <v>1758</v>
      </c>
      <c r="J2" s="2855"/>
      <c r="K2" s="2855"/>
      <c r="L2" s="2855"/>
      <c r="M2" s="2855"/>
      <c r="N2" s="2857"/>
      <c r="O2" s="2855"/>
      <c r="P2" s="2855"/>
    </row>
    <row r="3" spans="1:16" ht="15.75" thickBot="1">
      <c r="A3" s="3302" t="s">
        <v>1731</v>
      </c>
      <c r="B3" s="3302"/>
      <c r="C3" s="3302"/>
      <c r="D3" s="46">
        <f>'数据-基础表'!AY6</f>
        <v>55191.78</v>
      </c>
      <c r="E3" s="46">
        <f>'数据-基础表'!AZ5</f>
        <v>210956.06</v>
      </c>
      <c r="F3" s="2855"/>
      <c r="G3" s="1279"/>
      <c r="H3" s="1157" t="s">
        <v>1732</v>
      </c>
      <c r="I3" s="964">
        <f>ROUND('数据-基础表'!B3/'数据-基础表'!A3,2)</f>
        <v>3.82</v>
      </c>
      <c r="J3" s="2855"/>
      <c r="K3" s="2855"/>
      <c r="L3" s="2855"/>
      <c r="M3" s="2855"/>
      <c r="N3" s="2857"/>
      <c r="O3" s="2855"/>
      <c r="P3" s="2855"/>
    </row>
    <row r="4" spans="1:16" ht="15">
      <c r="A4" s="3303"/>
      <c r="B4" s="3304"/>
      <c r="C4" s="3305"/>
      <c r="D4" s="1795" t="s">
        <v>1733</v>
      </c>
      <c r="E4" s="1796" t="s">
        <v>1734</v>
      </c>
      <c r="F4" s="2855"/>
      <c r="G4" s="2848" t="s">
        <v>1759</v>
      </c>
      <c r="H4" s="1157" t="s">
        <v>1739</v>
      </c>
      <c r="I4" s="964">
        <f>ROUND(SUMIF('数据-基础表'!I9:AS9,"地上",'数据-基础表'!I5:AS5)/'数据-基础表'!A3,2)</f>
        <v>2.59</v>
      </c>
      <c r="J4" s="2855"/>
      <c r="K4" s="2855"/>
      <c r="L4" s="2855"/>
      <c r="M4" s="2855"/>
      <c r="N4" s="2857"/>
      <c r="O4" s="2855"/>
      <c r="P4" s="2855"/>
    </row>
    <row r="5" spans="1:16">
      <c r="A5" s="47" t="s">
        <v>1735</v>
      </c>
      <c r="B5" s="3306" t="s">
        <v>1736</v>
      </c>
      <c r="C5" s="3306"/>
      <c r="D5" s="48">
        <f>ROUND($D$3*E5/$E$3,2)</f>
        <v>0</v>
      </c>
      <c r="E5" s="49">
        <f>SUMIF('数据-基础表'!$11:$11,"住宅",'数据-基础表'!$5:$5)</f>
        <v>0</v>
      </c>
      <c r="F5" s="2855"/>
      <c r="G5" s="1279"/>
      <c r="H5" s="1157" t="s">
        <v>1732</v>
      </c>
      <c r="I5" s="964">
        <f>ROUND(E31/D31,2)</f>
        <v>3.82</v>
      </c>
      <c r="J5" s="2855"/>
      <c r="K5" s="2855"/>
      <c r="L5" s="2855"/>
      <c r="M5" s="2855"/>
      <c r="N5" s="2855"/>
      <c r="O5" s="2855"/>
      <c r="P5" s="2855"/>
    </row>
    <row r="6" spans="1:16" ht="15" thickBot="1">
      <c r="A6" s="1798"/>
      <c r="B6" s="3306" t="s">
        <v>1737</v>
      </c>
      <c r="C6" s="3306"/>
      <c r="D6" s="48">
        <f>ROUND($D$3*E6/$E$3,2)</f>
        <v>55191.78</v>
      </c>
      <c r="E6" s="49">
        <f>E3-E5</f>
        <v>210956.06</v>
      </c>
      <c r="F6" s="2855"/>
      <c r="G6" s="2849" t="s">
        <v>1738</v>
      </c>
      <c r="H6" s="1280" t="s">
        <v>1739</v>
      </c>
      <c r="I6" s="2850">
        <f>ROUND(F31/D31,2)</f>
        <v>2.59</v>
      </c>
      <c r="J6" s="2855"/>
      <c r="K6" s="2855"/>
      <c r="L6" s="2855"/>
      <c r="M6" s="2855"/>
      <c r="N6" s="2855"/>
      <c r="O6" s="2855"/>
      <c r="P6" s="2855"/>
    </row>
    <row r="7" spans="1:16" ht="15.75" thickBot="1">
      <c r="A7" s="3298"/>
      <c r="B7" s="3299"/>
      <c r="C7" s="3300"/>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32812.97</v>
      </c>
      <c r="E8" s="51">
        <f>SUMIF('数据-基础表'!BB10:BK10,"地上",'数据-基础表'!BB5:BK5)</f>
        <v>125418.93</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5049.55</v>
      </c>
      <c r="E10" s="51">
        <f>SUMPRODUCT(('数据-基础表'!BB10:BK10="地下")*('数据-基础表'!BB11:BK11="商业")*('数据-基础表'!BB5:BK5))</f>
        <v>19300.580000000002</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12721.67</v>
      </c>
      <c r="E13" s="51">
        <f>SUMPRODUCT(('数据-基础表'!BB10:BK10="地下")*('数据-基础表'!BB11:BK11="车库")*('数据-基础表'!BB5:BK5))</f>
        <v>48625.24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50584.19</v>
      </c>
      <c r="E16" s="53">
        <f>SUM(E8:E15)</f>
        <v>193344.75</v>
      </c>
      <c r="F16" s="2855"/>
      <c r="G16" s="2856"/>
      <c r="H16" s="1802" t="s">
        <v>1761</v>
      </c>
      <c r="I16" s="1803"/>
      <c r="J16" s="1273"/>
      <c r="K16" s="3295" t="s">
        <v>1761</v>
      </c>
      <c r="L16" s="3296"/>
      <c r="M16" s="3296"/>
      <c r="N16" s="3296"/>
      <c r="O16" s="3296"/>
      <c r="P16" s="3297"/>
    </row>
    <row r="17" spans="1:19" ht="15">
      <c r="A17" s="1804" t="s">
        <v>1762</v>
      </c>
      <c r="B17" s="1805" t="s">
        <v>1763</v>
      </c>
      <c r="C17" s="1806" t="s">
        <v>1764</v>
      </c>
      <c r="D17" s="1807" t="s">
        <v>1752</v>
      </c>
      <c r="E17" s="1808" t="s">
        <v>1753</v>
      </c>
      <c r="F17" s="1809"/>
      <c r="G17" s="1810"/>
      <c r="H17" s="1811" t="s">
        <v>1765</v>
      </c>
      <c r="I17" s="1812" t="s">
        <v>1750</v>
      </c>
      <c r="J17" s="1273"/>
      <c r="K17" s="3292" t="s">
        <v>1766</v>
      </c>
      <c r="L17" s="3293"/>
      <c r="M17" s="3294"/>
      <c r="N17" s="3292" t="s">
        <v>1767</v>
      </c>
      <c r="O17" s="3293"/>
      <c r="P17" s="3294"/>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6" t="s">
        <v>3137</v>
      </c>
      <c r="D19" s="48">
        <f>ROUND($D$3*E19/$E$3,2)</f>
        <v>50584.19</v>
      </c>
      <c r="E19" s="56">
        <f t="shared" ref="E19:E26" si="1">SUM(F19:G19)</f>
        <v>193344.75</v>
      </c>
      <c r="F19" s="2995">
        <f>'数据-基础表'!I13</f>
        <v>125418.93</v>
      </c>
      <c r="G19" s="2996">
        <f>'数据-基础表'!K13+'数据-基础表'!M13</f>
        <v>67925.820000000007</v>
      </c>
      <c r="H19" s="679">
        <f>ROUND($D$3*I19/$E$3,2)</f>
        <v>4607.59</v>
      </c>
      <c r="I19" s="51">
        <f t="shared" ref="I19:I26" si="2">IF($I$17="自定义",P19,M19)</f>
        <v>17611.310000000001</v>
      </c>
      <c r="J19" s="1273"/>
      <c r="K19" s="1272">
        <f t="shared" ref="K19:K26" si="3">ROUND(E$28*E19/E$27,2)</f>
        <v>17611.310000000001</v>
      </c>
      <c r="L19" s="1157">
        <f t="shared" ref="L19:L26" si="4">ROUND(IF(COUNTIF(C19,"*住宅*")&gt;0,E$29*E19/E$32,0),2)</f>
        <v>0</v>
      </c>
      <c r="M19" s="1284">
        <f>K19+L19</f>
        <v>17611.310000000001</v>
      </c>
      <c r="N19" s="1823"/>
      <c r="O19" s="1824"/>
      <c r="P19" s="1284">
        <f>N19+O19</f>
        <v>0</v>
      </c>
      <c r="R19" s="1157">
        <f t="shared" ref="R19:S26" si="5">D19+H19</f>
        <v>55191.78</v>
      </c>
      <c r="S19" s="1158">
        <f t="shared" si="5"/>
        <v>210956.06</v>
      </c>
    </row>
    <row r="20" spans="1:19">
      <c r="A20" s="1825"/>
      <c r="B20" s="50" t="s">
        <v>1779</v>
      </c>
      <c r="C20" s="3206"/>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50584.19</v>
      </c>
      <c r="E27" s="1275">
        <f>IF(SUM(E19:E26)='数据-基础表'!BA5,SUM(E19:E26),IF(F27="地上面积有误","面积有误","地下面积有误"))</f>
        <v>193344.75</v>
      </c>
      <c r="F27" s="1274">
        <f>IF(SUM(F19:F26)=E8,SUM(F19:F26),"地上面积有误")</f>
        <v>125418.93</v>
      </c>
      <c r="G27" s="1276">
        <f>SUM(G19:G26)</f>
        <v>67925.820000000007</v>
      </c>
      <c r="H27" s="1277">
        <f>SUM(H19:H26)</f>
        <v>4607.59</v>
      </c>
      <c r="I27" s="1278">
        <f>SUM(I19:I26)</f>
        <v>17611.310000000001</v>
      </c>
      <c r="J27" s="1273"/>
      <c r="K27" s="1281">
        <f>SUM(K19:K26)</f>
        <v>17611.310000000001</v>
      </c>
      <c r="L27" s="1282">
        <f>SUM(L19:L26)</f>
        <v>0</v>
      </c>
      <c r="M27" s="1285">
        <f>SUM(M19:M26)</f>
        <v>17611.310000000001</v>
      </c>
      <c r="N27" s="1281">
        <f t="shared" ref="N27:O27" si="10">SUM(N19:N26)</f>
        <v>0</v>
      </c>
      <c r="O27" s="1282">
        <f t="shared" si="10"/>
        <v>0</v>
      </c>
      <c r="P27" s="1283">
        <f>SUM(P19:P26)</f>
        <v>0</v>
      </c>
      <c r="R27" s="1159">
        <f>IF(SUM(R19:R26)=$D$3,SUM(R19:R26),SUM(R19:R26)&amp;"误差"&amp;ROUND(SUM(R19:R26)-$D$3,2))</f>
        <v>55191.78</v>
      </c>
      <c r="S27" s="1157">
        <f>IF(SUM(S19:S26)=$E$3,SUM(S19:S26),SUM(S19:S26)&amp;"误差"&amp;ROUND(SUM(S19:S26)-E3,2))</f>
        <v>210956.06</v>
      </c>
    </row>
    <row r="28" spans="1:19">
      <c r="A28" s="1825"/>
      <c r="B28" s="50" t="s">
        <v>1781</v>
      </c>
      <c r="C28" s="1169" t="s">
        <v>1782</v>
      </c>
      <c r="D28" s="48">
        <f>ROUND($D$3*E28/$E$3,2)</f>
        <v>4607.59</v>
      </c>
      <c r="E28" s="56">
        <f>SUM(F28:G28)</f>
        <v>17611.310000000001</v>
      </c>
      <c r="F28" s="60">
        <f>'数据-基础表'!BQ5+'数据-基础表'!BS5</f>
        <v>17611.310000000001</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4607.59</v>
      </c>
      <c r="E30" s="1274">
        <f>SUM(E28:E29)</f>
        <v>17611.310000000001</v>
      </c>
      <c r="F30" s="1274">
        <f>SUM(F28:F29)</f>
        <v>17611.310000000001</v>
      </c>
      <c r="G30" s="1276">
        <f>SUM(G28:G29)</f>
        <v>0</v>
      </c>
      <c r="H30" s="2855"/>
      <c r="I30" s="2855"/>
      <c r="J30" s="2855"/>
      <c r="K30" s="2855"/>
      <c r="L30" s="2855"/>
      <c r="M30" s="2855"/>
      <c r="N30" s="2855"/>
      <c r="O30" s="2855"/>
      <c r="P30" s="2855"/>
    </row>
    <row r="31" spans="1:19" ht="15.75" thickBot="1">
      <c r="A31" s="1831"/>
      <c r="B31" s="1832"/>
      <c r="C31" s="944" t="s">
        <v>1784</v>
      </c>
      <c r="D31" s="685">
        <f>D27+D30</f>
        <v>55191.78</v>
      </c>
      <c r="E31" s="685">
        <f>E27+E30</f>
        <v>210956.06</v>
      </c>
      <c r="F31" s="686">
        <f>F27+F30</f>
        <v>143030.24</v>
      </c>
      <c r="G31" s="687">
        <f>G27+G30</f>
        <v>67925.820000000007</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4.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44662</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3139</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1号楼</v>
      </c>
      <c r="B6" s="1868" t="str">
        <f>IF(A6=0,"","经营性")</f>
        <v>经营性</v>
      </c>
      <c r="C6" s="1869" t="s">
        <v>1283</v>
      </c>
      <c r="D6" s="967">
        <f>SUMIF(项目基本情况!D$12:I$12,C6,项目基本情况!D$14:I$14)</f>
        <v>40</v>
      </c>
      <c r="E6" s="966">
        <f>IF(B6="","",SUMIF(项目基本情况!D$12:I$12,C6,项目基本情况!D$13:I$13))</f>
        <v>55161</v>
      </c>
      <c r="F6" s="68">
        <f>SUMIF(项目基本情况!D$12:I$12,C6,项目基本情况!D$15:I$15)</f>
        <v>28.76</v>
      </c>
      <c r="G6" s="69">
        <f>IF(ISERROR(ROUND(POWER(1+H6,D6-F6)*(POWER(1+H6,F6)-1)/(POWER(1+H6,D6)-1),3)),0,ROUND(POWER(1+H6,D6-F6)*(POWER(1+H6,F6)-1)/(POWER(1+H6,D6)-1),3))</f>
        <v>0.89</v>
      </c>
      <c r="H6" s="741">
        <v>5.5E-2</v>
      </c>
      <c r="I6" s="741">
        <v>0.06</v>
      </c>
      <c r="J6" s="70">
        <v>8.5000000000000006E-2</v>
      </c>
      <c r="K6" s="1161">
        <f>SUMIF('数据-汇总表'!C$19:C$33,A6,'数据-汇总表'!E$19:E$33)</f>
        <v>193344.75</v>
      </c>
      <c r="L6" s="742">
        <v>3500</v>
      </c>
      <c r="M6" s="71">
        <f t="shared" ref="M6:M14" si="0">ROUND(K6*L6/10000,0)</f>
        <v>67671</v>
      </c>
      <c r="N6" s="740">
        <f>ROUND((N19+N20)/2,2)</f>
        <v>0.89</v>
      </c>
      <c r="O6" s="71" t="str">
        <f>IF($N$5="成新度","——",ROUND(M6*N6,0))</f>
        <v>——</v>
      </c>
      <c r="P6" s="72" t="str">
        <f>IF($N$5="成新度","——",M6-O6)</f>
        <v>——</v>
      </c>
      <c r="Q6" s="743">
        <v>0.17</v>
      </c>
      <c r="R6" s="73">
        <f ca="1">SUMIF('数据-汇总表'!C$19:C$33,A6,'数据-汇总表'!R$19:R$27)</f>
        <v>55191.78</v>
      </c>
      <c r="S6" s="54">
        <f>IF('数据-汇总表'!$I$17="按面积比例",SUMIF('数据-汇总表'!C$19:C$33,A6,'数据-汇总表'!K$19:K$33),SUMIF('数据-汇总表'!C$19:C$33,A6,'数据-汇总表'!N$19:N$33))</f>
        <v>17611.310000000001</v>
      </c>
      <c r="T6" s="1306">
        <f>ROUND($L$14*S6/10000,0)</f>
        <v>3874</v>
      </c>
      <c r="U6" s="3216">
        <v>5.0999999999999996</v>
      </c>
      <c r="V6" s="75">
        <v>0</v>
      </c>
      <c r="W6" s="75">
        <v>0.1</v>
      </c>
      <c r="X6" s="1171"/>
      <c r="Y6" s="76">
        <f>N6</f>
        <v>0.89</v>
      </c>
      <c r="Z6" s="77"/>
      <c r="AA6" s="70"/>
      <c r="AB6" s="70"/>
      <c r="AC6" s="1171"/>
      <c r="AD6" s="78"/>
      <c r="AE6" s="1172">
        <f ca="1">IF(AN6="",0,SUMIF(INDIRECT("'"&amp;AN6&amp;"'"&amp;"!E:E"),$AE$5,INDIRECT("'"&amp;AN6&amp;"'"&amp;"!F:F")))</f>
        <v>28.76</v>
      </c>
      <c r="AF6" s="1501"/>
      <c r="AG6" s="143">
        <f>IF(AF6="",0,AE6-AF6)</f>
        <v>0</v>
      </c>
      <c r="AH6" s="79">
        <f>'数据-基础表'!I13+'数据-基础表'!K13</f>
        <v>144719.51</v>
      </c>
      <c r="AI6" s="81">
        <v>365</v>
      </c>
      <c r="AJ6" s="82"/>
      <c r="AK6" s="83">
        <v>1.4999999999999999E-2</v>
      </c>
      <c r="AL6" s="84">
        <v>1.5E-3</v>
      </c>
      <c r="AM6" s="85">
        <v>1.4999999999999999E-2</v>
      </c>
      <c r="AN6" s="1870" t="s">
        <v>3140</v>
      </c>
      <c r="AO6" s="55">
        <f ca="1">SUMIF(INDIRECT("'"&amp;AN6&amp;"'"&amp;"!A:A"),"总价",INDIRECT("'"&amp;AN6&amp;"'"&amp;"!B:B"))</f>
        <v>249279</v>
      </c>
      <c r="AP6" s="1871">
        <f>IF(C6="住宅",K6*L6,0)</f>
        <v>0</v>
      </c>
      <c r="AQ6" s="55">
        <f>ROUND($L$14*$N$14*S6/10000,0)</f>
        <v>3448</v>
      </c>
      <c r="AR6" s="55">
        <f>ROUND($L$14*(1-$N$14)*S6/10000,0)</f>
        <v>426</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17611.310000000001</v>
      </c>
      <c r="L14" s="87">
        <v>2200</v>
      </c>
      <c r="M14" s="71">
        <f t="shared" si="0"/>
        <v>3874</v>
      </c>
      <c r="N14" s="88">
        <f>N6</f>
        <v>0.89</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25">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0.89</v>
      </c>
      <c r="H16" s="95">
        <f>ROUND(SUMPRODUCT(H6:H13,K6:K13)/SUMPRODUCT((H6:H13&gt;0)*(K6:K13)),3)</f>
        <v>5.5E-2</v>
      </c>
      <c r="I16" s="96"/>
      <c r="J16" s="96"/>
      <c r="K16" s="97">
        <f>SUM(K6:K15)</f>
        <v>210956.06</v>
      </c>
      <c r="L16" s="98">
        <f>ROUND(M16*10000/SUM(K6:K14),0)</f>
        <v>3391</v>
      </c>
      <c r="M16" s="98">
        <f>SUM(M6:M14)</f>
        <v>71545</v>
      </c>
      <c r="N16" s="99">
        <f>ROUND(SUMPRODUCT(M6:M14,N6:N14)/M16,3)</f>
        <v>0.89</v>
      </c>
      <c r="O16" s="98">
        <f>SUM(O6:O14)</f>
        <v>0</v>
      </c>
      <c r="P16" s="98">
        <f>SUM(P6:P14)</f>
        <v>0</v>
      </c>
      <c r="Q16" s="100">
        <f>ROUND(SUMPRODUCT(Q6:Q13,K6:K13)/SUMPRODUCT((Q6:Q13&gt;0)*(K6:K13)),2)</f>
        <v>0.17</v>
      </c>
      <c r="R16" s="1165">
        <f ca="1">SUM(R6:R13)</f>
        <v>55191.78</v>
      </c>
      <c r="S16" s="101">
        <f>SUM(S6:S13)</f>
        <v>17611.310000000001</v>
      </c>
      <c r="T16" s="102">
        <f>IF(SUMIF(T6:T13,"&lt;9E307")=M14,SUMIF(T6:T13,"&lt;9E307"),"有误，请检查")</f>
        <v>3874</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v>2015</v>
      </c>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2990</v>
      </c>
      <c r="D19" s="2874"/>
      <c r="E19" s="2871"/>
      <c r="F19" s="2871"/>
      <c r="G19" s="2871"/>
      <c r="H19" s="2871"/>
      <c r="I19" s="2871"/>
      <c r="J19" s="2871"/>
      <c r="K19" s="2870"/>
      <c r="L19" s="2870"/>
      <c r="M19" s="2869"/>
      <c r="N19" s="2869">
        <f>ROUND(1-(2022-N18)/60,2)</f>
        <v>0.88</v>
      </c>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2988</v>
      </c>
      <c r="D20" s="2874"/>
      <c r="E20" s="2871"/>
      <c r="F20" s="2871"/>
      <c r="G20" s="2871"/>
      <c r="H20" s="2871"/>
      <c r="I20" s="2871"/>
      <c r="J20" s="2871"/>
      <c r="K20" s="2870"/>
      <c r="L20" s="2870"/>
      <c r="M20" s="2869"/>
      <c r="N20" s="2869">
        <v>0.9</v>
      </c>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14.25">
      <c r="A27" s="1882" t="s">
        <v>1846</v>
      </c>
      <c r="B27" s="112">
        <v>150</v>
      </c>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14.25">
      <c r="A28" s="1884" t="s">
        <v>1847</v>
      </c>
      <c r="B28" s="115">
        <v>190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v>4008</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14.25">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3138</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14.25">
      <c r="A53" s="1884" t="s">
        <v>1871</v>
      </c>
      <c r="B53" s="1893" t="s">
        <v>56</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07" t="s">
        <v>2971</v>
      </c>
      <c r="B1" s="3308"/>
      <c r="C1" s="3308"/>
      <c r="D1" s="3308"/>
      <c r="E1" s="3308"/>
      <c r="F1" s="3308"/>
      <c r="G1" s="3308"/>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193344.75</v>
      </c>
      <c r="C1" s="2884"/>
      <c r="D1" s="2884"/>
      <c r="E1" s="2884"/>
      <c r="F1" s="2884"/>
      <c r="G1" s="2885"/>
      <c r="H1" s="2886"/>
      <c r="I1" s="2886"/>
      <c r="J1" s="2886"/>
      <c r="K1" s="2886"/>
    </row>
    <row r="2" spans="1:11" ht="16.5">
      <c r="A2" s="2707" t="s">
        <v>1259</v>
      </c>
      <c r="B2" s="2707">
        <f>SUM(C14:C23)</f>
        <v>50584.19</v>
      </c>
      <c r="C2" s="2884"/>
      <c r="D2" s="2884"/>
      <c r="E2" s="2884"/>
      <c r="F2" s="2884"/>
      <c r="G2" s="2885"/>
      <c r="H2" s="2886"/>
      <c r="I2" s="2886"/>
      <c r="J2" s="2886"/>
      <c r="K2" s="2886"/>
    </row>
    <row r="3" spans="1:11" ht="16.5">
      <c r="A3" s="2707" t="s">
        <v>1268</v>
      </c>
      <c r="B3" s="2709">
        <f>项目基本情况!D3</f>
        <v>44662</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305869</v>
      </c>
      <c r="C5" s="2707">
        <f ca="1">ROUND(B5*10000/$B$1,0)</f>
        <v>15820</v>
      </c>
      <c r="D5" s="2707">
        <f ca="1">ROUND(B5*10000/$B$2,0)</f>
        <v>60467</v>
      </c>
      <c r="E5" s="2884"/>
      <c r="F5" s="2885"/>
      <c r="G5" s="2885"/>
      <c r="H5" s="2886"/>
      <c r="I5" s="2886"/>
      <c r="J5" s="2886"/>
      <c r="K5" s="2886"/>
    </row>
    <row r="6" spans="1:11" ht="16.5">
      <c r="A6" s="2707" t="s">
        <v>1262</v>
      </c>
      <c r="B6" s="2707">
        <f ca="1">SUM(G14:G23)</f>
        <v>305869</v>
      </c>
      <c r="C6" s="2707">
        <f ca="1">ROUND(B6*10000/$B$1,0)</f>
        <v>15820</v>
      </c>
      <c r="D6" s="2707">
        <f ca="1">ROUND(B6*10000/$B$2,0)</f>
        <v>60467</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193344.75</v>
      </c>
      <c r="C14" s="2713">
        <f>结果表!C118</f>
        <v>50584.19</v>
      </c>
      <c r="D14" s="2713">
        <f ca="1">结果表!H118</f>
        <v>305869</v>
      </c>
      <c r="E14" s="2713">
        <f ca="1">ROUND(D14*10000/B14,0)</f>
        <v>15820</v>
      </c>
      <c r="F14" s="2713">
        <f ca="1">ROUND(D14*10000/C14,0)</f>
        <v>60467</v>
      </c>
      <c r="G14" s="2713">
        <f ca="1">结果表!D122</f>
        <v>305869</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G24" sqref="G24"/>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t="s">
        <v>3145</v>
      </c>
      <c r="D1" s="1902"/>
      <c r="E1" s="1902"/>
      <c r="F1" s="1904" t="s">
        <v>1889</v>
      </c>
      <c r="G1" s="1715" t="s">
        <v>3224</v>
      </c>
      <c r="H1" s="1905" t="str">
        <f>IF(G1="现房","——","估价对象范围")</f>
        <v>——</v>
      </c>
      <c r="I1" s="1906"/>
    </row>
    <row r="2" spans="1:12" ht="21.75" customHeight="1" thickBot="1">
      <c r="A2" s="3343" t="str">
        <f>项目基本情况!S2</f>
        <v>北京市房地产</v>
      </c>
      <c r="B2" s="3344"/>
      <c r="C2" s="3344"/>
      <c r="D2" s="3344"/>
      <c r="E2" s="3344"/>
      <c r="F2" s="3344"/>
      <c r="G2" s="3344"/>
      <c r="H2" s="3344"/>
      <c r="I2" s="3345"/>
    </row>
    <row r="3" spans="1:12" ht="12.75">
      <c r="A3" s="3347" t="s">
        <v>1890</v>
      </c>
      <c r="B3" s="3348"/>
      <c r="C3" s="3348"/>
      <c r="D3" s="3348"/>
      <c r="E3" s="3348"/>
      <c r="F3" s="3348"/>
      <c r="G3" s="3348"/>
      <c r="H3" s="3348"/>
      <c r="I3" s="3348"/>
    </row>
    <row r="4" spans="1:12" ht="14.25">
      <c r="A4" s="1909" t="s">
        <v>1891</v>
      </c>
      <c r="B4" s="1910" t="s">
        <v>1892</v>
      </c>
      <c r="C4" s="1911" t="s">
        <v>3140</v>
      </c>
      <c r="D4" s="1911" t="s">
        <v>3141</v>
      </c>
      <c r="E4" s="3349" t="s">
        <v>1893</v>
      </c>
      <c r="F4" s="3350"/>
      <c r="G4" s="3350"/>
      <c r="H4" s="3350"/>
      <c r="I4" s="3351"/>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23" t="s">
        <v>1894</v>
      </c>
      <c r="B5" s="3310">
        <v>25</v>
      </c>
      <c r="C5" s="3326"/>
      <c r="D5" s="3346"/>
      <c r="E5" s="136" t="s">
        <v>1895</v>
      </c>
      <c r="F5" s="1912"/>
      <c r="G5" s="1912"/>
      <c r="H5" s="1912"/>
      <c r="I5" s="1526"/>
    </row>
    <row r="6" spans="1:12" ht="12.75">
      <c r="A6" s="3323"/>
      <c r="B6" s="3310"/>
      <c r="C6" s="3327"/>
      <c r="D6" s="3346"/>
      <c r="E6" s="136" t="s">
        <v>1896</v>
      </c>
      <c r="F6" s="1912"/>
      <c r="G6" s="1912"/>
      <c r="H6" s="1912"/>
      <c r="I6" s="1526"/>
    </row>
    <row r="7" spans="1:12" ht="12.75">
      <c r="A7" s="3323"/>
      <c r="B7" s="3310"/>
      <c r="C7" s="3328"/>
      <c r="D7" s="3346"/>
      <c r="E7" s="136" t="s">
        <v>1897</v>
      </c>
      <c r="F7" s="1912"/>
      <c r="G7" s="1912"/>
      <c r="H7" s="1912"/>
      <c r="I7" s="1526"/>
    </row>
    <row r="8" spans="1:12" ht="12.75">
      <c r="A8" s="3323" t="s">
        <v>1898</v>
      </c>
      <c r="B8" s="3310">
        <v>15</v>
      </c>
      <c r="C8" s="3326"/>
      <c r="D8" s="3346"/>
      <c r="E8" s="136" t="s">
        <v>1899</v>
      </c>
      <c r="F8" s="1912"/>
      <c r="G8" s="1912"/>
      <c r="H8" s="1912"/>
      <c r="I8" s="1526"/>
    </row>
    <row r="9" spans="1:12" ht="12.75">
      <c r="A9" s="3323"/>
      <c r="B9" s="3310"/>
      <c r="C9" s="3328"/>
      <c r="D9" s="3346"/>
      <c r="E9" s="136" t="s">
        <v>1900</v>
      </c>
      <c r="F9" s="1912"/>
      <c r="G9" s="1912"/>
      <c r="H9" s="1912"/>
      <c r="I9" s="1526"/>
    </row>
    <row r="10" spans="1:12" ht="12.75">
      <c r="A10" s="3323" t="s">
        <v>1901</v>
      </c>
      <c r="B10" s="3310">
        <v>15</v>
      </c>
      <c r="C10" s="3326"/>
      <c r="D10" s="3346"/>
      <c r="E10" s="136" t="s">
        <v>1902</v>
      </c>
      <c r="F10" s="1912"/>
      <c r="G10" s="1912"/>
      <c r="H10" s="1912"/>
      <c r="I10" s="1526"/>
    </row>
    <row r="11" spans="1:12" ht="12.75">
      <c r="A11" s="3323"/>
      <c r="B11" s="3310"/>
      <c r="C11" s="3328"/>
      <c r="D11" s="3346"/>
      <c r="E11" s="136" t="s">
        <v>1903</v>
      </c>
      <c r="F11" s="1912"/>
      <c r="G11" s="1912"/>
      <c r="H11" s="1912"/>
      <c r="I11" s="1526"/>
    </row>
    <row r="12" spans="1:12" ht="12.75">
      <c r="A12" s="3323" t="s">
        <v>1904</v>
      </c>
      <c r="B12" s="3310">
        <v>15</v>
      </c>
      <c r="C12" s="3326"/>
      <c r="D12" s="3346"/>
      <c r="E12" s="136" t="s">
        <v>1905</v>
      </c>
      <c r="F12" s="1912"/>
      <c r="G12" s="1912"/>
      <c r="H12" s="1912"/>
      <c r="I12" s="1526"/>
    </row>
    <row r="13" spans="1:12" ht="12.75">
      <c r="A13" s="3323"/>
      <c r="B13" s="3310"/>
      <c r="C13" s="3328"/>
      <c r="D13" s="3346"/>
      <c r="E13" s="136" t="s">
        <v>1906</v>
      </c>
      <c r="F13" s="1912"/>
      <c r="G13" s="1912"/>
      <c r="H13" s="1912"/>
      <c r="I13" s="1526"/>
    </row>
    <row r="14" spans="1:12" ht="12.75">
      <c r="A14" s="3323" t="s">
        <v>1907</v>
      </c>
      <c r="B14" s="3310">
        <v>30</v>
      </c>
      <c r="C14" s="3326">
        <v>6</v>
      </c>
      <c r="D14" s="3346">
        <v>4</v>
      </c>
      <c r="E14" s="136" t="s">
        <v>1908</v>
      </c>
      <c r="F14" s="1912"/>
      <c r="G14" s="1912"/>
      <c r="H14" s="1912"/>
      <c r="I14" s="1526"/>
    </row>
    <row r="15" spans="1:12" ht="12.75">
      <c r="A15" s="3323"/>
      <c r="B15" s="3310"/>
      <c r="C15" s="3327"/>
      <c r="D15" s="3346"/>
      <c r="E15" s="136" t="s">
        <v>1909</v>
      </c>
      <c r="F15" s="1912"/>
      <c r="G15" s="1912"/>
      <c r="H15" s="1912"/>
      <c r="I15" s="1526"/>
    </row>
    <row r="16" spans="1:12" ht="12.75">
      <c r="A16" s="3323"/>
      <c r="B16" s="3310"/>
      <c r="C16" s="3328"/>
      <c r="D16" s="3346"/>
      <c r="E16" s="136" t="s">
        <v>1910</v>
      </c>
      <c r="F16" s="1912"/>
      <c r="G16" s="1912"/>
      <c r="H16" s="1912"/>
      <c r="I16" s="1526"/>
    </row>
    <row r="17" spans="1:36" ht="15">
      <c r="A17" s="1913" t="s">
        <v>1911</v>
      </c>
      <c r="B17" s="60"/>
      <c r="C17" s="137">
        <f>SUM(C5:C16)</f>
        <v>6</v>
      </c>
      <c r="D17" s="137">
        <f>SUM(D5:D16)</f>
        <v>4</v>
      </c>
      <c r="E17" s="134"/>
      <c r="F17" s="134"/>
      <c r="G17" s="134"/>
      <c r="H17" s="134"/>
      <c r="I17" s="134"/>
      <c r="K17" s="308"/>
      <c r="L17" s="308" t="s">
        <v>1912</v>
      </c>
      <c r="M17" s="308" t="s">
        <v>1913</v>
      </c>
    </row>
    <row r="18" spans="1:36" ht="31.9" customHeight="1" thickBot="1">
      <c r="A18" s="1914" t="s">
        <v>1914</v>
      </c>
      <c r="B18" s="1915"/>
      <c r="C18" s="138">
        <f>ROUND(C17/SUM(C17:D17),2)</f>
        <v>0.6</v>
      </c>
      <c r="D18" s="138">
        <f>1-C18</f>
        <v>0.4</v>
      </c>
      <c r="E18" s="3333" t="s">
        <v>2812</v>
      </c>
      <c r="F18" s="3334"/>
      <c r="G18" s="3334"/>
      <c r="H18" s="3334"/>
      <c r="I18" s="3334"/>
      <c r="K18" s="308" t="s">
        <v>1915</v>
      </c>
      <c r="L18" s="308">
        <f>IF(C1="",'数据-汇总表'!E3,SUMIF(项目类型,C1,'数据-汇总表'!E17:E26)+SUMIF(项目类型,C1,'数据-汇总表'!I17:I26))</f>
        <v>210956.06</v>
      </c>
      <c r="M18" s="308">
        <f>IF(C1="",'数据-汇总表'!E3,SUMIF(项目类型,C1,'数据-汇总表'!E17:E26))</f>
        <v>193344.75</v>
      </c>
    </row>
    <row r="19" spans="1:36" ht="15">
      <c r="A19" s="1916" t="s">
        <v>1916</v>
      </c>
      <c r="B19" s="1917" t="s">
        <v>1917</v>
      </c>
      <c r="C19" s="139">
        <f ca="1">SUMIF(INDIRECT("'"&amp;C4&amp;"'"&amp;"!A:A"),结果表!B19,INDIRECT("'"&amp;C4&amp;"'"&amp;"!B:B"))</f>
        <v>249279</v>
      </c>
      <c r="D19" s="140">
        <f ca="1">SUMIF(INDIRECT("'"&amp;D4&amp;"'"&amp;"!A:A"),结果表!B19,INDIRECT("'"&amp;D4&amp;"'"&amp;"!B:B"))</f>
        <v>390754</v>
      </c>
      <c r="E19" s="1916" t="s">
        <v>1918</v>
      </c>
      <c r="F19" s="1917" t="s">
        <v>1917</v>
      </c>
      <c r="G19" s="141">
        <f ca="1">ROUND(C19*$C$18+D19*$D$18,0)</f>
        <v>305869</v>
      </c>
      <c r="H19" s="1918" t="s">
        <v>1919</v>
      </c>
      <c r="I19" s="134"/>
      <c r="K19" s="308" t="s">
        <v>1920</v>
      </c>
      <c r="L19" s="308">
        <f>IF(C1="",'数据-汇总表'!D3,SUMIF(项目类型,C1,'数据-汇总表'!D17:D26)+SUMIF(项目类型,C1,'数据-汇总表'!H17:H27))</f>
        <v>55191.78</v>
      </c>
      <c r="M19" s="308">
        <f>IF(C1="",'数据-汇总表'!D3,SUMIF(项目类型,C1,'数据-汇总表'!D17:D26))</f>
        <v>50584.19</v>
      </c>
    </row>
    <row r="20" spans="1:36" ht="15">
      <c r="A20" s="1919"/>
      <c r="B20" s="1157" t="s">
        <v>1921</v>
      </c>
      <c r="C20" s="3557">
        <f ca="1">SUMIF(INDIRECT("'"&amp;C4&amp;"'"&amp;"!A:A"),结果表!B20,INDIRECT("'"&amp;C4&amp;"'"&amp;"!B:B"))</f>
        <v>12893</v>
      </c>
      <c r="D20" s="143">
        <f ca="1">SUMIF(INDIRECT("'"&amp;D4&amp;"'"&amp;"!A:A"),结果表!B20,INDIRECT("'"&amp;D4&amp;"'"&amp;"!B:B"))</f>
        <v>18523</v>
      </c>
      <c r="E20" s="1919"/>
      <c r="F20" s="1157" t="s">
        <v>1921</v>
      </c>
      <c r="G20" s="144">
        <f ca="1">ROUND(C20*$C$18+D20*$D$18,0)</f>
        <v>15145</v>
      </c>
      <c r="H20" s="917" t="s">
        <v>1922</v>
      </c>
      <c r="I20" s="134"/>
    </row>
    <row r="21" spans="1:36" ht="15" customHeight="1" thickBot="1">
      <c r="A21" s="937"/>
      <c r="B21" s="1920" t="s">
        <v>1923</v>
      </c>
      <c r="C21" s="728">
        <f ca="1">ROUND(C19*10000/L19,0)</f>
        <v>45166</v>
      </c>
      <c r="D21" s="729">
        <f ca="1">ROUND(D19*10000/L19,0)</f>
        <v>70799</v>
      </c>
      <c r="E21" s="937"/>
      <c r="F21" s="1920" t="s">
        <v>1923</v>
      </c>
      <c r="G21" s="145">
        <f ca="1">ROUND(G19*10000/L19,0)</f>
        <v>55419</v>
      </c>
      <c r="H21" s="1921" t="s">
        <v>1922</v>
      </c>
      <c r="I21" s="134"/>
    </row>
    <row r="22" spans="1:36" ht="15" thickBot="1">
      <c r="A22" s="1843" t="s">
        <v>1924</v>
      </c>
      <c r="B22" s="1922"/>
      <c r="C22" s="1923"/>
      <c r="D22" s="730">
        <f ca="1">IF(C19&lt;D19,D19/C19-1,C19/D19-1)</f>
        <v>0.56753677606216324</v>
      </c>
      <c r="E22" s="134"/>
      <c r="F22" s="134"/>
      <c r="G22" s="134"/>
      <c r="H22" s="134"/>
      <c r="I22" s="134"/>
    </row>
    <row r="23" spans="1:36" ht="13.5" thickBot="1">
      <c r="A23" s="1902"/>
      <c r="B23" s="1902"/>
      <c r="C23" s="1902"/>
      <c r="D23" s="1902"/>
      <c r="E23" s="134"/>
      <c r="F23" s="134"/>
      <c r="G23" s="134"/>
      <c r="H23" s="134"/>
      <c r="I23" s="134"/>
    </row>
    <row r="24" spans="1:36" ht="14.25">
      <c r="A24" s="3317" t="s">
        <v>1925</v>
      </c>
      <c r="B24" s="1917" t="s">
        <v>1917</v>
      </c>
      <c r="C24" s="141">
        <f>IF(B30=0,0,D30)</f>
        <v>0</v>
      </c>
      <c r="D24" s="1924"/>
      <c r="E24" s="134"/>
      <c r="F24" s="134"/>
      <c r="G24" s="134"/>
      <c r="H24" s="134"/>
      <c r="I24" s="134"/>
    </row>
    <row r="25" spans="1:36" ht="14.25">
      <c r="A25" s="3318"/>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305869</v>
      </c>
      <c r="D32" s="1930" t="s">
        <v>3146</v>
      </c>
      <c r="E32" s="134"/>
      <c r="F32" s="134"/>
      <c r="G32" s="134"/>
      <c r="H32" s="134"/>
      <c r="I32" s="134"/>
    </row>
    <row r="33" spans="1:15" ht="15">
      <c r="A33" s="894" t="s">
        <v>1932</v>
      </c>
      <c r="B33" s="1931"/>
      <c r="C33" s="1932" t="s">
        <v>3225</v>
      </c>
      <c r="D33" s="1933" t="s">
        <v>3141</v>
      </c>
      <c r="E33" s="1934" t="s">
        <v>1933</v>
      </c>
      <c r="F33" s="1935" t="str">
        <f>IF(D32="楼面单价","取值（单价）","取值（总价）")</f>
        <v>取值（总价）</v>
      </c>
      <c r="G33" s="134"/>
      <c r="H33" s="134"/>
      <c r="I33" s="134"/>
    </row>
    <row r="34" spans="1:15" ht="15">
      <c r="A34" s="1936"/>
      <c r="B34" s="1937" t="s">
        <v>1934</v>
      </c>
      <c r="C34" s="153">
        <f ca="1">IF(C33="自定义",F34,C32-C35)</f>
        <v>232155</v>
      </c>
      <c r="D34" s="970">
        <f ca="1">IF(C33="自定义",ROUND(C34/C32,3),IF(C33="收益比率",SUMIF(INDIRECT("'"&amp;D33&amp;"'"&amp;"!b:b"),"土地收益比率",INDIRECT("'"&amp;D33&amp;"'"&amp;"!c:c")),SUMIF(INDIRECT("'"&amp;D33&amp;"'"&amp;"!b:b"),"土地成本比率",INDIRECT("'"&amp;D33&amp;"'"&amp;"!c:c"))))</f>
        <v>0.75900000000000001</v>
      </c>
      <c r="E34" s="1938" t="s">
        <v>1935</v>
      </c>
      <c r="F34" s="1469"/>
      <c r="G34" s="134"/>
      <c r="H34" s="134"/>
      <c r="I34" s="134"/>
    </row>
    <row r="35" spans="1:15" ht="15.75" thickBot="1">
      <c r="A35" s="1939"/>
      <c r="B35" s="1940" t="s">
        <v>1936</v>
      </c>
      <c r="C35" s="1304">
        <f ca="1">IF(C33="自定义",F35,ROUND(C32*D35,0))</f>
        <v>73714</v>
      </c>
      <c r="D35" s="1305">
        <f ca="1">IF(C33="自定义",ROUND(C35/C32,3),IF(C33="收益比率",SUMIF(INDIRECT("'"&amp;D33&amp;"'"&amp;"!b:b"),"建筑物收益比率",INDIRECT("'"&amp;D33&amp;"'"&amp;"!c:c")),SUMIF(INDIRECT("'"&amp;D33&amp;"'"&amp;"!b:b"),"建筑物成本比率",INDIRECT("'"&amp;D33&amp;"'"&amp;"!c:c"))))</f>
        <v>0.24099999999999999</v>
      </c>
      <c r="E35" s="1941" t="s">
        <v>1937</v>
      </c>
      <c r="F35" s="159"/>
      <c r="G35" s="134"/>
      <c r="H35" s="134"/>
      <c r="I35" s="134"/>
    </row>
    <row r="36" spans="1:15" ht="15.75" thickBot="1">
      <c r="A36" s="3337" t="s">
        <v>1938</v>
      </c>
      <c r="B36" s="1942" t="s">
        <v>1939</v>
      </c>
      <c r="C36" s="150"/>
      <c r="D36" s="1943"/>
      <c r="E36" s="1944"/>
      <c r="F36" s="1945"/>
      <c r="G36" s="134"/>
      <c r="H36" s="134"/>
      <c r="I36" s="134"/>
    </row>
    <row r="37" spans="1:15" ht="15.75" thickBot="1">
      <c r="A37" s="3338"/>
      <c r="B37" s="1829" t="s">
        <v>1940</v>
      </c>
      <c r="C37" s="152"/>
      <c r="D37" s="1273"/>
      <c r="E37" s="1273"/>
      <c r="F37" s="1945"/>
      <c r="G37" s="134"/>
      <c r="H37" s="134"/>
      <c r="I37" s="134"/>
    </row>
    <row r="38" spans="1:15" ht="15.75" thickBot="1">
      <c r="A38" s="3339"/>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14" t="s">
        <v>1952</v>
      </c>
      <c r="B45" s="3315"/>
      <c r="C45" s="3316"/>
      <c r="D45" s="160">
        <f ca="1">ROUND(H101*F45,0)</f>
        <v>305869</v>
      </c>
      <c r="E45" s="161" t="s">
        <v>1953</v>
      </c>
      <c r="F45" s="162">
        <v>1</v>
      </c>
      <c r="G45" s="163" t="s">
        <v>1954</v>
      </c>
      <c r="H45" s="134"/>
      <c r="I45" s="134"/>
      <c r="J45" s="3395" t="s">
        <v>1955</v>
      </c>
      <c r="K45" s="3395"/>
      <c r="L45" s="3395"/>
      <c r="M45" s="3395"/>
      <c r="N45" s="3395"/>
      <c r="O45" s="3395"/>
    </row>
    <row r="46" spans="1:15" ht="14.25" customHeight="1">
      <c r="A46" s="3311" t="s">
        <v>1956</v>
      </c>
      <c r="B46" s="3312"/>
      <c r="C46" s="3312"/>
      <c r="D46" s="3312"/>
      <c r="E46" s="3312"/>
      <c r="F46" s="3312"/>
      <c r="G46" s="3313"/>
      <c r="H46" s="1961"/>
      <c r="I46" s="164"/>
      <c r="J46" s="2718">
        <v>1</v>
      </c>
      <c r="K46" s="3376" t="s">
        <v>1957</v>
      </c>
      <c r="L46" s="3376"/>
      <c r="M46" s="3396"/>
      <c r="N46" s="3396"/>
      <c r="O46" s="3396"/>
    </row>
    <row r="47" spans="1:15" ht="12" customHeight="1">
      <c r="A47" s="165" t="s">
        <v>1958</v>
      </c>
      <c r="B47" s="166"/>
      <c r="C47" s="167"/>
      <c r="D47" s="1219" t="s">
        <v>1959</v>
      </c>
      <c r="E47" s="308" t="s">
        <v>1960</v>
      </c>
      <c r="F47" s="168" t="s">
        <v>1961</v>
      </c>
      <c r="G47" s="2741" t="s">
        <v>1962</v>
      </c>
      <c r="H47" s="2742"/>
      <c r="I47" s="164"/>
      <c r="J47" s="2718">
        <v>2</v>
      </c>
      <c r="K47" s="3376" t="s">
        <v>1963</v>
      </c>
      <c r="L47" s="3376"/>
      <c r="M47" s="3397">
        <f>'数据-取费表'!B2</f>
        <v>44662</v>
      </c>
      <c r="N47" s="3397"/>
      <c r="O47" s="3397"/>
    </row>
    <row r="48" spans="1:15" ht="25.5">
      <c r="A48" s="3342" t="s">
        <v>1964</v>
      </c>
      <c r="B48" s="3325"/>
      <c r="C48" s="3325"/>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76" t="s">
        <v>1966</v>
      </c>
      <c r="L48" s="3376"/>
      <c r="M48" s="3398">
        <f ca="1">H101</f>
        <v>305869</v>
      </c>
      <c r="N48" s="3398"/>
      <c r="O48" s="3398"/>
    </row>
    <row r="49" spans="1:35" ht="25.5" customHeight="1">
      <c r="A49" s="2525" t="s">
        <v>1967</v>
      </c>
      <c r="B49" s="3309" t="s">
        <v>1968</v>
      </c>
      <c r="C49" s="3309"/>
      <c r="D49" s="1744">
        <v>0</v>
      </c>
      <c r="E49" s="330" t="s">
        <v>1969</v>
      </c>
      <c r="F49" s="2619" t="s">
        <v>34</v>
      </c>
      <c r="G49" s="3382"/>
      <c r="H49" s="2497" t="s">
        <v>2815</v>
      </c>
      <c r="I49" s="2498"/>
      <c r="J49" s="2718">
        <v>4</v>
      </c>
      <c r="K49" s="3376" t="str">
        <f>IF(项目基本情况!E8="房地产抵押价值","房地产抵押价值","抵押担保权已注销时的房地产抵押价值")</f>
        <v>房地产抵押价值</v>
      </c>
      <c r="L49" s="3376"/>
      <c r="M49" s="3398">
        <f ca="1">IF(项目基本情况!E8="房地产抵押价值",H107,H109)</f>
        <v>305869</v>
      </c>
      <c r="N49" s="3398"/>
      <c r="O49" s="3398"/>
    </row>
    <row r="50" spans="1:35" ht="25.5" customHeight="1">
      <c r="A50" s="2746"/>
      <c r="B50" s="3309" t="s">
        <v>1970</v>
      </c>
      <c r="C50" s="3309"/>
      <c r="D50" s="2747"/>
      <c r="E50" s="338"/>
      <c r="F50" s="2619"/>
      <c r="G50" s="3383"/>
      <c r="H50" s="2499" t="s">
        <v>2816</v>
      </c>
      <c r="I50" s="2498"/>
      <c r="J50" s="3395" t="s">
        <v>1971</v>
      </c>
      <c r="K50" s="3395"/>
      <c r="L50" s="3395"/>
      <c r="M50" s="3395"/>
      <c r="N50" s="3395"/>
      <c r="O50" s="3395"/>
    </row>
    <row r="51" spans="1:35" ht="20.45" customHeight="1">
      <c r="A51" s="2748"/>
      <c r="B51" s="3309" t="s">
        <v>1972</v>
      </c>
      <c r="C51" s="3309"/>
      <c r="D51" s="1219"/>
      <c r="E51" s="333"/>
      <c r="F51" s="2619"/>
      <c r="G51" s="3384"/>
      <c r="H51" s="2499" t="s">
        <v>2817</v>
      </c>
      <c r="I51" s="2498"/>
      <c r="J51" s="2719" t="s">
        <v>1973</v>
      </c>
      <c r="K51" s="3376" t="s">
        <v>1974</v>
      </c>
      <c r="L51" s="3376"/>
      <c r="M51" s="2719" t="s">
        <v>1975</v>
      </c>
      <c r="N51" s="2719" t="s">
        <v>1976</v>
      </c>
      <c r="O51" s="2719" t="s">
        <v>1977</v>
      </c>
    </row>
    <row r="52" spans="1:35" ht="24" customHeight="1">
      <c r="A52" s="2527" t="s">
        <v>1978</v>
      </c>
      <c r="B52" s="3309" t="s">
        <v>1979</v>
      </c>
      <c r="C52" s="3309"/>
      <c r="D52" s="1219">
        <f ca="1">ROUND(D45*'数据-取费表'!B41/(1+'数据-取费表'!C42),0)</f>
        <v>16022</v>
      </c>
      <c r="E52" s="2526" t="s">
        <v>1980</v>
      </c>
      <c r="F52" s="2749">
        <f>'数据-取费表'!B41</f>
        <v>5.5000000000000007E-2</v>
      </c>
      <c r="G52" s="2750"/>
      <c r="H52" s="2739"/>
      <c r="I52" s="1962"/>
      <c r="J52" s="2718">
        <v>1</v>
      </c>
      <c r="K52" s="3377" t="s">
        <v>1981</v>
      </c>
      <c r="L52" s="3377"/>
      <c r="M52" s="2720" t="b">
        <f>D48</f>
        <v>0</v>
      </c>
      <c r="N52" s="2718" t="str">
        <f>E48</f>
        <v>销售额×税（费）率</v>
      </c>
      <c r="O52" s="2721">
        <f>F48</f>
        <v>5.5000000000000007E-2</v>
      </c>
    </row>
    <row r="53" spans="1:35" ht="12" customHeight="1">
      <c r="A53" s="2527" t="s">
        <v>1982</v>
      </c>
      <c r="B53" s="3335" t="s">
        <v>2976</v>
      </c>
      <c r="C53" s="3336"/>
      <c r="D53" s="1219">
        <f ca="1">ROUND(D45*'数据-取费表'!B41/(1+'数据-取费表'!C42),0)</f>
        <v>16022</v>
      </c>
      <c r="E53" s="2526" t="s">
        <v>1980</v>
      </c>
      <c r="F53" s="2749">
        <f>'数据-取费表'!B41</f>
        <v>5.5000000000000007E-2</v>
      </c>
      <c r="G53" s="2750"/>
      <c r="H53" s="2739"/>
      <c r="I53" s="1962"/>
      <c r="J53" s="2718">
        <v>2</v>
      </c>
      <c r="K53" s="3377" t="s">
        <v>1983</v>
      </c>
      <c r="L53" s="3377"/>
      <c r="M53" s="2720">
        <f t="shared" ref="M53:O54" ca="1" si="0">D55</f>
        <v>153</v>
      </c>
      <c r="N53" s="2718" t="str">
        <f t="shared" si="0"/>
        <v>销售额×税（费）率</v>
      </c>
      <c r="O53" s="2721" t="str">
        <f t="shared" si="0"/>
        <v>免征</v>
      </c>
    </row>
    <row r="54" spans="1:35" ht="12" customHeight="1">
      <c r="A54" s="2527" t="s">
        <v>1984</v>
      </c>
      <c r="B54" s="3335" t="s">
        <v>2977</v>
      </c>
      <c r="C54" s="3336"/>
      <c r="D54" s="1219">
        <f ca="1">C68</f>
        <v>16022</v>
      </c>
      <c r="E54" s="333" t="s">
        <v>1985</v>
      </c>
      <c r="F54" s="2749">
        <f>'数据-取费表'!B41</f>
        <v>5.5000000000000007E-2</v>
      </c>
      <c r="G54" s="2750"/>
      <c r="H54" s="2751"/>
      <c r="I54" s="1962"/>
      <c r="J54" s="2718">
        <v>3</v>
      </c>
      <c r="K54" s="3377" t="s">
        <v>1986</v>
      </c>
      <c r="L54" s="3377"/>
      <c r="M54" s="2720">
        <f t="shared" ca="1" si="0"/>
        <v>173398</v>
      </c>
      <c r="N54" s="2718" t="str">
        <f t="shared" si="0"/>
        <v>增值额×税（费）率</v>
      </c>
      <c r="O54" s="2722" t="str">
        <f t="shared" si="0"/>
        <v>免征</v>
      </c>
    </row>
    <row r="55" spans="1:35" ht="24" customHeight="1">
      <c r="A55" s="3324" t="s">
        <v>1987</v>
      </c>
      <c r="B55" s="3325"/>
      <c r="C55" s="3325"/>
      <c r="D55" s="2516">
        <f ca="1">IF(H55="个人住宅",0,ROUND(D45*I55,0))</f>
        <v>153</v>
      </c>
      <c r="E55" s="2526" t="s">
        <v>1988</v>
      </c>
      <c r="F55" s="2749" t="str">
        <f>IF(H55="正常",I55,"免征")</f>
        <v>免征</v>
      </c>
      <c r="G55" s="2750"/>
      <c r="H55" s="2745"/>
      <c r="I55" s="170">
        <f>'数据-取费表'!B49</f>
        <v>5.0000000000000001E-4</v>
      </c>
      <c r="J55" s="2718">
        <f>IF(H59="非个人房产","",4)</f>
        <v>4</v>
      </c>
      <c r="K55" s="3377" t="str">
        <f>IF(H59="非个人房产","——","个人所得税")</f>
        <v>个人所得税</v>
      </c>
      <c r="L55" s="3377"/>
      <c r="M55" s="2723">
        <f ca="1">D59</f>
        <v>2913</v>
      </c>
      <c r="N55" s="2197" t="str">
        <f>E59</f>
        <v>差额计税</v>
      </c>
      <c r="O55" s="2724">
        <f>F59</f>
        <v>0.01</v>
      </c>
    </row>
    <row r="56" spans="1:35" ht="24.75">
      <c r="A56" s="3324" t="s">
        <v>1989</v>
      </c>
      <c r="B56" s="3325"/>
      <c r="C56" s="3325"/>
      <c r="D56" s="2516">
        <f ca="1">IF(H56="个人住宅",D57,D58)</f>
        <v>173398</v>
      </c>
      <c r="E56" s="2526" t="s">
        <v>1990</v>
      </c>
      <c r="F56" s="2749" t="str">
        <f>IF(H56="正常",F58,"免征")</f>
        <v>免征</v>
      </c>
      <c r="G56" s="2752" t="s">
        <v>1991</v>
      </c>
      <c r="H56" s="2753"/>
      <c r="I56" s="1963"/>
      <c r="J56" s="2718" t="str">
        <f>IF(项目基本情况!K6="上海银行",IF(J55="",4,J55+1),"")</f>
        <v/>
      </c>
      <c r="K56" s="3400" t="str">
        <f>IF(项目基本情况!K6="上海银行","其他处置费用","")</f>
        <v/>
      </c>
      <c r="L56" s="3401"/>
      <c r="M56" s="2720" t="str">
        <f>IF(项目基本情况!K6="上海银行",M69,"")</f>
        <v/>
      </c>
      <c r="N56" s="3400" t="str">
        <f>IF(项目基本情况!K6="上海银行","包含处置中涉及的律师、诉讼、拍卖、评估等费用","")</f>
        <v/>
      </c>
      <c r="O56" s="3403"/>
    </row>
    <row r="57" spans="1:35" ht="12.75">
      <c r="A57" s="2527" t="s">
        <v>1967</v>
      </c>
      <c r="B57" s="3335" t="s">
        <v>1992</v>
      </c>
      <c r="C57" s="3336"/>
      <c r="D57" s="1744">
        <v>0</v>
      </c>
      <c r="E57" s="330" t="s">
        <v>1969</v>
      </c>
      <c r="F57" s="308"/>
      <c r="G57" s="2750"/>
      <c r="H57" s="2754"/>
      <c r="I57" s="1963"/>
      <c r="J57" s="3377">
        <f>IF(AND(J55="",J56=""),4,IF(项目基本情况!K6="上海银行",结果表!J56+1,结果表!J55+1))</f>
        <v>5</v>
      </c>
      <c r="K57" s="3377" t="s">
        <v>1993</v>
      </c>
      <c r="L57" s="2725" t="s">
        <v>1994</v>
      </c>
      <c r="M57" s="2726"/>
      <c r="N57" s="2727">
        <f ca="1">SUMIF(M52:M56,"&lt;9e307")</f>
        <v>176464</v>
      </c>
      <c r="O57" s="2728"/>
      <c r="P57" s="2888">
        <f ca="1">N57/M49</f>
        <v>0.57692672353196961</v>
      </c>
    </row>
    <row r="58" spans="1:35" ht="24.75">
      <c r="A58" s="2527" t="s">
        <v>1978</v>
      </c>
      <c r="B58" s="3335" t="s">
        <v>1995</v>
      </c>
      <c r="C58" s="3309"/>
      <c r="D58" s="2516">
        <f ca="1">IF(H58="转让取得",C81,C97)</f>
        <v>173398</v>
      </c>
      <c r="E58" s="2526" t="s">
        <v>1990</v>
      </c>
      <c r="F58" s="308" t="s">
        <v>34</v>
      </c>
      <c r="G58" s="2750"/>
      <c r="H58" s="2753"/>
      <c r="I58" s="1963"/>
      <c r="J58" s="3377"/>
      <c r="K58" s="3377"/>
      <c r="L58" s="2725" t="s">
        <v>1996</v>
      </c>
      <c r="M58" s="2729"/>
      <c r="N58" s="2730" t="str">
        <f ca="1">NUMBERSTRING(INT(N57*10000),2)&amp;"元整"</f>
        <v>壹拾柒亿陆仟肆佰陆拾肆万元整</v>
      </c>
      <c r="O58" s="2731"/>
    </row>
    <row r="59" spans="1:35" ht="24.75" thickBot="1">
      <c r="A59" s="3380" t="s">
        <v>1997</v>
      </c>
      <c r="B59" s="3381"/>
      <c r="C59" s="3381"/>
      <c r="D59" s="2755">
        <f ca="1">IF(H59="非个人房产","——",IF(H59="个人住宅（满五唯一有凭证）",0,IF(H59="个人其他（无凭证）",ROUND(D45*F59,0),ROUND(C67*F59,0))))</f>
        <v>2913</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378">
        <f>J57+1</f>
        <v>6</v>
      </c>
      <c r="K59" s="3377" t="s">
        <v>1998</v>
      </c>
      <c r="L59" s="2718" t="s">
        <v>1994</v>
      </c>
      <c r="M59" s="2732"/>
      <c r="N59" s="2733">
        <f ca="1">M49-N57</f>
        <v>129405</v>
      </c>
      <c r="O59" s="2734"/>
    </row>
    <row r="60" spans="1:35" ht="12" customHeight="1">
      <c r="A60" s="1964"/>
      <c r="B60" s="1902"/>
      <c r="C60" s="1902"/>
      <c r="D60" s="1902"/>
      <c r="E60" s="1732"/>
      <c r="F60" s="1963"/>
      <c r="G60" s="1963"/>
      <c r="H60" s="1965"/>
      <c r="I60" s="134"/>
      <c r="J60" s="3379"/>
      <c r="K60" s="3377"/>
      <c r="L60" s="2725" t="s">
        <v>1996</v>
      </c>
      <c r="M60" s="2729"/>
      <c r="N60" s="2730" t="str">
        <f ca="1">NUMBERSTRING(INT(N59*10000),2)&amp;"元整"</f>
        <v>壹拾贰亿玖仟肆佰零伍万元整</v>
      </c>
      <c r="O60" s="2731"/>
    </row>
    <row r="61" spans="1:35" ht="13.5" thickBot="1">
      <c r="A61" s="3322" t="s">
        <v>1999</v>
      </c>
      <c r="B61" s="3322"/>
      <c r="C61" s="3322"/>
      <c r="D61" s="3322"/>
      <c r="E61" s="3322"/>
      <c r="F61" s="1963"/>
      <c r="G61" s="1963"/>
      <c r="H61" s="1965"/>
      <c r="I61" s="134"/>
      <c r="J61" s="2718">
        <f>J59+1</f>
        <v>7</v>
      </c>
      <c r="K61" s="3377" t="s">
        <v>2000</v>
      </c>
      <c r="L61" s="3377"/>
      <c r="M61" s="2735"/>
      <c r="N61" s="2736">
        <f ca="1">ROUND(N59*10000/'数据-汇总表'!E3,0)</f>
        <v>6134</v>
      </c>
      <c r="O61" s="2737"/>
    </row>
    <row r="62" spans="1:35" ht="12.75">
      <c r="A62" s="3340" t="s">
        <v>2001</v>
      </c>
      <c r="B62" s="3341"/>
      <c r="C62" s="2178"/>
      <c r="D62" s="2178" t="s">
        <v>2002</v>
      </c>
      <c r="E62" s="171" t="s">
        <v>2003</v>
      </c>
      <c r="F62" s="1963"/>
      <c r="G62" s="1963"/>
      <c r="H62" s="1965"/>
      <c r="I62" s="134"/>
    </row>
    <row r="63" spans="1:35" ht="12.75">
      <c r="A63" s="178" t="s">
        <v>775</v>
      </c>
      <c r="B63" s="172" t="s">
        <v>2004</v>
      </c>
      <c r="C63" s="2759">
        <f ca="1">ROUND((C64+C65)/(1+'数据-取费表'!C42),0)</f>
        <v>291304</v>
      </c>
      <c r="D63" s="172"/>
      <c r="E63" s="173"/>
      <c r="F63" s="1963"/>
      <c r="G63" s="1963"/>
      <c r="H63" s="1965"/>
      <c r="I63" s="134"/>
      <c r="J63" s="3402" t="s">
        <v>2005</v>
      </c>
      <c r="K63" s="1471" t="s">
        <v>2006</v>
      </c>
      <c r="L63" s="1471">
        <f ca="1">IF(M49&gt;10000,M49*0.5%,IF(AND(M49&gt;1000,M49&lt;=10000),M49*1%,IF(AND(M49&gt;100,M49&lt;=1000),M49*3%,IF(AND(M49&gt;10,M49&lt;=100),M49*5%,M49*8%))))</f>
        <v>1529.345</v>
      </c>
      <c r="M63" s="308">
        <f ca="1">ROUND(L63,1)</f>
        <v>1529.3</v>
      </c>
      <c r="N63" s="2738"/>
      <c r="Z63" s="1907"/>
      <c r="AI63" s="1908"/>
    </row>
    <row r="64" spans="1:35" ht="14.25" customHeight="1">
      <c r="A64" s="174" t="s">
        <v>770</v>
      </c>
      <c r="B64" s="175" t="s">
        <v>2007</v>
      </c>
      <c r="C64" s="2760">
        <f ca="1">D45</f>
        <v>305869</v>
      </c>
      <c r="D64" s="175" t="s">
        <v>32</v>
      </c>
      <c r="E64" s="177"/>
      <c r="F64" s="1963"/>
      <c r="G64" s="1963"/>
      <c r="H64" s="1965"/>
      <c r="I64" s="134"/>
      <c r="J64" s="3402"/>
      <c r="K64" s="1471" t="s">
        <v>2008</v>
      </c>
      <c r="L64" s="1471">
        <f ca="1">IF(M49&gt;2000,M49*0.5%,IF(AND(M49&gt;1000,M49&lt;=2000),M49*0.6%,IF(AND(M49&gt;500,M49&lt;=1000),M49*0.7%,IF(AND(M49&gt;200,M49&lt;=500),M49*0.8%,IF(AND(M49&gt;100,M49&lt;=200),M49*0.9%,IF(AND(M49&gt;50,M49&lt;=100),M49*1%,IF(AND(M49&gt;20,M49&lt;=50),M49*1.5%,IF(AND(M49&gt;10,M49&lt;=20),M49*2%,IF(AND(M49&gt;1,M49&lt;=10),M49*2.5%)))))))))</f>
        <v>1529.345</v>
      </c>
      <c r="M64" s="308">
        <f t="shared" ref="M64:M65" ca="1" si="1">ROUND(L64,1)</f>
        <v>1529.3</v>
      </c>
      <c r="N64" s="2739" t="s">
        <v>2009</v>
      </c>
      <c r="Z64" s="1907"/>
      <c r="AI64" s="1908"/>
    </row>
    <row r="65" spans="1:35" ht="14.25" customHeight="1">
      <c r="A65" s="174" t="s">
        <v>771</v>
      </c>
      <c r="B65" s="175" t="s">
        <v>2010</v>
      </c>
      <c r="C65" s="2761"/>
      <c r="D65" s="175"/>
      <c r="E65" s="177"/>
      <c r="F65" s="1963"/>
      <c r="G65" s="1963"/>
      <c r="H65" s="1965"/>
      <c r="I65" s="134"/>
      <c r="J65" s="3402"/>
      <c r="K65" s="1471" t="s">
        <v>2011</v>
      </c>
      <c r="L65" s="1471">
        <f ca="1">IF(M49&gt;1000,M49*0.1%,IF(AND(M49&gt;500,M49&lt;=1000),M49*0.5%,IF(AND(M49&gt;50,M49&lt;=500),M49*1%,IF(AND(M49&gt;1,M49&lt;=50),M49*1.5%))))</f>
        <v>305.86900000000003</v>
      </c>
      <c r="M65" s="308">
        <f t="shared" ca="1" si="1"/>
        <v>305.89999999999998</v>
      </c>
      <c r="N65" s="2739" t="s">
        <v>2009</v>
      </c>
      <c r="Z65" s="1907"/>
      <c r="AI65" s="1908"/>
    </row>
    <row r="66" spans="1:35" ht="14.25" customHeight="1">
      <c r="A66" s="178" t="s">
        <v>772</v>
      </c>
      <c r="B66" s="179" t="s">
        <v>2012</v>
      </c>
      <c r="C66" s="2762"/>
      <c r="D66" s="179" t="s">
        <v>32</v>
      </c>
      <c r="E66" s="1478" t="s">
        <v>1277</v>
      </c>
      <c r="F66" s="1963"/>
      <c r="G66" s="1963"/>
      <c r="H66" s="1965"/>
      <c r="I66" s="134"/>
      <c r="J66" s="3402"/>
      <c r="K66" s="1471" t="s">
        <v>2013</v>
      </c>
      <c r="L66" s="1471">
        <f ca="1">M49*0.5%</f>
        <v>1529.345</v>
      </c>
      <c r="M66" s="308">
        <f ca="1">IF(L66&gt;0.5,0.5,ROUND(L66,0))</f>
        <v>0.5</v>
      </c>
      <c r="N66" s="2739" t="s">
        <v>2014</v>
      </c>
      <c r="Z66" s="1907"/>
      <c r="AI66" s="1908"/>
    </row>
    <row r="67" spans="1:35" ht="14.25" customHeight="1">
      <c r="A67" s="178" t="s">
        <v>773</v>
      </c>
      <c r="B67" s="179" t="s">
        <v>2015</v>
      </c>
      <c r="C67" s="2763">
        <f ca="1">C63-C66</f>
        <v>291304</v>
      </c>
      <c r="D67" s="175" t="s">
        <v>32</v>
      </c>
      <c r="E67" s="177"/>
      <c r="F67" s="1963"/>
      <c r="G67" s="1963"/>
      <c r="H67" s="1965"/>
      <c r="I67" s="134"/>
      <c r="J67" s="3402"/>
      <c r="K67" s="1471" t="s">
        <v>2016</v>
      </c>
      <c r="L67" s="1471">
        <f ca="1">IF(M49&gt;=10000,(8.25+(M49-10000)*0.01%),IF(AND(M49&gt;=8000,M49&lt;10000),(7.85+(M49-8000)*0.02%),IF(AND(M49&gt;=5000,M49&lt;8000),(6.65+(M49-5000)*0.04%),IF(AND(M49&gt;=2000,M49&lt;5000),(4.25+(PM49-2000)*0.08%),IF(AND(M49&gt;=1000,M49&lt;2000),(2.75+(M49-1000)*0.15%),IF(AND(M49&gt;=100,M49&lt;1000),(0.5+(M49-100)*0.25%),IF(AND(M49&gt;0,M49&lt;100),M49*0.5%)))))))</f>
        <v>37.8369</v>
      </c>
      <c r="M67" s="308">
        <f ca="1">ROUND(L67*0.9,1)</f>
        <v>34.1</v>
      </c>
      <c r="N67" s="2738"/>
      <c r="Z67" s="1907"/>
      <c r="AI67" s="1908"/>
    </row>
    <row r="68" spans="1:35" ht="14.25" customHeight="1" thickBot="1">
      <c r="A68" s="181" t="s">
        <v>774</v>
      </c>
      <c r="B68" s="182" t="s">
        <v>2017</v>
      </c>
      <c r="C68" s="2764">
        <f ca="1">IF(C67&lt;=0,0,ROUND(C67*D68,0))</f>
        <v>16022</v>
      </c>
      <c r="D68" s="2765">
        <f>'数据-取费表'!B41</f>
        <v>5.5000000000000007E-2</v>
      </c>
      <c r="E68" s="184"/>
      <c r="F68" s="1963"/>
      <c r="G68" s="1963"/>
      <c r="H68" s="1965"/>
      <c r="I68" s="134"/>
      <c r="J68" s="3402"/>
      <c r="K68" s="1471" t="s">
        <v>2018</v>
      </c>
      <c r="L68" s="1471">
        <f ca="1">IF(M49&gt;10000,M49*0.5%,IF(AND(M49&gt;5000,M49&lt;=10000),M49*1%,IF(AND(M49&gt;1000,M49&lt;=5000),M49*2%,IF(AND(M49&gt;200,M49&lt;=1000),M49*3%,M49*5%))))</f>
        <v>1529.345</v>
      </c>
      <c r="M68" s="308">
        <f ca="1">ROUND(L68,1)</f>
        <v>1529.3</v>
      </c>
      <c r="N68" s="2738"/>
      <c r="Z68" s="1907"/>
      <c r="AI68" s="1908"/>
    </row>
    <row r="69" spans="1:35" s="1927" customFormat="1" ht="16.5" customHeight="1">
      <c r="A69" s="1966"/>
      <c r="B69" s="1967"/>
      <c r="C69" s="1968"/>
      <c r="D69" s="1969"/>
      <c r="E69" s="1970"/>
      <c r="F69" s="1732"/>
      <c r="G69" s="1732"/>
      <c r="H69" s="1731"/>
      <c r="I69" s="1902"/>
      <c r="J69" s="3402"/>
      <c r="K69" s="1471" t="s">
        <v>2019</v>
      </c>
      <c r="L69" s="1471"/>
      <c r="M69" s="308">
        <f ca="1">ROUND(SUM(M63:M68),0)</f>
        <v>4928</v>
      </c>
      <c r="N69" s="2740">
        <f ca="1">M69/M49</f>
        <v>1.6111472558513612E-2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61" t="s">
        <v>2020</v>
      </c>
      <c r="B70" s="3362"/>
      <c r="C70" s="3362"/>
      <c r="D70" s="3362"/>
      <c r="E70" s="3362"/>
      <c r="F70" s="3362"/>
      <c r="G70" s="3362"/>
      <c r="H70" s="3362"/>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40" t="s">
        <v>2001</v>
      </c>
      <c r="B71" s="3341"/>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291304</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1457</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35" t="s">
        <v>2028</v>
      </c>
      <c r="F76" s="3309"/>
      <c r="G76" s="3309"/>
      <c r="H76" s="3360"/>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1457</v>
      </c>
      <c r="D78" s="2772">
        <f>'数据-取费表'!B43</f>
        <v>5.000000000000001E-3</v>
      </c>
      <c r="E78" s="3319" t="s">
        <v>2032</v>
      </c>
      <c r="F78" s="3320"/>
      <c r="G78" s="3320"/>
      <c r="H78" s="3329"/>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289847</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198.93411118737131</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173398</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61" t="s">
        <v>2036</v>
      </c>
      <c r="B83" s="3362"/>
      <c r="C83" s="3362"/>
      <c r="D83" s="3362"/>
      <c r="E83" s="3362"/>
      <c r="F83" s="3362"/>
      <c r="G83" s="3362"/>
      <c r="H83" s="3362"/>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40" t="s">
        <v>2001</v>
      </c>
      <c r="B84" s="3341"/>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291304</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1457</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04" t="s">
        <v>2810</v>
      </c>
      <c r="H90" s="3405"/>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19" t="s">
        <v>2045</v>
      </c>
      <c r="F91" s="3320"/>
      <c r="G91" s="3320"/>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19" t="s">
        <v>2048</v>
      </c>
      <c r="F92" s="3320"/>
      <c r="G92" s="3320"/>
      <c r="H92" s="3329"/>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1457</v>
      </c>
      <c r="D93" s="2772">
        <f>'数据-取费表'!B43</f>
        <v>5.000000000000001E-3</v>
      </c>
      <c r="E93" s="3319" t="s">
        <v>2032</v>
      </c>
      <c r="F93" s="3320"/>
      <c r="G93" s="3320"/>
      <c r="H93" s="3329"/>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30" t="s">
        <v>2052</v>
      </c>
      <c r="F94" s="3331"/>
      <c r="G94" s="3331"/>
      <c r="H94" s="3332"/>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289847</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198.93411118737131</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173398</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03" t="s">
        <v>2054</v>
      </c>
      <c r="B100" s="3304"/>
      <c r="C100" s="3304"/>
      <c r="D100" s="3321"/>
      <c r="E100" s="3304" t="s">
        <v>2055</v>
      </c>
      <c r="F100" s="3304"/>
      <c r="G100" s="3304"/>
      <c r="H100" s="3321"/>
      <c r="I100" s="134"/>
    </row>
    <row r="101" spans="1:35" ht="18.75" customHeight="1">
      <c r="A101" s="3385" t="s">
        <v>2056</v>
      </c>
      <c r="B101" s="3386"/>
      <c r="C101" s="2780" t="str">
        <f>C4</f>
        <v>收益法</v>
      </c>
      <c r="D101" s="2781" t="str">
        <f>D4</f>
        <v>成本法</v>
      </c>
      <c r="E101" s="3399" t="s">
        <v>2057</v>
      </c>
      <c r="F101" s="3353"/>
      <c r="G101" s="1982" t="s">
        <v>2058</v>
      </c>
      <c r="H101" s="2790">
        <f ca="1">H118</f>
        <v>305869</v>
      </c>
      <c r="I101" s="134"/>
    </row>
    <row r="102" spans="1:35" ht="18.75" customHeight="1">
      <c r="A102" s="3355" t="s">
        <v>2059</v>
      </c>
      <c r="B102" s="2779" t="s">
        <v>2058</v>
      </c>
      <c r="C102" s="2780">
        <f ca="1">C19</f>
        <v>249279</v>
      </c>
      <c r="D102" s="2781">
        <f ca="1">D19</f>
        <v>390754</v>
      </c>
      <c r="E102" s="3399"/>
      <c r="F102" s="3353"/>
      <c r="G102" s="1982" t="s">
        <v>2060</v>
      </c>
      <c r="H102" s="2750">
        <f ca="1">I118</f>
        <v>15820</v>
      </c>
      <c r="I102" s="134"/>
    </row>
    <row r="103" spans="1:35" ht="42.75" customHeight="1">
      <c r="A103" s="3355"/>
      <c r="B103" s="2779" t="s">
        <v>2060</v>
      </c>
      <c r="C103" s="2782">
        <f ca="1">C20</f>
        <v>12893</v>
      </c>
      <c r="D103" s="2783">
        <f ca="1">D20</f>
        <v>18523</v>
      </c>
      <c r="E103" s="3393" t="s">
        <v>2061</v>
      </c>
      <c r="F103" s="3394"/>
      <c r="G103" s="1983" t="s">
        <v>2062</v>
      </c>
      <c r="H103" s="2790">
        <f>IF(D36="正常操作",H104+H105+H106,H105+H106)</f>
        <v>0</v>
      </c>
      <c r="I103" s="134"/>
    </row>
    <row r="104" spans="1:35" ht="18.75" customHeight="1">
      <c r="A104" s="3355" t="s">
        <v>2063</v>
      </c>
      <c r="B104" s="2784" t="s">
        <v>2058</v>
      </c>
      <c r="C104" s="2785">
        <f ca="1">H118</f>
        <v>305869</v>
      </c>
      <c r="D104" s="2786"/>
      <c r="E104" s="1829" t="s">
        <v>2064</v>
      </c>
      <c r="F104" s="1820"/>
      <c r="G104" s="1983" t="s">
        <v>2062</v>
      </c>
      <c r="H104" s="2791">
        <f>IF(D36="同一抵押权人同一抵押物续贷",C36&amp;"（续贷，未扣减，详见特别提示）",C36)</f>
        <v>0</v>
      </c>
      <c r="I104" s="134"/>
    </row>
    <row r="105" spans="1:35" ht="18.75" customHeight="1" thickBot="1">
      <c r="A105" s="3356"/>
      <c r="B105" s="2787" t="s">
        <v>2060</v>
      </c>
      <c r="C105" s="2788">
        <f ca="1">I118</f>
        <v>15820</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52" t="str">
        <f>IF(项目基本情况!E8="已注销","——","3.房地产抵押价值")</f>
        <v>3.房地产抵押价值</v>
      </c>
      <c r="F107" s="3353"/>
      <c r="G107" s="1982" t="s">
        <v>2058</v>
      </c>
      <c r="H107" s="2790">
        <f ca="1">IF(E107="——","——",H101-H103)</f>
        <v>305869</v>
      </c>
      <c r="I107" s="134"/>
    </row>
    <row r="108" spans="1:35" ht="18.75" customHeight="1">
      <c r="A108" s="134"/>
      <c r="B108" s="134"/>
      <c r="C108" s="134"/>
      <c r="D108" s="134"/>
      <c r="E108" s="3352"/>
      <c r="F108" s="3353"/>
      <c r="G108" s="1982" t="s">
        <v>2060</v>
      </c>
      <c r="H108" s="2750">
        <f ca="1">ROUND(H107*10000/'数据-汇总表'!E3,0)</f>
        <v>14499</v>
      </c>
      <c r="I108" s="134"/>
    </row>
    <row r="109" spans="1:35" ht="18.75" customHeight="1">
      <c r="A109" s="134"/>
      <c r="B109" s="134"/>
      <c r="C109" s="134"/>
      <c r="D109" s="134"/>
      <c r="E109" s="3352" t="str">
        <f>IF(项目基本情况!E8="已注销及未注销","4.抵押担保权已注销时的房地产抵押价值",IF(项目基本情况!E8="已注销","3.抵押担保权已注销时的房地产抵押价值","——"))</f>
        <v>——</v>
      </c>
      <c r="F109" s="3353"/>
      <c r="G109" s="1982" t="s">
        <v>2058</v>
      </c>
      <c r="H109" s="2793" t="str">
        <f>IF(E109="——","——",H101-H105-H106)</f>
        <v>——</v>
      </c>
      <c r="I109" s="134"/>
    </row>
    <row r="110" spans="1:35" ht="18.75" customHeight="1">
      <c r="A110" s="134"/>
      <c r="B110" s="134"/>
      <c r="C110" s="134"/>
      <c r="D110" s="134"/>
      <c r="E110" s="3352"/>
      <c r="F110" s="3353"/>
      <c r="G110" s="1982" t="s">
        <v>2060</v>
      </c>
      <c r="H110" s="2750" t="str">
        <f>IF(H109="——","——",ROUND(H109*10000/'数据-汇总表'!E3,0))</f>
        <v>——</v>
      </c>
      <c r="I110" s="134"/>
    </row>
    <row r="111" spans="1:35" ht="18.75" customHeight="1">
      <c r="A111" s="134"/>
      <c r="B111" s="134"/>
      <c r="C111" s="134"/>
      <c r="D111" s="134"/>
      <c r="E111" s="3387" t="str">
        <f>IF(项目基本情况!E9="抵押净值",IF(OR(项目基本情况!E8="已注销",项目基本情况!E8="房地产抵押价值"),"4.抵押净值","5.抵押净值"),"——")</f>
        <v>——</v>
      </c>
      <c r="F111" s="3354"/>
      <c r="G111" s="1982" t="s">
        <v>2058</v>
      </c>
      <c r="H111" s="2790" t="str">
        <f>IF(E111="——","——",N59)</f>
        <v>——</v>
      </c>
      <c r="I111" s="134"/>
    </row>
    <row r="112" spans="1:35" ht="18.75" customHeight="1" thickBot="1">
      <c r="A112" s="134"/>
      <c r="B112" s="134"/>
      <c r="C112" s="134"/>
      <c r="D112" s="134"/>
      <c r="E112" s="3388"/>
      <c r="F112" s="3389"/>
      <c r="G112" s="1985" t="s">
        <v>2060</v>
      </c>
      <c r="H112" s="2794" t="str">
        <f>IF(E111="——","——",N61)</f>
        <v>——</v>
      </c>
      <c r="I112" s="134"/>
    </row>
    <row r="113" spans="1:27" ht="18.75" customHeight="1">
      <c r="A113" s="134"/>
      <c r="B113" s="134"/>
      <c r="C113" s="134"/>
      <c r="D113" s="134"/>
      <c r="E113" s="3357" t="s">
        <v>2066</v>
      </c>
      <c r="F113" s="3357"/>
      <c r="G113" s="3357"/>
      <c r="H113" s="3357"/>
      <c r="I113" s="134"/>
    </row>
    <row r="114" spans="1:27" ht="3.75" customHeight="1">
      <c r="A114" s="1902"/>
      <c r="B114" s="1902"/>
      <c r="C114" s="1902"/>
      <c r="D114" s="1902"/>
      <c r="E114" s="1964"/>
      <c r="F114" s="1964"/>
      <c r="G114" s="1964"/>
      <c r="H114" s="1964"/>
      <c r="I114" s="1902"/>
    </row>
    <row r="115" spans="1:27" ht="18.75" customHeight="1">
      <c r="A115" s="3370" t="s">
        <v>2068</v>
      </c>
      <c r="B115" s="3371"/>
      <c r="C115" s="3371"/>
      <c r="D115" s="3371"/>
      <c r="E115" s="3371"/>
      <c r="F115" s="3371"/>
      <c r="G115" s="3371"/>
      <c r="H115" s="3371"/>
      <c r="I115" s="3372"/>
    </row>
    <row r="116" spans="1:27" ht="27" customHeight="1">
      <c r="A116" s="3323" t="s">
        <v>2069</v>
      </c>
      <c r="B116" s="3358" t="s">
        <v>2070</v>
      </c>
      <c r="C116" s="3358" t="s">
        <v>2071</v>
      </c>
      <c r="D116" s="3374" t="s">
        <v>2072</v>
      </c>
      <c r="E116" s="3375"/>
      <c r="F116" s="3366" t="s">
        <v>2073</v>
      </c>
      <c r="G116" s="3366"/>
      <c r="H116" s="3323" t="s">
        <v>2074</v>
      </c>
      <c r="I116" s="3323"/>
    </row>
    <row r="117" spans="1:27" ht="18.75" customHeight="1">
      <c r="A117" s="3323"/>
      <c r="B117" s="3359"/>
      <c r="C117" s="3359"/>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193344.75</v>
      </c>
      <c r="C118" s="2521">
        <f>M19</f>
        <v>50584.19</v>
      </c>
      <c r="D118" s="2521">
        <f ca="1">ROUND(IF(D32="总价",C34,E118*B118/10000),0)</f>
        <v>232155</v>
      </c>
      <c r="E118" s="2521">
        <f ca="1">ROUND(IF(C33="自定义",IF(D32="楼面单价",C34,D118*10000/B118),I118-G118),0)</f>
        <v>12007</v>
      </c>
      <c r="F118" s="2521">
        <f ca="1">ROUND(IF(D32="总价",C35,G118*B118/10000),0)</f>
        <v>73714</v>
      </c>
      <c r="G118" s="2521">
        <f ca="1">ROUND(IF(D32="楼面单价",C35,F118*10000/B118),0)</f>
        <v>3813</v>
      </c>
      <c r="H118" s="2521">
        <f ca="1">ROUND(IF(D32="总价",C32,I118*B118/10000),0)</f>
        <v>305869</v>
      </c>
      <c r="I118" s="2521">
        <f ca="1">ROUND(IF(D32="楼面单价",C32,H118*10000/B118),0)</f>
        <v>15820</v>
      </c>
    </row>
    <row r="119" spans="1:27" ht="18.75" customHeight="1">
      <c r="A119" s="3323" t="s">
        <v>2078</v>
      </c>
      <c r="B119" s="3323"/>
      <c r="C119" s="3323"/>
      <c r="D119" s="3363" t="str">
        <f ca="1">NUMBERSTRING(INT(D118*10000),2)&amp;"元整"</f>
        <v>贰拾叁亿贰仟壹佰伍拾伍万元整</v>
      </c>
      <c r="E119" s="3365"/>
      <c r="F119" s="3363" t="str">
        <f ca="1">NUMBERSTRING(INT(F118*10000),2)&amp;"元整"</f>
        <v>柒亿叁仟柒佰壹拾肆万元整</v>
      </c>
      <c r="G119" s="3365"/>
      <c r="H119" s="3363" t="str">
        <f ca="1">NUMBERSTRING(INT(H118*10000),2)&amp;"元整"</f>
        <v>叁拾亿伍仟捌佰陆拾玖万元整</v>
      </c>
      <c r="I119" s="3365"/>
    </row>
    <row r="120" spans="1:27" ht="18.75" customHeight="1">
      <c r="A120" s="3390" t="str">
        <f>IF(项目基本情况!B9="房地产市场价值","",MID(E103,3,LEN(E103)-2))</f>
        <v>估价师知悉的法定优先受偿款</v>
      </c>
      <c r="B120" s="3391"/>
      <c r="C120" s="3392"/>
      <c r="D120" s="3390">
        <f>H103</f>
        <v>0</v>
      </c>
      <c r="E120" s="3391"/>
      <c r="F120" s="3391"/>
      <c r="G120" s="3391"/>
      <c r="H120" s="3391"/>
      <c r="I120" s="3392"/>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67" t="s">
        <v>2078</v>
      </c>
      <c r="B121" s="3368"/>
      <c r="C121" s="3369"/>
      <c r="D121" s="3363" t="str">
        <f>IF(D120=0,"零元整",NUMBERSTRING(INT(D120*10000),2)&amp;"元整")</f>
        <v>零元整</v>
      </c>
      <c r="E121" s="3364"/>
      <c r="F121" s="3364"/>
      <c r="G121" s="3364"/>
      <c r="H121" s="3364"/>
      <c r="I121" s="3365"/>
      <c r="AA121" s="734"/>
    </row>
    <row r="122" spans="1:27" ht="18.75" customHeight="1">
      <c r="A122" s="3354" t="str">
        <f>IF(项目基本情况!B9="房地产市场价值","",MID(E107,3,LEN(E107)-2))</f>
        <v>房地产抵押价值</v>
      </c>
      <c r="B122" s="3354"/>
      <c r="C122" s="3354"/>
      <c r="D122" s="3390">
        <f ca="1">H107</f>
        <v>305869</v>
      </c>
      <c r="E122" s="3391"/>
      <c r="F122" s="3391"/>
      <c r="G122" s="3391"/>
      <c r="H122" s="3391"/>
      <c r="I122" s="3392"/>
      <c r="AA122" s="734"/>
    </row>
    <row r="123" spans="1:27" ht="18.75" customHeight="1">
      <c r="A123" s="3323" t="s">
        <v>2078</v>
      </c>
      <c r="B123" s="3323"/>
      <c r="C123" s="3323"/>
      <c r="D123" s="3363" t="str">
        <f ca="1">NUMBERSTRING(INT(D122*10000),2)&amp;"元整"</f>
        <v>叁拾亿伍仟捌佰陆拾玖万元整</v>
      </c>
      <c r="E123" s="3364"/>
      <c r="F123" s="3364"/>
      <c r="G123" s="3364"/>
      <c r="H123" s="3364"/>
      <c r="I123" s="3365"/>
      <c r="AA123" s="734"/>
    </row>
    <row r="124" spans="1:27" ht="18.75" customHeight="1">
      <c r="A124" s="3354" t="str">
        <f>IF(项目基本情况!B9="房地产市场价值","",MID(E109,3,LEN(E109)-2))</f>
        <v/>
      </c>
      <c r="B124" s="3354"/>
      <c r="C124" s="3354"/>
      <c r="D124" s="3390" t="str">
        <f>H109</f>
        <v>——</v>
      </c>
      <c r="E124" s="3391"/>
      <c r="F124" s="3391"/>
      <c r="G124" s="3391"/>
      <c r="H124" s="3391"/>
      <c r="I124" s="3392"/>
      <c r="AA124" s="734"/>
    </row>
    <row r="125" spans="1:27" ht="18.75" customHeight="1">
      <c r="A125" s="3323" t="s">
        <v>2078</v>
      </c>
      <c r="B125" s="3323"/>
      <c r="C125" s="3323"/>
      <c r="D125" s="3363" t="e">
        <f>NUMBERSTRING(INT(D124*10000),2)&amp;"元整"</f>
        <v>#VALUE!</v>
      </c>
      <c r="E125" s="3364"/>
      <c r="F125" s="3364"/>
      <c r="G125" s="3364"/>
      <c r="H125" s="3364"/>
      <c r="I125" s="3365"/>
      <c r="AA125" s="734"/>
    </row>
    <row r="126" spans="1:27" ht="18.75" customHeight="1">
      <c r="A126" s="3354" t="str">
        <f>IF(项目基本情况!B9="房地产市场价值","",MID(E111,3,LEN(E111)-2))</f>
        <v/>
      </c>
      <c r="B126" s="3354"/>
      <c r="C126" s="3354"/>
      <c r="D126" s="3390" t="str">
        <f>H111</f>
        <v>——</v>
      </c>
      <c r="E126" s="3391"/>
      <c r="F126" s="3391"/>
      <c r="G126" s="3391"/>
      <c r="H126" s="3391"/>
      <c r="I126" s="3392"/>
      <c r="AA126" s="734"/>
    </row>
    <row r="127" spans="1:27" ht="18.75" customHeight="1">
      <c r="A127" s="3323" t="s">
        <v>2078</v>
      </c>
      <c r="B127" s="3323"/>
      <c r="C127" s="3323"/>
      <c r="D127" s="3363" t="e">
        <f>NUMBERSTRING(INT(D126*10000),2)&amp;"元整"</f>
        <v>#VALUE!</v>
      </c>
      <c r="E127" s="3364"/>
      <c r="F127" s="3364"/>
      <c r="G127" s="3364"/>
      <c r="H127" s="3364"/>
      <c r="I127" s="3365"/>
      <c r="AA127" s="734"/>
    </row>
    <row r="128" spans="1:27" ht="21.75" customHeight="1">
      <c r="A128" s="3373" t="s">
        <v>2079</v>
      </c>
      <c r="B128" s="3373"/>
      <c r="C128" s="3373"/>
      <c r="D128" s="3373"/>
      <c r="E128" s="3373"/>
      <c r="F128" s="3373"/>
      <c r="G128" s="3373"/>
      <c r="H128" s="3373"/>
      <c r="I128" s="3373"/>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sheetPr>
  <dimension ref="A1:AK83"/>
  <sheetViews>
    <sheetView tabSelected="1" view="pageBreakPreview" zoomScale="80" zoomScaleNormal="70" zoomScaleSheetLayoutView="80" workbookViewId="0">
      <selection activeCell="D12" sqref="D11:D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3145</v>
      </c>
      <c r="D1" s="1515" t="s">
        <v>70</v>
      </c>
      <c r="E1" s="1516" t="s">
        <v>1292</v>
      </c>
      <c r="F1" s="1193">
        <f ca="1">J53</f>
        <v>28.76</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249279</v>
      </c>
      <c r="C2" s="1540" t="s">
        <v>1421</v>
      </c>
      <c r="D2" s="1540"/>
      <c r="E2" s="1541"/>
      <c r="F2" s="1542"/>
      <c r="G2" s="2904"/>
      <c r="H2" s="2893"/>
      <c r="I2" s="2893"/>
      <c r="J2" s="2893"/>
      <c r="K2" s="2894"/>
      <c r="L2" s="2893"/>
      <c r="M2" s="2893"/>
    </row>
    <row r="3" spans="1:37" ht="18" customHeight="1" thickBot="1">
      <c r="A3" s="1543" t="s">
        <v>1422</v>
      </c>
      <c r="B3" s="1544">
        <f ca="1">IF(ISERROR(B2*10000/F43),0,ROUND(B2*10000/F43,0))</f>
        <v>12893</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24276</v>
      </c>
      <c r="D5" s="1517" t="s">
        <v>1307</v>
      </c>
      <c r="E5" s="1203"/>
      <c r="F5" s="1204"/>
      <c r="G5" s="1537"/>
      <c r="H5" s="305">
        <v>1</v>
      </c>
      <c r="I5" s="306" t="s">
        <v>1306</v>
      </c>
      <c r="J5" s="1202">
        <f ca="1">J6+J10+J12</f>
        <v>0</v>
      </c>
      <c r="K5" s="1517" t="s">
        <v>1307</v>
      </c>
      <c r="L5" s="1203"/>
      <c r="M5" s="1204"/>
    </row>
    <row r="6" spans="1:37" ht="18" customHeight="1">
      <c r="A6" s="1201" t="s">
        <v>1003</v>
      </c>
      <c r="B6" s="3408" t="s">
        <v>1308</v>
      </c>
      <c r="C6" s="1206">
        <f ca="1">ROUND(F6*F8*F7*(1-F9)/10000,0)</f>
        <v>24246</v>
      </c>
      <c r="D6" s="160" t="s">
        <v>2789</v>
      </c>
      <c r="E6" s="308" t="s">
        <v>1310</v>
      </c>
      <c r="F6" s="309">
        <f ca="1">INDIRECT("'数据-取费表'!u"&amp;$G$1)</f>
        <v>5.0999999999999996</v>
      </c>
      <c r="G6" s="1537"/>
      <c r="H6" s="1201" t="s">
        <v>1003</v>
      </c>
      <c r="I6" s="3408" t="s">
        <v>1308</v>
      </c>
      <c r="J6" s="307">
        <f ca="1">ROUND(M6*M8*M7*(1-M9)/10000,0)</f>
        <v>0</v>
      </c>
      <c r="K6" s="160" t="s">
        <v>2788</v>
      </c>
      <c r="L6" s="308" t="s">
        <v>1310</v>
      </c>
      <c r="M6" s="309">
        <f ca="1">INDIRECT("'数据-取费表'!z"&amp;$G$1)</f>
        <v>0</v>
      </c>
    </row>
    <row r="7" spans="1:37" ht="18" customHeight="1">
      <c r="A7" s="1205"/>
      <c r="B7" s="3409"/>
      <c r="C7" s="1207"/>
      <c r="D7" s="313"/>
      <c r="E7" s="1208" t="s">
        <v>1311</v>
      </c>
      <c r="F7" s="309">
        <f ca="1">IF(INDIRECT("'数据-取费表'!ah"&amp;$G$1)="",INDIRECT("'数据-取费表'!k"&amp;$G$1),INDIRECT("'数据-取费表'!ah"&amp;$G$1))</f>
        <v>144719.51</v>
      </c>
      <c r="G7" s="1537"/>
      <c r="H7" s="310"/>
      <c r="I7" s="3409"/>
      <c r="J7" s="312"/>
      <c r="K7" s="313"/>
      <c r="L7" s="308" t="s">
        <v>1311</v>
      </c>
      <c r="M7" s="309">
        <f ca="1">F7</f>
        <v>144719.51</v>
      </c>
    </row>
    <row r="8" spans="1:37" ht="18" customHeight="1">
      <c r="A8" s="310"/>
      <c r="B8" s="3409"/>
      <c r="C8" s="312"/>
      <c r="D8" s="313"/>
      <c r="E8" s="308" t="s">
        <v>1312</v>
      </c>
      <c r="F8" s="309">
        <f ca="1">INDIRECT("'数据-取费表'!ai"&amp;$G$1)</f>
        <v>365</v>
      </c>
      <c r="G8" s="1537"/>
      <c r="H8" s="310"/>
      <c r="I8" s="3409"/>
      <c r="J8" s="312"/>
      <c r="K8" s="313"/>
      <c r="L8" s="308" t="s">
        <v>1312</v>
      </c>
      <c r="M8" s="309">
        <f ca="1">INDIRECT("'数据-取费表'!ai"&amp;$G$1)</f>
        <v>365</v>
      </c>
    </row>
    <row r="9" spans="1:37" ht="18" customHeight="1">
      <c r="A9" s="310"/>
      <c r="B9" s="3410"/>
      <c r="C9" s="312"/>
      <c r="D9" s="313"/>
      <c r="E9" s="308" t="s">
        <v>1313</v>
      </c>
      <c r="F9" s="318">
        <f ca="1">INDIRECT("'数据-取费表'!w"&amp;$G$1)</f>
        <v>0.1</v>
      </c>
      <c r="G9" s="1537"/>
      <c r="H9" s="310"/>
      <c r="I9" s="3410"/>
      <c r="J9" s="312"/>
      <c r="K9" s="313"/>
      <c r="L9" s="319" t="s">
        <v>1313</v>
      </c>
      <c r="M9" s="320">
        <f ca="1">INDIRECT("'数据-取费表'!ab"&amp;$G$1)</f>
        <v>0</v>
      </c>
    </row>
    <row r="10" spans="1:37" ht="18" customHeight="1">
      <c r="A10" s="1201" t="s">
        <v>1007</v>
      </c>
      <c r="B10" s="1518" t="s">
        <v>1314</v>
      </c>
      <c r="C10" s="322">
        <f ca="1">ROUND(IF(F10="押一",C6/12*F11,IF(F10="押二",C6/12*2*F11,IF(F10="押三",C6/12*3*F11,C11*F11))),0)</f>
        <v>30</v>
      </c>
      <c r="D10" s="1519" t="s">
        <v>2797</v>
      </c>
      <c r="E10" s="319" t="s">
        <v>1315</v>
      </c>
      <c r="F10" s="1248" t="s">
        <v>3222</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94110</v>
      </c>
      <c r="D13" s="1213" t="s">
        <v>1320</v>
      </c>
      <c r="E13" s="1213" t="s">
        <v>1321</v>
      </c>
      <c r="F13" s="1214">
        <f ca="1">INDIRECT("'数据-取费表'!y"&amp;$G$1)</f>
        <v>0.89</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71545</v>
      </c>
      <c r="D14" s="1498" t="s">
        <v>1323</v>
      </c>
      <c r="E14" s="1495"/>
      <c r="F14" s="325"/>
      <c r="G14" s="1537"/>
      <c r="H14" s="1113" t="s">
        <v>1003</v>
      </c>
      <c r="I14" s="308" t="s">
        <v>1324</v>
      </c>
      <c r="J14" s="24">
        <f ca="1">C29</f>
        <v>105742</v>
      </c>
      <c r="K14" s="15"/>
      <c r="L14" s="916"/>
      <c r="M14" s="917"/>
    </row>
    <row r="15" spans="1:37" s="1550" customFormat="1" ht="18" customHeight="1" thickBot="1">
      <c r="A15" s="1113" t="s">
        <v>1004</v>
      </c>
      <c r="B15" s="308" t="s">
        <v>1325</v>
      </c>
      <c r="C15" s="24">
        <f ca="1">ROUND(C14*F15,0)</f>
        <v>2146</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2483</v>
      </c>
      <c r="K16" s="1219" t="s">
        <v>1330</v>
      </c>
      <c r="L16" s="1220"/>
      <c r="M16" s="1204"/>
    </row>
    <row r="17" spans="1:37" s="1550" customFormat="1" ht="18" customHeight="1">
      <c r="A17" s="1113" t="s">
        <v>1295</v>
      </c>
      <c r="B17" s="308" t="s">
        <v>1331</v>
      </c>
      <c r="C17" s="24">
        <f ca="1">ROUND(F17*(F43+INDIRECT("'数据-取费表'!S"&amp;$G$1))/10000,0)</f>
        <v>4219</v>
      </c>
      <c r="D17" s="308" t="s">
        <v>1332</v>
      </c>
      <c r="E17" s="308" t="s">
        <v>1333</v>
      </c>
      <c r="F17" s="26">
        <f>'数据-取费表'!B35</f>
        <v>200</v>
      </c>
      <c r="G17" s="1549"/>
      <c r="H17" s="1113" t="s">
        <v>1003</v>
      </c>
      <c r="I17" s="308" t="s">
        <v>1334</v>
      </c>
      <c r="J17" s="2503">
        <f ca="1">ROUND(IF(AND(项目基本情况!B11="自然人",项目基本情况!B10="北京市"),J6*M17/(1+'数据-取费表'!C42),J18+J19+J20),0)</f>
        <v>897</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1073</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78983</v>
      </c>
      <c r="D19" s="136" t="s">
        <v>1341</v>
      </c>
      <c r="E19" s="1513"/>
      <c r="F19" s="26"/>
      <c r="G19" s="1537"/>
      <c r="H19" s="1113" t="s">
        <v>1004</v>
      </c>
      <c r="I19" s="308" t="s">
        <v>1342</v>
      </c>
      <c r="J19" s="24">
        <f ca="1">IF(K19="按租金收入计税",ROUND(J6*M19/(1+'数据-取费表'!C42),2),ROUND(C29*M19*0.7,2))</f>
        <v>888.23</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1580</v>
      </c>
      <c r="D20" s="329" t="s">
        <v>1345</v>
      </c>
      <c r="E20" s="308" t="s">
        <v>1327</v>
      </c>
      <c r="F20" s="328">
        <f>'数据-取费表'!B37</f>
        <v>0.02</v>
      </c>
      <c r="G20" s="1549"/>
      <c r="H20" s="1113" t="s">
        <v>1294</v>
      </c>
      <c r="I20" s="160" t="s">
        <v>1346</v>
      </c>
      <c r="J20" s="25">
        <f ca="1">ROUND(M20*M21/10000,2)</f>
        <v>8.2799999999999994</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55191.78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1586.1</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3383</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-2483</v>
      </c>
      <c r="K25" s="1227" t="s">
        <v>1369</v>
      </c>
      <c r="L25" s="1228"/>
      <c r="M25" s="1229"/>
    </row>
    <row r="26" spans="1:37">
      <c r="A26" s="1113" t="s">
        <v>1002</v>
      </c>
      <c r="B26" s="308" t="s">
        <v>1370</v>
      </c>
      <c r="C26" s="24">
        <f ca="1">ROUND((C19+C20)*F26,0)</f>
        <v>13696</v>
      </c>
      <c r="D26" s="329" t="s">
        <v>1371</v>
      </c>
      <c r="E26" s="319" t="s">
        <v>1372</v>
      </c>
      <c r="F26" s="318">
        <f ca="1">INDIRECT("'数据-取费表'!q"&amp;$G$1)</f>
        <v>0.17</v>
      </c>
      <c r="G26" s="1537"/>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3.3999999999999998E-3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105742</v>
      </c>
      <c r="D29" s="1224"/>
      <c r="E29" s="1222"/>
      <c r="F29" s="1225"/>
      <c r="G29" s="1549"/>
      <c r="H29" s="340" t="s">
        <v>1001</v>
      </c>
      <c r="I29" s="341" t="s">
        <v>1384</v>
      </c>
      <c r="J29" s="342">
        <f ca="1">ROUND(J26/(1+F40)^F41,0)</f>
        <v>0</v>
      </c>
      <c r="K29" s="343" t="s">
        <v>1385</v>
      </c>
      <c r="L29" s="344"/>
      <c r="M29" s="345">
        <f ca="1">INDIRECT("'数据-取费表'!k"&amp;$G$1)</f>
        <v>193344.75</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6140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4049</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1270.03</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2770.97</v>
      </c>
      <c r="D33" s="1523" t="s">
        <v>3223</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8.2799999999999994</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55191.78</v>
      </c>
      <c r="G35" s="1537"/>
      <c r="H35" s="2895"/>
      <c r="I35" s="1551"/>
      <c r="J35" s="1552"/>
      <c r="K35" s="2899"/>
      <c r="L35" s="2898"/>
      <c r="M35" s="2898"/>
    </row>
    <row r="36" spans="1:18" ht="18" customHeight="1">
      <c r="A36" s="1234" t="s">
        <v>1007</v>
      </c>
      <c r="B36" s="308" t="s">
        <v>1354</v>
      </c>
      <c r="C36" s="24">
        <f ca="1">ROUND(C29*F36,1)</f>
        <v>1586.1</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141.19999999999999</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364.1</v>
      </c>
      <c r="D38" s="1224" t="s">
        <v>1364</v>
      </c>
      <c r="E38" s="1222" t="s">
        <v>1360</v>
      </c>
      <c r="F38" s="1218">
        <f ca="1">INDIRECT("'数据-取费表'!Am"&amp;$G$1)</f>
        <v>1.4999999999999999E-2</v>
      </c>
      <c r="G38" s="1537"/>
      <c r="H38" s="2898"/>
      <c r="I38" s="1551"/>
      <c r="J38" s="1552"/>
      <c r="K38" s="2902"/>
      <c r="L38" s="2898"/>
      <c r="M38" s="2898"/>
    </row>
    <row r="39" spans="1:18" ht="24.6" customHeight="1" thickTop="1">
      <c r="A39" s="1211" t="s">
        <v>999</v>
      </c>
      <c r="B39" s="1226" t="s">
        <v>1388</v>
      </c>
      <c r="C39" s="316">
        <f ca="1">C5-C30</f>
        <v>18136</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245696</v>
      </c>
      <c r="D40" s="330" t="s">
        <v>1374</v>
      </c>
      <c r="E40" s="308" t="s">
        <v>1375</v>
      </c>
      <c r="F40" s="318">
        <f ca="1">INDIRECT("'数据-取费表'!I"&amp;$G$1)</f>
        <v>0.06</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28.76</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f ca="1">ROUND(C40*10000/F43,0)</f>
        <v>12708</v>
      </c>
      <c r="D43" s="343" t="s">
        <v>1393</v>
      </c>
      <c r="E43" s="344" t="s">
        <v>1394</v>
      </c>
      <c r="F43" s="345">
        <f ca="1">INDIRECT("'数据-取费表'!k"&amp;$G$1)</f>
        <v>193344.75</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-389542</v>
      </c>
      <c r="D46" s="1559" t="str">
        <f>C2</f>
        <v>万元</v>
      </c>
      <c r="E46" s="1553"/>
      <c r="F46" s="1553"/>
      <c r="I46" s="1560" t="s">
        <v>1426</v>
      </c>
      <c r="J46" s="1561"/>
      <c r="K46" s="1562"/>
      <c r="L46" s="1563">
        <f ca="1">IF(M47="住宅",0,IF(L48&gt;J51,L60,J60))</f>
        <v>3583</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3219</v>
      </c>
      <c r="K47" s="1569" t="s">
        <v>1432</v>
      </c>
      <c r="L47" s="1570">
        <f ca="1">INDIRECT("'数据-取费表'!d"&amp;$G$1)</f>
        <v>40</v>
      </c>
      <c r="M47" s="1533" t="str">
        <f>IF(ISNUMBER(FIND("住宅",C1)),"住宅","非住宅")</f>
        <v>非住宅</v>
      </c>
      <c r="O47" s="1571" t="s">
        <v>1008</v>
      </c>
      <c r="P47" s="1572" t="s">
        <v>1433</v>
      </c>
      <c r="Q47" s="1573">
        <f ca="1">C40+J29</f>
        <v>245696</v>
      </c>
      <c r="R47" s="1573" t="s">
        <v>1434</v>
      </c>
    </row>
    <row r="48" spans="1:18" s="1537" customFormat="1" ht="28.5" thickBot="1">
      <c r="A48" s="1242" t="s">
        <v>1044</v>
      </c>
      <c r="B48" s="306" t="s">
        <v>1306</v>
      </c>
      <c r="C48" s="1512">
        <f ca="1">C49+C53+C55</f>
        <v>0</v>
      </c>
      <c r="D48" s="1244"/>
      <c r="E48" s="1245"/>
      <c r="F48" s="1093"/>
      <c r="G48" s="731"/>
      <c r="H48" s="732"/>
      <c r="I48" s="1574" t="s">
        <v>1435</v>
      </c>
      <c r="J48" s="1575" t="s">
        <v>3220</v>
      </c>
      <c r="K48" s="1576" t="s">
        <v>1436</v>
      </c>
      <c r="L48" s="1577">
        <f ca="1">INDIRECT("'数据-取费表'!f"&amp;$G$1)</f>
        <v>28.76</v>
      </c>
      <c r="O48" s="1571" t="s">
        <v>1009</v>
      </c>
      <c r="P48" s="1572" t="s">
        <v>1437</v>
      </c>
      <c r="Q48" s="1573">
        <f ca="1">J60</f>
        <v>3583</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2015</v>
      </c>
      <c r="K49" s="1576" t="s">
        <v>1440</v>
      </c>
      <c r="L49" s="1580"/>
      <c r="O49" s="1581" t="s">
        <v>1010</v>
      </c>
      <c r="P49" s="1572" t="s">
        <v>1441</v>
      </c>
      <c r="Q49" s="1573">
        <f ca="1">C29</f>
        <v>105742</v>
      </c>
      <c r="R49" s="1573" t="s">
        <v>1434</v>
      </c>
    </row>
    <row r="50" spans="1:18" s="1537" customFormat="1" ht="13.5" thickBot="1">
      <c r="A50" s="1107"/>
      <c r="B50" s="1110"/>
      <c r="C50" s="1250"/>
      <c r="D50" s="1084"/>
      <c r="E50" s="1187" t="s">
        <v>1311</v>
      </c>
      <c r="F50" s="1188">
        <f ca="1">F7</f>
        <v>144719.51</v>
      </c>
      <c r="H50" s="732"/>
      <c r="I50" s="1574" t="s">
        <v>1442</v>
      </c>
      <c r="J50" s="1582">
        <f>SUMPRODUCT((I63:I65=J47)*(J62:L62=J48)*(J63:L65))</f>
        <v>60</v>
      </c>
      <c r="K50" s="1576" t="s">
        <v>1443</v>
      </c>
      <c r="L50" s="1580"/>
      <c r="M50" s="1583"/>
      <c r="O50" s="1581" t="s">
        <v>1011</v>
      </c>
      <c r="P50" s="1572" t="s">
        <v>1444</v>
      </c>
      <c r="Q50" s="1584">
        <f ca="1">J58</f>
        <v>0.40400000000000003</v>
      </c>
      <c r="R50" s="1573"/>
    </row>
    <row r="51" spans="1:18" s="1537" customFormat="1" ht="13.5" thickBot="1">
      <c r="A51" s="1108"/>
      <c r="B51" s="1110"/>
      <c r="C51" s="1111"/>
      <c r="D51" s="1084"/>
      <c r="E51" s="1112" t="s">
        <v>1312</v>
      </c>
      <c r="F51" s="309">
        <f ca="1">F8</f>
        <v>365</v>
      </c>
      <c r="I51" s="1585" t="s">
        <v>1445</v>
      </c>
      <c r="J51" s="1586">
        <f>IF(J49="",J50,J49+J50-YEAR('数据-取费表'!B2))</f>
        <v>53</v>
      </c>
      <c r="K51" s="1587" t="s">
        <v>1446</v>
      </c>
      <c r="L51" s="1588">
        <f ca="1">ROUND(-PV(INDIRECT("'数据-取费表'!h"&amp;$G$1),J51,(C39-C13*C76),0),0)</f>
        <v>173509</v>
      </c>
      <c r="M51" s="1589"/>
      <c r="O51" s="1581" t="s">
        <v>1012</v>
      </c>
      <c r="P51" s="1572" t="s">
        <v>1447</v>
      </c>
      <c r="Q51" s="1584">
        <f>J52</f>
        <v>9.0000000000000011E-2</v>
      </c>
      <c r="R51" s="1573"/>
    </row>
    <row r="52" spans="1:18" s="1537" customFormat="1" ht="13.5" thickBot="1">
      <c r="A52" s="1108"/>
      <c r="B52" s="1110"/>
      <c r="C52" s="1111"/>
      <c r="D52" s="1084"/>
      <c r="E52" s="1112" t="s">
        <v>1313</v>
      </c>
      <c r="F52" s="1185"/>
      <c r="I52" s="1590" t="s">
        <v>1448</v>
      </c>
      <c r="J52" s="3558">
        <f>'数据-取费表'!J6+0.005</f>
        <v>9.0000000000000011E-2</v>
      </c>
      <c r="K52" s="1590" t="s">
        <v>1449</v>
      </c>
      <c r="L52" s="1591"/>
      <c r="O52" s="1581" t="s">
        <v>1013</v>
      </c>
      <c r="P52" s="1572" t="s">
        <v>1450</v>
      </c>
      <c r="Q52" s="1573">
        <f ca="1">J53</f>
        <v>28.76</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28.76</v>
      </c>
      <c r="K53" s="3406" t="s">
        <v>1453</v>
      </c>
      <c r="L53" s="3407"/>
      <c r="O53" s="1571" t="s">
        <v>1014</v>
      </c>
      <c r="P53" s="1572" t="s">
        <v>1454</v>
      </c>
      <c r="Q53" s="1573">
        <f ca="1">Q47+Q48</f>
        <v>249279</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f ca="1">ROUND(IF(J47="钢混",J57/J50,1-(1-2%)*(J50-J57)/J50),3)</f>
        <v>0.40400000000000003</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94110</v>
      </c>
      <c r="D56" s="1600"/>
      <c r="E56" s="1601"/>
      <c r="F56" s="1593"/>
      <c r="I56" s="1602" t="s">
        <v>1459</v>
      </c>
      <c r="J56" s="1603" t="s">
        <v>3221</v>
      </c>
      <c r="K56" s="1574" t="s">
        <v>1460</v>
      </c>
      <c r="L56" s="1577" t="str">
        <f ca="1">IF(L48&lt;J51,"——",L48-J53)</f>
        <v>——</v>
      </c>
      <c r="O56" s="1571" t="s">
        <v>1008</v>
      </c>
      <c r="P56" s="1572" t="s">
        <v>1433</v>
      </c>
      <c r="Q56" s="1573">
        <f ca="1">C40+J29</f>
        <v>245696</v>
      </c>
      <c r="R56" s="1573" t="s">
        <v>1434</v>
      </c>
    </row>
    <row r="57" spans="1:18" s="1537" customFormat="1" ht="24.75" thickBot="1">
      <c r="A57" s="1604"/>
      <c r="B57" s="1081" t="s">
        <v>1383</v>
      </c>
      <c r="C57" s="244">
        <f ca="1">C29</f>
        <v>105742</v>
      </c>
      <c r="D57" s="1605"/>
      <c r="E57" s="1606"/>
      <c r="F57" s="1607"/>
      <c r="I57" s="1608" t="s">
        <v>1461</v>
      </c>
      <c r="J57" s="1609">
        <f ca="1">IF(OR(M47="住宅",J51&lt;L48,J56="是"),"——",J51-L48)</f>
        <v>24.24</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10618</v>
      </c>
      <c r="D58" s="1091" t="s">
        <v>1330</v>
      </c>
      <c r="E58" s="1092"/>
      <c r="F58" s="1093"/>
      <c r="I58" s="1608" t="s">
        <v>1465</v>
      </c>
      <c r="J58" s="1610">
        <f ca="1">IF(J55&lt;0.4,0.4,J55)</f>
        <v>0.40400000000000003</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8891</v>
      </c>
      <c r="D59" s="1094" t="s">
        <v>1335</v>
      </c>
      <c r="E59" s="1095" t="s">
        <v>1336</v>
      </c>
      <c r="F59" s="2502" t="str">
        <f>IF(项目基本情况!B11="企业","——",IF('数据-取费表'!B10="住宅",IF(F49*F50*F51/12/(1+'数据-取费表'!F30)&gt;100000,4%,2.5%),IF(F49*F50*F51/12/(1+'数据-取费表'!F30)&gt;100000,12%,7%)))</f>
        <v>——</v>
      </c>
      <c r="I59" s="1608" t="s">
        <v>1468</v>
      </c>
      <c r="J59" s="1609">
        <f ca="1">IF(OR(M47="住宅",J51&lt;L48,J56="是"),"——",ROUND(C29*J58,0))</f>
        <v>42720</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f ca="1">IF(OR(M47="住宅",J51&lt;L48,J56="是"),"0",ROUND(J59/(1+J52)^J53,0))</f>
        <v>3583</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8882.33</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8.2799999999999994</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245696</v>
      </c>
      <c r="R62" s="1573" t="s">
        <v>1015</v>
      </c>
    </row>
    <row r="63" spans="1:18" s="1537" customFormat="1" ht="13.5" thickBot="1">
      <c r="A63" s="332"/>
      <c r="B63" s="1087"/>
      <c r="C63" s="29"/>
      <c r="D63" s="1097"/>
      <c r="E63" s="1081" t="s">
        <v>1404</v>
      </c>
      <c r="F63" s="309">
        <f t="shared" ca="1" si="0"/>
        <v>55191.78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1586.1</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141.19999999999999</v>
      </c>
      <c r="D65" s="1095" t="s">
        <v>1359</v>
      </c>
      <c r="E65" s="1081" t="s">
        <v>1360</v>
      </c>
      <c r="F65" s="336">
        <f t="shared" ca="1" si="0"/>
        <v>1.5E-3</v>
      </c>
      <c r="I65" s="1615" t="s">
        <v>1484</v>
      </c>
      <c r="J65" s="1616">
        <v>40</v>
      </c>
      <c r="K65" s="1616">
        <v>30</v>
      </c>
      <c r="L65" s="1616">
        <v>50</v>
      </c>
      <c r="M65" s="1618">
        <v>0.02</v>
      </c>
      <c r="O65" s="1571" t="s">
        <v>1008</v>
      </c>
      <c r="P65" s="1572" t="s">
        <v>1485</v>
      </c>
      <c r="Q65" s="1573">
        <f ca="1">C40+J29</f>
        <v>245696</v>
      </c>
      <c r="R65" s="1573" t="s">
        <v>1434</v>
      </c>
    </row>
    <row r="66" spans="1:18" s="1537" customFormat="1" ht="16.5" thickBot="1">
      <c r="A66" s="1113" t="s">
        <v>1409</v>
      </c>
      <c r="B66" s="1081" t="s">
        <v>1344</v>
      </c>
      <c r="C66" s="24">
        <f ca="1">ROUND(C48*F66,1)</f>
        <v>0</v>
      </c>
      <c r="D66" s="1095" t="s">
        <v>1410</v>
      </c>
      <c r="E66" s="1081" t="s">
        <v>1327</v>
      </c>
      <c r="F66" s="318">
        <f t="shared" ca="1" si="0"/>
        <v>1.4999999999999999E-2</v>
      </c>
      <c r="O66" s="1571" t="s">
        <v>1009</v>
      </c>
      <c r="P66" s="1572" t="s">
        <v>1463</v>
      </c>
      <c r="Q66" s="1573">
        <f ca="1">L60</f>
        <v>0</v>
      </c>
      <c r="R66" s="1573" t="s">
        <v>1486</v>
      </c>
    </row>
    <row r="67" spans="1:18" s="1537" customFormat="1" ht="16.5" thickBot="1">
      <c r="A67" s="1088" t="s">
        <v>999</v>
      </c>
      <c r="B67" s="1098" t="s">
        <v>1368</v>
      </c>
      <c r="C67" s="322">
        <f ca="1">C48-C58</f>
        <v>-10618</v>
      </c>
      <c r="D67" s="1094" t="s">
        <v>1369</v>
      </c>
      <c r="E67" s="1099"/>
      <c r="F67" s="1100"/>
      <c r="O67" s="1581" t="s">
        <v>1010</v>
      </c>
      <c r="P67" s="1572" t="s">
        <v>1467</v>
      </c>
      <c r="Q67" s="1619">
        <f ca="1">L51</f>
        <v>173509</v>
      </c>
      <c r="R67" s="1573" t="s">
        <v>1487</v>
      </c>
    </row>
    <row r="68" spans="1:18" s="1537" customFormat="1" ht="16.5" thickBot="1">
      <c r="A68" s="1078" t="s">
        <v>1000</v>
      </c>
      <c r="B68" s="1079" t="s">
        <v>1390</v>
      </c>
      <c r="C68" s="307">
        <f ca="1">ROUND(C67*(1-((1+F70)/(1+F68))^F69)/(F68-F70),0)</f>
        <v>-143846</v>
      </c>
      <c r="D68" s="1096" t="s">
        <v>1374</v>
      </c>
      <c r="E68" s="1081" t="s">
        <v>1375</v>
      </c>
      <c r="F68" s="318">
        <f ca="1">F40</f>
        <v>0.06</v>
      </c>
      <c r="O68" s="1581" t="s">
        <v>1011</v>
      </c>
      <c r="P68" s="1620" t="s">
        <v>1488</v>
      </c>
      <c r="Q68" s="1573">
        <f ca="1">ROUND(Q69-Q70*Q71,0)</f>
        <v>10137</v>
      </c>
      <c r="R68" s="1573" t="s">
        <v>1019</v>
      </c>
    </row>
    <row r="69" spans="1:18" s="1537" customFormat="1" ht="13.5" thickBot="1">
      <c r="A69" s="1082"/>
      <c r="B69" s="1083"/>
      <c r="C69" s="312"/>
      <c r="D69" s="1101" t="s">
        <v>1378</v>
      </c>
      <c r="E69" s="1081" t="s">
        <v>1379</v>
      </c>
      <c r="F69" s="339">
        <f ca="1">F41</f>
        <v>28.76</v>
      </c>
      <c r="O69" s="1581" t="s">
        <v>1016</v>
      </c>
      <c r="P69" s="1620" t="s">
        <v>1489</v>
      </c>
      <c r="Q69" s="1573">
        <f ca="1">C39</f>
        <v>18136</v>
      </c>
      <c r="R69" s="1573" t="s">
        <v>1434</v>
      </c>
    </row>
    <row r="70" spans="1:18" s="1537" customFormat="1" ht="13.5" thickBot="1">
      <c r="A70" s="1085"/>
      <c r="B70" s="1086"/>
      <c r="C70" s="316"/>
      <c r="D70" s="1097"/>
      <c r="E70" s="1081" t="s">
        <v>1382</v>
      </c>
      <c r="F70" s="1185"/>
      <c r="O70" s="1581" t="s">
        <v>1017</v>
      </c>
      <c r="P70" s="1620" t="s">
        <v>1490</v>
      </c>
      <c r="Q70" s="1573">
        <f ca="1">C13</f>
        <v>94110</v>
      </c>
      <c r="R70" s="1573" t="s">
        <v>1434</v>
      </c>
    </row>
    <row r="71" spans="1:18" s="1537" customFormat="1" ht="13.5" thickBot="1">
      <c r="A71" s="1102" t="s">
        <v>1001</v>
      </c>
      <c r="B71" s="1103" t="s">
        <v>1392</v>
      </c>
      <c r="C71" s="342">
        <f ca="1">ROUND(C68*10000/F71,0)</f>
        <v>-7440</v>
      </c>
      <c r="D71" s="1104" t="s">
        <v>1393</v>
      </c>
      <c r="E71" s="1105" t="s">
        <v>1394</v>
      </c>
      <c r="F71" s="345">
        <f ca="1">F43</f>
        <v>193344.75</v>
      </c>
      <c r="O71" s="1581" t="s">
        <v>1018</v>
      </c>
      <c r="P71" s="1620" t="s">
        <v>1491</v>
      </c>
      <c r="Q71" s="1584">
        <f ca="1">C76</f>
        <v>8.5000000000000006E-2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7999</v>
      </c>
      <c r="D75" s="1537"/>
      <c r="E75" s="1537"/>
      <c r="F75" s="1537"/>
      <c r="K75" s="1555"/>
      <c r="L75" s="1537"/>
      <c r="O75" s="1571" t="s">
        <v>1014</v>
      </c>
      <c r="P75" s="1572" t="s">
        <v>1454</v>
      </c>
      <c r="Q75" s="1573">
        <f ca="1">Q65+Q66</f>
        <v>245696</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0.55899999999999994</v>
      </c>
    </row>
    <row r="80" spans="1:18">
      <c r="B80" s="346" t="s">
        <v>1416</v>
      </c>
      <c r="C80" s="280">
        <f ca="1">ROUND(C75/C39,3)</f>
        <v>0.441</v>
      </c>
    </row>
    <row r="81" spans="2:3">
      <c r="B81" s="276" t="s">
        <v>1417</v>
      </c>
      <c r="C81" s="244"/>
    </row>
    <row r="82" spans="2:3">
      <c r="B82" s="279" t="s">
        <v>1418</v>
      </c>
      <c r="C82" s="281">
        <f ca="1">1-C83</f>
        <v>0.61699999999999999</v>
      </c>
    </row>
    <row r="83" spans="2:3">
      <c r="B83" s="279" t="s">
        <v>1419</v>
      </c>
      <c r="C83" s="280">
        <f ca="1">ROUND(C13/C40,3)</f>
        <v>0.38300000000000001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200-000000000000}">
      <formula1>"按租金收入计税,按房产原值计税"</formula1>
    </dataValidation>
    <dataValidation type="list" allowBlank="1" showInputMessage="1" showErrorMessage="1" sqref="D33 D61" xr:uid="{00000000-0002-0000-1200-000001000000}">
      <formula1>"按租金收入计税,按房产原值计税,按票据"</formula1>
    </dataValidation>
    <dataValidation type="list" allowBlank="1" showInputMessage="1" showErrorMessage="1" sqref="C1" xr:uid="{00000000-0002-0000-1200-000002000000}">
      <formula1>项目类型</formula1>
    </dataValidation>
    <dataValidation type="list" allowBlank="1" showInputMessage="1" showErrorMessage="1" sqref="J47" xr:uid="{00000000-0002-0000-1200-000003000000}">
      <formula1>"钢,钢混,砖混"</formula1>
    </dataValidation>
    <dataValidation type="list" allowBlank="1" showInputMessage="1" showErrorMessage="1" sqref="J48" xr:uid="{00000000-0002-0000-1200-000004000000}">
      <formula1>"非生产用房,生产用房,受腐蚀的生产用房"</formula1>
    </dataValidation>
    <dataValidation type="list" allowBlank="1" showInputMessage="1" showErrorMessage="1" sqref="J56" xr:uid="{00000000-0002-0000-1200-000005000000}">
      <formula1>判定</formula1>
    </dataValidation>
    <dataValidation type="list" allowBlank="1" showInputMessage="1" showErrorMessage="1" sqref="L55" xr:uid="{00000000-0002-0000-1200-000006000000}">
      <formula1>"比较法,基准地价,收益还原"</formula1>
    </dataValidation>
    <dataValidation type="list" allowBlank="1" showInputMessage="1" showErrorMessage="1" sqref="M10 F10 F53" xr:uid="{00000000-0002-0000-1200-000007000000}">
      <formula1>"押一,押二,押三,自定义"</formula1>
    </dataValidation>
    <dataValidation type="list" allowBlank="1" showInputMessage="1" showErrorMessage="1" sqref="D1" xr:uid="{00000000-0002-0000-1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7" t="str">
        <f>项目基本情况!B1</f>
        <v>北京市房地产抵押价值预评估</v>
      </c>
      <c r="C37" s="3217"/>
      <c r="D37" s="3217"/>
      <c r="E37" s="3217"/>
      <c r="F37" s="3217"/>
      <c r="G37" s="3217"/>
      <c r="H37" s="3217"/>
      <c r="I37" s="3217"/>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C29" sqref="C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3556"/>
      <c r="C1" s="204"/>
      <c r="D1" s="204"/>
      <c r="E1" s="204"/>
      <c r="F1" s="204"/>
      <c r="G1" s="1260">
        <f>MATCH(B1,'数据-取费表'!A6:A16,0)+5</f>
        <v>7</v>
      </c>
    </row>
    <row r="2" spans="1:9" s="206" customFormat="1" ht="18" customHeight="1">
      <c r="A2" s="207" t="s">
        <v>2088</v>
      </c>
      <c r="B2" s="208">
        <f ca="1">IF(D2="——",C52,C52-E2)</f>
        <v>390754</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18523</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214000</v>
      </c>
      <c r="D5" s="217" t="s">
        <v>2095</v>
      </c>
      <c r="E5" s="218" t="s">
        <v>2096</v>
      </c>
      <c r="F5" s="218" t="s">
        <v>2097</v>
      </c>
      <c r="G5" s="219"/>
    </row>
    <row r="6" spans="1:9" s="220" customFormat="1" ht="13.5" customHeight="1">
      <c r="A6" s="886" t="s">
        <v>2098</v>
      </c>
      <c r="B6" s="221" t="s">
        <v>2099</v>
      </c>
      <c r="C6" s="222">
        <f>'土地比较法-住宅、综合'!B2</f>
        <v>203777</v>
      </c>
      <c r="D6" s="223"/>
      <c r="E6" s="224"/>
      <c r="F6" s="224"/>
      <c r="G6" s="225"/>
    </row>
    <row r="7" spans="1:9" s="220" customFormat="1" ht="13.5" customHeight="1">
      <c r="A7" s="886" t="s">
        <v>2100</v>
      </c>
      <c r="B7" s="221" t="s">
        <v>2101</v>
      </c>
      <c r="C7" s="226">
        <f>ROUND(C6*F7,0)</f>
        <v>6215</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4008</v>
      </c>
      <c r="D8" s="228"/>
      <c r="E8" s="226"/>
      <c r="F8" s="227"/>
      <c r="G8" s="2011" t="s">
        <v>3142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150</v>
      </c>
      <c r="F9" s="227"/>
      <c r="G9" s="2012" t="s">
        <v>3143</v>
      </c>
      <c r="H9" s="1271"/>
      <c r="I9" s="2013" t="s">
        <v>2105</v>
      </c>
    </row>
    <row r="10" spans="1:9" s="220" customFormat="1" ht="13.5" customHeight="1">
      <c r="A10" s="887" t="s">
        <v>801</v>
      </c>
      <c r="B10" s="230" t="s">
        <v>2106</v>
      </c>
      <c r="C10" s="231">
        <f ca="1">ROUND(D10*E10/10000,0)</f>
        <v>4008</v>
      </c>
      <c r="D10" s="954">
        <f ca="1">IF(B1="",'数据-汇总表'!E6,IF(INDIRECT("'数据-取费表'!c"&amp;$G$1)="住宅",INDIRECT("'数据-取费表'!s"&amp;$G$1),INDIRECT("'数据-取费表'!k"&amp;$G$1)+INDIRECT("'数据-取费表'!s"&amp;$G$1)))</f>
        <v>210956.06</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210956.06</v>
      </c>
      <c r="E19" s="217">
        <f>'数据-取费表'!B31</f>
        <v>200</v>
      </c>
      <c r="F19" s="237"/>
      <c r="G19" s="2011" t="s">
        <v>3144</v>
      </c>
    </row>
    <row r="20" spans="1:7" s="220" customFormat="1" ht="13.5" customHeight="1">
      <c r="A20" s="261" t="s">
        <v>2119</v>
      </c>
      <c r="B20" s="216" t="s">
        <v>2120</v>
      </c>
      <c r="C20" s="238">
        <f>ROUND((C5+C19)*F20,0)</f>
        <v>4280</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18533</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18353</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180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37108</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ROUND((C5+C19+C20)*F27*'数据-取费表'!B21/'数据-取费表'!B20,0)</f>
        <v>37108</v>
      </c>
      <c r="D28" s="241"/>
      <c r="E28" s="242"/>
      <c r="F28" s="252"/>
      <c r="G28" s="253"/>
    </row>
    <row r="29" spans="1:7" s="220" customFormat="1" ht="13.5" customHeight="1">
      <c r="A29" s="888" t="s">
        <v>792</v>
      </c>
      <c r="B29" s="254" t="s">
        <v>2143</v>
      </c>
      <c r="C29" s="244">
        <f ca="1">ROUND(C21*F27*'数据-取费表'!B21/'数据-取费表'!B20,4)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296644</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78983</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71545</v>
      </c>
      <c r="D34" s="223"/>
      <c r="E34" s="226"/>
      <c r="F34" s="263">
        <f ca="1">IF('数据-取费表'!B24=0,1,IF(B1="",'数据-取费表'!N16,INDIRECT("'数据-取费表'!n"&amp;$G$1)))</f>
        <v>1</v>
      </c>
      <c r="G34" s="225" t="s">
        <v>2152</v>
      </c>
    </row>
    <row r="35" spans="1:7" ht="13.5" customHeight="1">
      <c r="A35" s="888" t="s">
        <v>796</v>
      </c>
      <c r="B35" s="221" t="s">
        <v>2153</v>
      </c>
      <c r="C35" s="226">
        <f ca="1">ROUND(C34*F35,0)</f>
        <v>2146</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4219</v>
      </c>
      <c r="D37" s="223">
        <f ca="1">D19</f>
        <v>210956.06</v>
      </c>
      <c r="E37" s="255">
        <f>'数据-取费表'!B35</f>
        <v>200</v>
      </c>
      <c r="F37" s="265"/>
      <c r="G37" s="267" t="s">
        <v>2158</v>
      </c>
    </row>
    <row r="38" spans="1:7" ht="13.5" customHeight="1">
      <c r="A38" s="888" t="s">
        <v>799</v>
      </c>
      <c r="B38" s="221" t="s">
        <v>2159</v>
      </c>
      <c r="C38" s="226">
        <f ca="1">ROUND(C34*F38,0)</f>
        <v>1073</v>
      </c>
      <c r="D38" s="226"/>
      <c r="E38" s="226"/>
      <c r="F38" s="265">
        <f>'数据-取费表'!B36</f>
        <v>1.4999999999999999E-2</v>
      </c>
      <c r="G38" s="225" t="s">
        <v>2154</v>
      </c>
    </row>
    <row r="39" spans="1:7" s="220" customFormat="1" ht="13.5" customHeight="1">
      <c r="A39" s="261" t="s">
        <v>2160</v>
      </c>
      <c r="B39" s="216" t="s">
        <v>2161</v>
      </c>
      <c r="C39" s="238">
        <f ca="1">ROUND(C33*F20,0)</f>
        <v>1580</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3383</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3317</v>
      </c>
      <c r="D42" s="244"/>
      <c r="E42" s="244"/>
      <c r="F42" s="245"/>
      <c r="G42" s="3411" t="s">
        <v>2170</v>
      </c>
    </row>
    <row r="43" spans="1:7" ht="13.5" customHeight="1">
      <c r="A43" s="888" t="s">
        <v>792</v>
      </c>
      <c r="B43" s="221" t="s">
        <v>2171</v>
      </c>
      <c r="C43" s="244">
        <f ca="1">ROUND(IF('数据-取费表'!B22&lt;=1,C39*F22*'数据-取费表'!B21/2,C39*(POWER((1+F22),'数据-取费表'!B21/2)-1)),0)</f>
        <v>66</v>
      </c>
      <c r="D43" s="244"/>
      <c r="E43" s="244"/>
      <c r="F43" s="245"/>
      <c r="G43" s="3412"/>
    </row>
    <row r="44" spans="1:7" ht="13.5" customHeight="1">
      <c r="A44" s="888" t="s">
        <v>793</v>
      </c>
      <c r="B44" s="221" t="s">
        <v>2172</v>
      </c>
      <c r="C44" s="244">
        <f ca="1">ROUND(IF('数据-取费表'!B22&lt;=1,C40*F22*'数据-取费表'!B21/2,C40*(POWER((1+F22),'数据-取费表'!B21/2)-1)),4)</f>
        <v>8.0000000000000004E-4</v>
      </c>
      <c r="D44" s="244"/>
      <c r="E44" s="244"/>
      <c r="F44" s="245"/>
      <c r="G44" s="3413"/>
    </row>
    <row r="45" spans="1:7" s="220" customFormat="1" ht="13.5" customHeight="1">
      <c r="A45" s="261" t="s">
        <v>2173</v>
      </c>
      <c r="B45" s="250" t="s">
        <v>2139</v>
      </c>
      <c r="C45" s="251">
        <f ca="1">C46</f>
        <v>13696</v>
      </c>
      <c r="D45" s="241">
        <f ca="1">C47</f>
        <v>3.3999999999999998E-3</v>
      </c>
      <c r="E45" s="242" t="s">
        <v>2165</v>
      </c>
      <c r="F45" s="2506">
        <f ca="1">F27</f>
        <v>0.17</v>
      </c>
      <c r="G45" s="253" t="s">
        <v>2174</v>
      </c>
    </row>
    <row r="46" spans="1:7" s="220" customFormat="1" ht="13.5" customHeight="1">
      <c r="A46" s="888" t="s">
        <v>791</v>
      </c>
      <c r="B46" s="254" t="s">
        <v>2175</v>
      </c>
      <c r="C46" s="255">
        <f ca="1">ROUND((C33+C39)*F27,0)</f>
        <v>13696</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105742</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94110</v>
      </c>
      <c r="D51" s="238"/>
      <c r="E51" s="238"/>
      <c r="F51" s="270"/>
      <c r="G51" s="240" t="s">
        <v>2186</v>
      </c>
    </row>
    <row r="52" spans="1:7" s="214" customFormat="1" ht="16.5" thickBot="1">
      <c r="A52" s="271" t="s">
        <v>2187</v>
      </c>
      <c r="B52" s="272"/>
      <c r="C52" s="273">
        <f ca="1">C31+C51</f>
        <v>390754</v>
      </c>
      <c r="D52" s="272"/>
      <c r="E52" s="272"/>
      <c r="F52" s="272"/>
      <c r="G52" s="274"/>
    </row>
    <row r="55" spans="1:7" ht="15">
      <c r="B55" s="276" t="s">
        <v>2188</v>
      </c>
      <c r="C55" s="277"/>
    </row>
    <row r="56" spans="1:7">
      <c r="B56" s="279" t="s">
        <v>1418</v>
      </c>
      <c r="C56" s="281">
        <f ca="1">1-C57</f>
        <v>0.75900000000000001</v>
      </c>
    </row>
    <row r="57" spans="1:7">
      <c r="B57" s="279" t="s">
        <v>1419</v>
      </c>
      <c r="C57" s="280">
        <f ca="1">ROUND(C51/C52,3)</f>
        <v>0.24099999999999999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105516</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5002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40081651</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40081651</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2106</v>
      </c>
      <c r="C10" s="231">
        <f ca="1">ROUND(D10*E10,0)</f>
        <v>40081651</v>
      </c>
      <c r="D10" s="954">
        <f ca="1">IF(B1="",'数据-汇总表'!E6,IF(INDIRECT("'数据-取费表'!c"&amp;$G$1)="住宅",INDIRECT("'数据-取费表'!s"&amp;$G$1),INDIRECT("'数据-取费表'!k"&amp;$G$1)+INDIRECT("'数据-取费表'!s"&amp;$G$1)))</f>
        <v>210956.06</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42191212</v>
      </c>
      <c r="D19" s="958">
        <f ca="1">D9+D10</f>
        <v>210956.06</v>
      </c>
      <c r="E19" s="217">
        <f>'数据-取费表'!B31</f>
        <v>200</v>
      </c>
      <c r="F19" s="237"/>
      <c r="G19" s="2011"/>
    </row>
    <row r="20" spans="1:7" s="220" customFormat="1" ht="13.5" customHeight="1">
      <c r="A20" s="261" t="s">
        <v>2200</v>
      </c>
      <c r="B20" s="216" t="s">
        <v>2201</v>
      </c>
      <c r="C20" s="238">
        <f ca="1">ROUND((C5+C19)*F20,0)</f>
        <v>1645457</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7125159</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3437563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3618487</v>
      </c>
      <c r="D24" s="244"/>
      <c r="E24" s="244"/>
      <c r="F24" s="245"/>
      <c r="G24" s="246" t="s">
        <v>2212</v>
      </c>
    </row>
    <row r="25" spans="1:7" s="220" customFormat="1" ht="24">
      <c r="A25" s="888" t="s">
        <v>2102</v>
      </c>
      <c r="B25" s="221" t="s">
        <v>2213</v>
      </c>
      <c r="C25" s="1262">
        <f ca="1">ROUND(IF('数据-取费表'!B22&lt;=1,C20*F22*'数据-取费表'!B22/2,C20*(POWER((1+F22),'数据-取费表'!B22/2)-1)),0)</f>
        <v>69109</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14266114</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ROUND((C5+C19+C20)*F27,0)</f>
        <v>14266114</v>
      </c>
      <c r="D28" s="241"/>
      <c r="E28" s="242"/>
      <c r="F28" s="252"/>
      <c r="G28" s="253"/>
    </row>
    <row r="29" spans="1:7" s="220" customFormat="1" ht="13.5" customHeight="1">
      <c r="A29" s="888"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114045476</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789838037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715451507</v>
      </c>
      <c r="D34" s="223"/>
      <c r="E34" s="226"/>
      <c r="F34" s="263"/>
      <c r="G34" s="225"/>
    </row>
    <row r="35" spans="1:7" ht="13.5" customHeight="1">
      <c r="A35" s="888" t="s">
        <v>796</v>
      </c>
      <c r="B35" s="221" t="s">
        <v>2153</v>
      </c>
      <c r="C35" s="226">
        <f ca="1">ROUND(C34*F35,0)</f>
        <v>21463545</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42191212</v>
      </c>
      <c r="D37" s="223">
        <f ca="1">D19</f>
        <v>210956.06</v>
      </c>
      <c r="E37" s="255">
        <f>'数据-取费表'!B35</f>
        <v>200</v>
      </c>
      <c r="F37" s="265"/>
      <c r="G37" s="267"/>
    </row>
    <row r="38" spans="1:7" ht="13.5" customHeight="1">
      <c r="A38" s="888" t="s">
        <v>799</v>
      </c>
      <c r="B38" s="221" t="s">
        <v>2159</v>
      </c>
      <c r="C38" s="226">
        <f ca="1">ROUND(C34*F38,0)</f>
        <v>10731773</v>
      </c>
      <c r="D38" s="226"/>
      <c r="E38" s="226"/>
      <c r="F38" s="265">
        <f>'数据-取费表'!B36</f>
        <v>1.4999999999999999E-2</v>
      </c>
      <c r="G38" s="225" t="s">
        <v>2154</v>
      </c>
    </row>
    <row r="39" spans="1:7" s="220" customFormat="1" ht="13.5" customHeight="1">
      <c r="A39" s="261" t="s">
        <v>2160</v>
      </c>
      <c r="B39" s="216" t="s">
        <v>2161</v>
      </c>
      <c r="C39" s="238">
        <f ca="1">ROUND(C33*F20,0)</f>
        <v>15796761</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33836662</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33173198</v>
      </c>
      <c r="D42" s="244"/>
      <c r="E42" s="244"/>
      <c r="F42" s="245"/>
      <c r="G42" s="3411" t="s">
        <v>2217</v>
      </c>
    </row>
    <row r="43" spans="1:7" ht="13.5" customHeight="1">
      <c r="A43" s="888" t="s">
        <v>792</v>
      </c>
      <c r="B43" s="221" t="s">
        <v>2171</v>
      </c>
      <c r="C43" s="244">
        <f ca="1">ROUND(IF('数据-取费表'!B22&lt;=1,C39*F22*'数据-取费表'!B20/2,C39*(POWER((1+F22),'数据-取费表'!B20/2)-1)),0)</f>
        <v>663464</v>
      </c>
      <c r="D43" s="244"/>
      <c r="E43" s="244"/>
      <c r="F43" s="245"/>
      <c r="G43" s="3412"/>
    </row>
    <row r="44" spans="1:7" ht="13.5" customHeight="1">
      <c r="A44" s="888" t="s">
        <v>793</v>
      </c>
      <c r="B44" s="221" t="s">
        <v>2172</v>
      </c>
      <c r="C44" s="244">
        <f ca="1">ROUND(IF('数据-取费表'!B22&lt;=1,C40*F22*'数据-取费表'!B20/2,C40*(POWER((1+F22),'数据-取费表'!B20/2)-1)),4)</f>
        <v>8.0000000000000004E-4</v>
      </c>
      <c r="D44" s="244"/>
      <c r="E44" s="244"/>
      <c r="F44" s="245"/>
      <c r="G44" s="3413"/>
    </row>
    <row r="45" spans="1:7" s="220" customFormat="1" ht="13.5" customHeight="1">
      <c r="A45" s="261" t="s">
        <v>2173</v>
      </c>
      <c r="B45" s="250" t="s">
        <v>2139</v>
      </c>
      <c r="C45" s="251">
        <f ca="1">C46</f>
        <v>136957916</v>
      </c>
      <c r="D45" s="241">
        <f ca="1">C47</f>
        <v>3.3999999999999998E-3</v>
      </c>
      <c r="E45" s="242" t="s">
        <v>2165</v>
      </c>
      <c r="F45" s="2506">
        <f ca="1">F27</f>
        <v>0.17</v>
      </c>
      <c r="G45" s="253" t="s">
        <v>2174</v>
      </c>
    </row>
    <row r="46" spans="1:7" s="220" customFormat="1" ht="13.5" customHeight="1">
      <c r="A46" s="888" t="s">
        <v>791</v>
      </c>
      <c r="B46" s="254" t="s">
        <v>2175</v>
      </c>
      <c r="C46" s="255">
        <f ca="1">ROUND((C33+C39)*F27,0)</f>
        <v>136957916</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1057428391</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941111268</v>
      </c>
      <c r="D51" s="238"/>
      <c r="E51" s="238"/>
      <c r="F51" s="270"/>
      <c r="G51" s="240" t="s">
        <v>2186</v>
      </c>
    </row>
    <row r="52" spans="1:7" s="214" customFormat="1" ht="16.5" thickBot="1">
      <c r="A52" s="271" t="s">
        <v>2187</v>
      </c>
      <c r="B52" s="272"/>
      <c r="C52" s="273">
        <f ca="1">C31+C51</f>
        <v>1055156744</v>
      </c>
      <c r="D52" s="272"/>
      <c r="E52" s="272"/>
      <c r="F52" s="272"/>
      <c r="G52" s="274"/>
    </row>
    <row r="55" spans="1:7" ht="15">
      <c r="B55" s="276" t="s">
        <v>2188</v>
      </c>
      <c r="C55" s="277"/>
    </row>
    <row r="56" spans="1:7">
      <c r="B56" s="279" t="s">
        <v>1418</v>
      </c>
      <c r="C56" s="281">
        <f ca="1">1-C57</f>
        <v>0.10799999999999998</v>
      </c>
    </row>
    <row r="57" spans="1:7">
      <c r="B57" s="279" t="s">
        <v>1419</v>
      </c>
      <c r="C57" s="280">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210956.06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210956.06</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150</v>
      </c>
      <c r="F19" s="913"/>
      <c r="G19" s="15"/>
      <c r="H19" s="1322"/>
      <c r="I19" s="918"/>
      <c r="J19" s="918"/>
      <c r="K19" s="919"/>
    </row>
    <row r="20" spans="1:33" s="912" customFormat="1" ht="13.5" customHeight="1">
      <c r="A20" s="908" t="s">
        <v>806</v>
      </c>
      <c r="B20" s="909" t="s">
        <v>2256</v>
      </c>
      <c r="C20" s="24">
        <f ca="1">ROUND(D20*E20/10000,0)</f>
        <v>4008</v>
      </c>
      <c r="D20" s="955">
        <f ca="1">IF(C1="",'数据-汇总表'!E6,IF(INDIRECT("'数据-取费表'!c"&amp;$K$1)="住宅",INDIRECT("'数据-取费表'!s"&amp;$K$1),INDIRECT("'数据-取费表'!k"&amp;$K$1)+INDIRECT("'数据-取费表'!s"&amp;$K$1)))</f>
        <v>210956.06</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08" t="s">
        <v>1308</v>
      </c>
      <c r="C6" s="1206">
        <f ca="1">ROUND(F6*F8*F7*(1-F9),0)</f>
        <v>0</v>
      </c>
      <c r="D6" s="160" t="s">
        <v>2786</v>
      </c>
      <c r="E6" s="308" t="s">
        <v>1310</v>
      </c>
      <c r="F6" s="309">
        <f ca="1">INDIRECT("'数据-取费表'!u"&amp;$G$1)</f>
        <v>0</v>
      </c>
      <c r="G6" s="1537"/>
      <c r="H6" s="1201" t="s">
        <v>1003</v>
      </c>
      <c r="I6" s="3408" t="s">
        <v>1308</v>
      </c>
      <c r="J6" s="307">
        <f ca="1">ROUND(M6*M8*M7*(1-M9),0)</f>
        <v>0</v>
      </c>
      <c r="K6" s="1529" t="s">
        <v>2787</v>
      </c>
      <c r="L6" s="308" t="s">
        <v>1310</v>
      </c>
      <c r="M6" s="309">
        <f ca="1">INDIRECT("'数据-取费表'!z"&amp;$G$1)</f>
        <v>0</v>
      </c>
    </row>
    <row r="7" spans="1:37" ht="18" customHeight="1">
      <c r="A7" s="1205"/>
      <c r="B7" s="3409"/>
      <c r="C7" s="1207"/>
      <c r="D7" s="313"/>
      <c r="E7" s="1208" t="s">
        <v>1311</v>
      </c>
      <c r="F7" s="309">
        <f ca="1">IF(INDIRECT("'数据-取费表'!ah"&amp;$G$1)="",INDIRECT("'数据-取费表'!k"&amp;$G$1),INDIRECT("'数据-取费表'!ah"&amp;$G$1))</f>
        <v>0</v>
      </c>
      <c r="G7" s="1537"/>
      <c r="H7" s="310"/>
      <c r="I7" s="3409"/>
      <c r="J7" s="312"/>
      <c r="K7" s="313"/>
      <c r="L7" s="308" t="s">
        <v>1311</v>
      </c>
      <c r="M7" s="309">
        <f ca="1">F7</f>
        <v>0</v>
      </c>
    </row>
    <row r="8" spans="1:37" ht="18" customHeight="1">
      <c r="A8" s="310"/>
      <c r="B8" s="3409"/>
      <c r="C8" s="312"/>
      <c r="D8" s="313"/>
      <c r="E8" s="308" t="s">
        <v>1312</v>
      </c>
      <c r="F8" s="309">
        <f ca="1">INDIRECT("'数据-取费表'!ai"&amp;$G$1)</f>
        <v>0</v>
      </c>
      <c r="G8" s="1537"/>
      <c r="H8" s="310"/>
      <c r="I8" s="3409"/>
      <c r="J8" s="312"/>
      <c r="K8" s="313"/>
      <c r="L8" s="308" t="s">
        <v>1312</v>
      </c>
      <c r="M8" s="309">
        <f ca="1">INDIRECT("'数据-取费表'!ai"&amp;$G$1)</f>
        <v>0</v>
      </c>
    </row>
    <row r="9" spans="1:37" ht="18" customHeight="1">
      <c r="A9" s="310"/>
      <c r="B9" s="3410"/>
      <c r="C9" s="312"/>
      <c r="D9" s="313"/>
      <c r="E9" s="308" t="s">
        <v>1313</v>
      </c>
      <c r="F9" s="318">
        <f ca="1">INDIRECT("'数据-取费表'!w"&amp;$G$1)</f>
        <v>0</v>
      </c>
      <c r="G9" s="1537"/>
      <c r="H9" s="310"/>
      <c r="I9" s="3410"/>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406" t="s">
        <v>1453</v>
      </c>
      <c r="L53" s="3407"/>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420" t="s">
        <v>3006</v>
      </c>
      <c r="K2" s="3421"/>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22" t="s">
        <v>3016</v>
      </c>
      <c r="K3" s="3423"/>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22" t="s">
        <v>3018</v>
      </c>
      <c r="K4" s="3423"/>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28" t="s">
        <v>3022</v>
      </c>
      <c r="B6" s="3429"/>
      <c r="C6" s="3430"/>
      <c r="D6" s="3070"/>
      <c r="E6" s="3071"/>
      <c r="F6" s="3072"/>
      <c r="G6" s="3073"/>
      <c r="H6" s="3048"/>
      <c r="I6" s="3049"/>
      <c r="J6" s="3414">
        <v>1</v>
      </c>
      <c r="K6" s="3415"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14"/>
      <c r="K7" s="3416"/>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31" t="s">
        <v>3036</v>
      </c>
      <c r="C8" s="3432"/>
      <c r="D8" s="3089" t="s">
        <v>3037</v>
      </c>
      <c r="E8" s="3090" t="s">
        <v>3038</v>
      </c>
      <c r="F8" s="3091" t="s">
        <v>3039</v>
      </c>
      <c r="G8" s="3092"/>
      <c r="H8" s="3048"/>
      <c r="I8" s="3049"/>
      <c r="J8" s="3414"/>
      <c r="K8" s="3416"/>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31" t="s">
        <v>3042</v>
      </c>
      <c r="C9" s="3432"/>
      <c r="D9" s="3089">
        <f>ROUND(D6*E9,0)</f>
        <v>0</v>
      </c>
      <c r="E9" s="3093"/>
      <c r="F9" s="3094" t="s">
        <v>3043</v>
      </c>
      <c r="G9" s="3073"/>
      <c r="H9" s="3048"/>
      <c r="I9" s="3049"/>
      <c r="J9" s="3414"/>
      <c r="K9" s="3416"/>
      <c r="L9" s="3083" t="s">
        <v>3044</v>
      </c>
      <c r="M9" s="3084"/>
      <c r="N9" s="3060"/>
      <c r="O9" s="3085"/>
      <c r="P9" s="3085"/>
      <c r="Q9" s="3086">
        <v>365</v>
      </c>
      <c r="R9" s="3087">
        <f t="shared" si="0"/>
        <v>0</v>
      </c>
      <c r="S9" s="3041"/>
      <c r="T9" s="3041"/>
      <c r="U9" s="3041"/>
      <c r="V9" s="3049"/>
    </row>
    <row r="10" spans="1:22" s="3053" customFormat="1" ht="13.15" customHeight="1">
      <c r="A10" s="3088">
        <v>2</v>
      </c>
      <c r="B10" s="3431" t="s">
        <v>3045</v>
      </c>
      <c r="C10" s="3432"/>
      <c r="D10" s="3089">
        <f>ROUND(D6*E10,0)</f>
        <v>0</v>
      </c>
      <c r="E10" s="3093"/>
      <c r="F10" s="3094" t="s">
        <v>3046</v>
      </c>
      <c r="G10" s="3073"/>
      <c r="H10" s="3048"/>
      <c r="I10" s="3049"/>
      <c r="J10" s="3414"/>
      <c r="K10" s="3416"/>
      <c r="L10" s="3083" t="s">
        <v>3047</v>
      </c>
      <c r="M10" s="3084"/>
      <c r="N10" s="3060"/>
      <c r="O10" s="3085"/>
      <c r="P10" s="3085"/>
      <c r="Q10" s="3086">
        <v>365</v>
      </c>
      <c r="R10" s="3087">
        <f t="shared" si="0"/>
        <v>0</v>
      </c>
      <c r="S10" s="3041"/>
      <c r="T10" s="3041"/>
      <c r="U10" s="3041"/>
      <c r="V10" s="3049"/>
    </row>
    <row r="11" spans="1:22" s="3053" customFormat="1" ht="13.15" customHeight="1">
      <c r="A11" s="3088">
        <v>3</v>
      </c>
      <c r="B11" s="3431" t="s">
        <v>3048</v>
      </c>
      <c r="C11" s="3432"/>
      <c r="D11" s="3089">
        <f>D12+D14+D15+D16</f>
        <v>0</v>
      </c>
      <c r="E11" s="3095" t="e">
        <f>D11/D6</f>
        <v>#DIV/0!</v>
      </c>
      <c r="F11" s="3091"/>
      <c r="G11" s="3092"/>
      <c r="H11" s="3048"/>
      <c r="I11" s="3049"/>
      <c r="J11" s="3414"/>
      <c r="K11" s="3416"/>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24" t="s">
        <v>3051</v>
      </c>
      <c r="C12" s="3425"/>
      <c r="D12" s="3097">
        <f>ROUND(D13*1.2%*(1-30%),0)</f>
        <v>0</v>
      </c>
      <c r="E12" s="3098">
        <v>1.2E-2</v>
      </c>
      <c r="F12" s="3091" t="s">
        <v>3052</v>
      </c>
      <c r="G12" s="3092"/>
      <c r="H12" s="3048"/>
      <c r="I12" s="3049"/>
      <c r="J12" s="3414"/>
      <c r="K12" s="3416"/>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14"/>
      <c r="K13" s="3416"/>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24" t="s">
        <v>3057</v>
      </c>
      <c r="C14" s="3425"/>
      <c r="D14" s="3097">
        <f>ROUND(E14*B5/10000,0)</f>
        <v>0</v>
      </c>
      <c r="E14" s="3086"/>
      <c r="F14" s="3091" t="s">
        <v>3058</v>
      </c>
      <c r="G14" s="3092"/>
      <c r="H14" s="3048"/>
      <c r="I14" s="3049"/>
      <c r="J14" s="3414"/>
      <c r="K14" s="3417"/>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24" t="s">
        <v>3061</v>
      </c>
      <c r="C15" s="3425"/>
      <c r="D15" s="3097">
        <f>ROUND(D6*E15,0)</f>
        <v>0</v>
      </c>
      <c r="E15" s="3098">
        <v>5.5E-2</v>
      </c>
      <c r="F15" s="3091" t="s">
        <v>3062</v>
      </c>
      <c r="G15" s="3073"/>
      <c r="H15" s="3048"/>
      <c r="I15" s="3049"/>
      <c r="J15" s="3414">
        <v>2</v>
      </c>
      <c r="K15" s="3415"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24" t="s">
        <v>3070</v>
      </c>
      <c r="C16" s="3425"/>
      <c r="D16" s="3108">
        <f>D6*E16</f>
        <v>0</v>
      </c>
      <c r="E16" s="3109"/>
      <c r="F16" s="3094" t="s">
        <v>3071</v>
      </c>
      <c r="G16" s="3073"/>
      <c r="H16" s="3048"/>
      <c r="I16" s="3049"/>
      <c r="J16" s="3414"/>
      <c r="K16" s="3416"/>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26" t="s">
        <v>3073</v>
      </c>
      <c r="C17" s="3427"/>
      <c r="D17" s="3111">
        <f>ROUND(D6*E17,0)</f>
        <v>0</v>
      </c>
      <c r="E17" s="3112"/>
      <c r="F17" s="3113" t="s">
        <v>3074</v>
      </c>
      <c r="G17" s="3073"/>
      <c r="H17" s="3048"/>
      <c r="I17" s="3049"/>
      <c r="J17" s="3414"/>
      <c r="K17" s="3416"/>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14"/>
      <c r="K18" s="3416"/>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14"/>
      <c r="K19" s="3417"/>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14">
        <v>3</v>
      </c>
      <c r="K20" s="3415"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14"/>
      <c r="K21" s="3416"/>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14"/>
      <c r="K22" s="3416"/>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14"/>
      <c r="K23" s="3416"/>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14"/>
      <c r="K24" s="3417"/>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18">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19"/>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20" t="s">
        <v>3006</v>
      </c>
      <c r="K32" s="3421"/>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22" t="s">
        <v>3016</v>
      </c>
      <c r="K33" s="3423"/>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22" t="s">
        <v>3018</v>
      </c>
      <c r="K34" s="3423"/>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14">
        <v>1</v>
      </c>
      <c r="K36" s="3415"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14"/>
      <c r="K37" s="3416"/>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14"/>
      <c r="K38" s="3416"/>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14"/>
      <c r="K39" s="3416"/>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14"/>
      <c r="K40" s="3417"/>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18">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19"/>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249279</v>
      </c>
      <c r="C2" s="2027" t="s">
        <v>2280</v>
      </c>
      <c r="D2" s="2028" t="s">
        <v>2281</v>
      </c>
      <c r="E2" s="2802">
        <f>SUM(E6:E13)</f>
        <v>210956.06</v>
      </c>
      <c r="F2" s="2905"/>
      <c r="G2" s="1643"/>
      <c r="H2" s="1643"/>
      <c r="I2" s="1643"/>
      <c r="J2" s="1643"/>
      <c r="K2" s="1643"/>
      <c r="L2" s="1643"/>
      <c r="M2" s="1643"/>
      <c r="N2" s="1643"/>
      <c r="O2" s="1643"/>
      <c r="P2" s="1643"/>
      <c r="Q2" s="1643"/>
      <c r="R2" s="1643"/>
      <c r="S2" s="1643"/>
    </row>
    <row r="3" spans="1:22" ht="15.75">
      <c r="A3" s="2025" t="s">
        <v>1300</v>
      </c>
      <c r="B3" s="2796">
        <f ca="1">ROUND(B2*10000/E2,0)</f>
        <v>11817</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33" t="s">
        <v>2283</v>
      </c>
      <c r="C5" s="3434"/>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249279</v>
      </c>
      <c r="C6" s="2027" t="s">
        <v>2280</v>
      </c>
      <c r="D6" s="2907"/>
      <c r="E6" s="2801">
        <f>IF(OR(A6=0,F6="否"),0,'数据-取费表'!K6+'数据-取费表'!S6)</f>
        <v>210956.06</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210956.06</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53" t="s">
        <v>2297</v>
      </c>
      <c r="D4" s="3454"/>
      <c r="E4" s="3455" t="s">
        <v>2298</v>
      </c>
      <c r="F4" s="3456"/>
      <c r="G4" s="3453" t="s">
        <v>2299</v>
      </c>
      <c r="H4" s="3454"/>
      <c r="I4" s="3453" t="s">
        <v>2300</v>
      </c>
      <c r="J4" s="3454"/>
      <c r="K4" s="2044" t="s">
        <v>2301</v>
      </c>
      <c r="L4" s="2913"/>
      <c r="M4" s="2914"/>
      <c r="N4" s="2914"/>
      <c r="O4" s="2914"/>
      <c r="P4" s="3457" t="s">
        <v>2302</v>
      </c>
      <c r="Q4" s="3458"/>
      <c r="R4" s="3463" t="s">
        <v>2298</v>
      </c>
      <c r="S4" s="3464"/>
      <c r="T4" s="3463" t="s">
        <v>2299</v>
      </c>
      <c r="U4" s="3464"/>
      <c r="V4" s="3469" t="s">
        <v>2300</v>
      </c>
      <c r="W4" s="3469"/>
      <c r="X4" s="1508"/>
      <c r="Y4" s="3463" t="s">
        <v>2302</v>
      </c>
      <c r="Z4" s="3464"/>
      <c r="AA4" s="3450" t="s">
        <v>2298</v>
      </c>
      <c r="AB4" s="3450" t="s">
        <v>2299</v>
      </c>
      <c r="AC4" s="3450" t="s">
        <v>2300</v>
      </c>
    </row>
    <row r="5" spans="1:29" ht="15">
      <c r="A5" s="364"/>
      <c r="B5" s="365"/>
      <c r="C5" s="3472" t="s">
        <v>2303</v>
      </c>
      <c r="D5" s="3473"/>
      <c r="E5" s="3479" t="s">
        <v>2304</v>
      </c>
      <c r="F5" s="3480"/>
      <c r="G5" s="3472" t="s">
        <v>2305</v>
      </c>
      <c r="H5" s="3473"/>
      <c r="I5" s="3472" t="s">
        <v>2306</v>
      </c>
      <c r="J5" s="3473"/>
      <c r="K5" s="2045"/>
      <c r="L5" s="2913"/>
      <c r="M5" s="2914"/>
      <c r="N5" s="2914"/>
      <c r="O5" s="2914"/>
      <c r="P5" s="3459"/>
      <c r="Q5" s="3460"/>
      <c r="R5" s="3465"/>
      <c r="S5" s="3466"/>
      <c r="T5" s="3465"/>
      <c r="U5" s="3466"/>
      <c r="V5" s="3469"/>
      <c r="W5" s="3469"/>
      <c r="X5" s="1508"/>
      <c r="Y5" s="3465"/>
      <c r="Z5" s="3466"/>
      <c r="AA5" s="3451"/>
      <c r="AB5" s="3451"/>
      <c r="AC5" s="3451"/>
    </row>
    <row r="6" spans="1:29" ht="15.75" thickBot="1">
      <c r="A6" s="366"/>
      <c r="B6" s="367"/>
      <c r="C6" s="3470" t="s">
        <v>2307</v>
      </c>
      <c r="D6" s="3471"/>
      <c r="E6" s="3477" t="s">
        <v>2307</v>
      </c>
      <c r="F6" s="3478"/>
      <c r="G6" s="3470" t="s">
        <v>2307</v>
      </c>
      <c r="H6" s="3471"/>
      <c r="I6" s="3470" t="s">
        <v>2307</v>
      </c>
      <c r="J6" s="3471"/>
      <c r="K6" s="2045" t="s">
        <v>2308</v>
      </c>
      <c r="L6" s="2913"/>
      <c r="M6" s="2914"/>
      <c r="N6" s="2914"/>
      <c r="O6" s="2914"/>
      <c r="P6" s="3461"/>
      <c r="Q6" s="3462"/>
      <c r="R6" s="3465"/>
      <c r="S6" s="3466"/>
      <c r="T6" s="3467"/>
      <c r="U6" s="3468"/>
      <c r="V6" s="3469"/>
      <c r="W6" s="3469"/>
      <c r="X6" s="1508"/>
      <c r="Y6" s="3467"/>
      <c r="Z6" s="3468"/>
      <c r="AA6" s="3452"/>
      <c r="AB6" s="3452"/>
      <c r="AC6" s="3452"/>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74" t="s">
        <v>2310</v>
      </c>
      <c r="Q7" s="3476"/>
      <c r="R7" s="710" t="s">
        <v>23</v>
      </c>
      <c r="S7" s="711">
        <f t="shared" ref="S7:S15" si="0">F7</f>
        <v>0</v>
      </c>
      <c r="T7" s="710" t="s">
        <v>23</v>
      </c>
      <c r="U7" s="711">
        <f t="shared" ref="U7:U15" si="1">H7</f>
        <v>0</v>
      </c>
      <c r="V7" s="710" t="s">
        <v>23</v>
      </c>
      <c r="W7" s="711">
        <f t="shared" ref="W7:W15" si="2">J7</f>
        <v>0</v>
      </c>
      <c r="X7" s="712"/>
      <c r="Y7" s="3474" t="s">
        <v>2310</v>
      </c>
      <c r="Z7" s="3475"/>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74" t="s">
        <v>2313</v>
      </c>
      <c r="Q8" s="3475"/>
      <c r="R8" s="710" t="s">
        <v>23</v>
      </c>
      <c r="S8" s="711">
        <f t="shared" si="0"/>
        <v>0</v>
      </c>
      <c r="T8" s="710" t="s">
        <v>23</v>
      </c>
      <c r="U8" s="711">
        <f t="shared" si="1"/>
        <v>0</v>
      </c>
      <c r="V8" s="710" t="s">
        <v>23</v>
      </c>
      <c r="W8" s="711">
        <f t="shared" si="2"/>
        <v>0</v>
      </c>
      <c r="X8" s="712"/>
      <c r="Y8" s="3474" t="s">
        <v>2313</v>
      </c>
      <c r="Z8" s="3475"/>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49" t="s">
        <v>2316</v>
      </c>
      <c r="Q9" s="1496"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49"/>
      <c r="Q10" s="1496"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49"/>
      <c r="Q11" s="1496" t="str">
        <f t="shared" si="6"/>
        <v>容积率</v>
      </c>
      <c r="R11" s="710" t="s">
        <v>21</v>
      </c>
      <c r="S11" s="711" t="e">
        <f t="shared" si="0"/>
        <v>#N/A</v>
      </c>
      <c r="T11" s="710" t="s">
        <v>21</v>
      </c>
      <c r="U11" s="711" t="e">
        <f t="shared" si="1"/>
        <v>#N/A</v>
      </c>
      <c r="V11" s="710" t="s">
        <v>21</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49"/>
      <c r="Q12" s="1496">
        <f t="shared" si="6"/>
        <v>111</v>
      </c>
      <c r="R12" s="710" t="s">
        <v>21</v>
      </c>
      <c r="S12" s="711">
        <f t="shared" si="0"/>
        <v>100</v>
      </c>
      <c r="T12" s="710" t="s">
        <v>21</v>
      </c>
      <c r="U12" s="711">
        <f t="shared" si="1"/>
        <v>100</v>
      </c>
      <c r="V12" s="710" t="s">
        <v>21</v>
      </c>
      <c r="W12" s="711">
        <f t="shared" si="2"/>
        <v>100</v>
      </c>
      <c r="X12" s="712"/>
      <c r="Y12" s="3310"/>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49"/>
      <c r="Q13" s="1496">
        <f t="shared" si="6"/>
        <v>111</v>
      </c>
      <c r="R13" s="710" t="s">
        <v>21</v>
      </c>
      <c r="S13" s="711">
        <f t="shared" si="0"/>
        <v>100</v>
      </c>
      <c r="T13" s="710" t="s">
        <v>21</v>
      </c>
      <c r="U13" s="711">
        <f t="shared" si="1"/>
        <v>100</v>
      </c>
      <c r="V13" s="710" t="s">
        <v>21</v>
      </c>
      <c r="W13" s="711">
        <f t="shared" si="2"/>
        <v>100</v>
      </c>
      <c r="X13" s="712"/>
      <c r="Y13" s="3310"/>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49"/>
      <c r="Q14" s="1496">
        <f t="shared" si="6"/>
        <v>111</v>
      </c>
      <c r="R14" s="710" t="s">
        <v>21</v>
      </c>
      <c r="S14" s="711">
        <f t="shared" si="0"/>
        <v>100</v>
      </c>
      <c r="T14" s="710" t="s">
        <v>21</v>
      </c>
      <c r="U14" s="711">
        <f t="shared" si="1"/>
        <v>100</v>
      </c>
      <c r="V14" s="710" t="s">
        <v>21</v>
      </c>
      <c r="W14" s="711">
        <f t="shared" si="2"/>
        <v>100</v>
      </c>
      <c r="X14" s="712"/>
      <c r="Y14" s="3310"/>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47" t="s">
        <v>2321</v>
      </c>
      <c r="Q15" s="1505" t="str">
        <f t="shared" si="6"/>
        <v>居住社区成熟度</v>
      </c>
      <c r="R15" s="714" t="s">
        <v>21</v>
      </c>
      <c r="S15" s="715">
        <f t="shared" si="0"/>
        <v>100</v>
      </c>
      <c r="T15" s="714" t="s">
        <v>21</v>
      </c>
      <c r="U15" s="715">
        <f t="shared" si="1"/>
        <v>100</v>
      </c>
      <c r="V15" s="714" t="s">
        <v>21</v>
      </c>
      <c r="W15" s="715">
        <f t="shared" si="2"/>
        <v>100</v>
      </c>
      <c r="X15" s="1508"/>
      <c r="Y15" s="3440"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48"/>
      <c r="Q16" s="1505"/>
      <c r="R16" s="714"/>
      <c r="S16" s="715"/>
      <c r="T16" s="714"/>
      <c r="U16" s="715"/>
      <c r="V16" s="714"/>
      <c r="W16" s="715"/>
      <c r="X16" s="1508"/>
      <c r="Y16" s="3441"/>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48"/>
      <c r="Q17" s="1505" t="str">
        <f>B17</f>
        <v>交通便捷度</v>
      </c>
      <c r="R17" s="714" t="s">
        <v>21</v>
      </c>
      <c r="S17" s="715">
        <f>F17</f>
        <v>100</v>
      </c>
      <c r="T17" s="714" t="s">
        <v>21</v>
      </c>
      <c r="U17" s="715">
        <f>H17</f>
        <v>100</v>
      </c>
      <c r="V17" s="714" t="s">
        <v>21</v>
      </c>
      <c r="W17" s="715">
        <f>J17</f>
        <v>100</v>
      </c>
      <c r="X17" s="1508"/>
      <c r="Y17" s="3441"/>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48"/>
      <c r="Q18" s="1505"/>
      <c r="R18" s="714"/>
      <c r="S18" s="715"/>
      <c r="T18" s="714"/>
      <c r="U18" s="715"/>
      <c r="V18" s="714"/>
      <c r="W18" s="715"/>
      <c r="X18" s="1508"/>
      <c r="Y18" s="3441"/>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48"/>
      <c r="Q19" s="1505" t="str">
        <f>B19</f>
        <v>公共配套设施</v>
      </c>
      <c r="R19" s="714" t="s">
        <v>21</v>
      </c>
      <c r="S19" s="715">
        <f>F19</f>
        <v>100</v>
      </c>
      <c r="T19" s="714" t="s">
        <v>21</v>
      </c>
      <c r="U19" s="715">
        <f>H19</f>
        <v>100</v>
      </c>
      <c r="V19" s="714" t="s">
        <v>21</v>
      </c>
      <c r="W19" s="715">
        <f>J19</f>
        <v>100</v>
      </c>
      <c r="X19" s="1508"/>
      <c r="Y19" s="3441"/>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48"/>
      <c r="Q20" s="1505"/>
      <c r="R20" s="714"/>
      <c r="S20" s="715"/>
      <c r="T20" s="714"/>
      <c r="U20" s="715"/>
      <c r="V20" s="714"/>
      <c r="W20" s="715"/>
      <c r="X20" s="1508"/>
      <c r="Y20" s="3441"/>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48"/>
      <c r="Q21" s="1505" t="str">
        <f>B21</f>
        <v>基础设施水平</v>
      </c>
      <c r="R21" s="714" t="s">
        <v>17</v>
      </c>
      <c r="S21" s="715">
        <f>F21</f>
        <v>100</v>
      </c>
      <c r="T21" s="714" t="s">
        <v>17</v>
      </c>
      <c r="U21" s="715">
        <f>H21</f>
        <v>100</v>
      </c>
      <c r="V21" s="714" t="s">
        <v>17</v>
      </c>
      <c r="W21" s="715">
        <f>J21</f>
        <v>100</v>
      </c>
      <c r="X21" s="1508"/>
      <c r="Y21" s="3441"/>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48"/>
      <c r="Q22" s="1505"/>
      <c r="R22" s="714"/>
      <c r="S22" s="715"/>
      <c r="T22" s="714"/>
      <c r="U22" s="715"/>
      <c r="V22" s="714"/>
      <c r="W22" s="715"/>
      <c r="X22" s="1508"/>
      <c r="Y22" s="3441"/>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48"/>
      <c r="Q23" s="1505" t="str">
        <f>B23</f>
        <v>自然及人文环境</v>
      </c>
      <c r="R23" s="714" t="s">
        <v>21</v>
      </c>
      <c r="S23" s="715">
        <f>F23</f>
        <v>100</v>
      </c>
      <c r="T23" s="714" t="s">
        <v>21</v>
      </c>
      <c r="U23" s="715">
        <f>H23</f>
        <v>100</v>
      </c>
      <c r="V23" s="714" t="s">
        <v>21</v>
      </c>
      <c r="W23" s="715">
        <f>J23</f>
        <v>100</v>
      </c>
      <c r="X23" s="1508"/>
      <c r="Y23" s="3441"/>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48"/>
      <c r="Q24" s="1505"/>
      <c r="R24" s="714"/>
      <c r="S24" s="715"/>
      <c r="T24" s="714"/>
      <c r="U24" s="715"/>
      <c r="V24" s="714"/>
      <c r="W24" s="715"/>
      <c r="X24" s="1508"/>
      <c r="Y24" s="3441"/>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48"/>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41"/>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48"/>
      <c r="Q26" s="1505" t="str">
        <f t="shared" si="11"/>
        <v>朝向</v>
      </c>
      <c r="R26" s="714" t="s">
        <v>21</v>
      </c>
      <c r="S26" s="715">
        <f t="shared" si="12"/>
        <v>100</v>
      </c>
      <c r="T26" s="714" t="s">
        <v>21</v>
      </c>
      <c r="U26" s="715">
        <f t="shared" si="13"/>
        <v>100</v>
      </c>
      <c r="V26" s="714" t="s">
        <v>21</v>
      </c>
      <c r="W26" s="715">
        <f t="shared" si="14"/>
        <v>100</v>
      </c>
      <c r="X26" s="1508"/>
      <c r="Y26" s="3441"/>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48"/>
      <c r="Q27" s="1496">
        <f t="shared" si="11"/>
        <v>111</v>
      </c>
      <c r="R27" s="710" t="s">
        <v>21</v>
      </c>
      <c r="S27" s="711">
        <f t="shared" si="12"/>
        <v>100</v>
      </c>
      <c r="T27" s="710" t="s">
        <v>21</v>
      </c>
      <c r="U27" s="711">
        <f t="shared" si="13"/>
        <v>100</v>
      </c>
      <c r="V27" s="710" t="s">
        <v>21</v>
      </c>
      <c r="W27" s="711">
        <f t="shared" si="14"/>
        <v>100</v>
      </c>
      <c r="X27" s="712"/>
      <c r="Y27" s="3441"/>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48"/>
      <c r="Q28" s="1505">
        <f t="shared" si="11"/>
        <v>111</v>
      </c>
      <c r="R28" s="714" t="s">
        <v>21</v>
      </c>
      <c r="S28" s="715">
        <f t="shared" si="12"/>
        <v>100</v>
      </c>
      <c r="T28" s="714" t="s">
        <v>21</v>
      </c>
      <c r="U28" s="715">
        <f t="shared" si="13"/>
        <v>100</v>
      </c>
      <c r="V28" s="714" t="s">
        <v>21</v>
      </c>
      <c r="W28" s="715">
        <f t="shared" si="14"/>
        <v>100</v>
      </c>
      <c r="X28" s="1508"/>
      <c r="Y28" s="3441"/>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48"/>
      <c r="Q29" s="1505">
        <f t="shared" si="11"/>
        <v>111</v>
      </c>
      <c r="R29" s="714" t="s">
        <v>21</v>
      </c>
      <c r="S29" s="715">
        <f t="shared" si="12"/>
        <v>100</v>
      </c>
      <c r="T29" s="714" t="s">
        <v>21</v>
      </c>
      <c r="U29" s="715">
        <f t="shared" si="13"/>
        <v>100</v>
      </c>
      <c r="V29" s="714" t="s">
        <v>21</v>
      </c>
      <c r="W29" s="715">
        <f t="shared" si="14"/>
        <v>100</v>
      </c>
      <c r="X29" s="1508"/>
      <c r="Y29" s="3441"/>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48"/>
      <c r="Q30" s="1505">
        <f t="shared" si="11"/>
        <v>111</v>
      </c>
      <c r="R30" s="714" t="s">
        <v>21</v>
      </c>
      <c r="S30" s="715">
        <f t="shared" si="12"/>
        <v>100</v>
      </c>
      <c r="T30" s="714" t="s">
        <v>21</v>
      </c>
      <c r="U30" s="715">
        <f t="shared" si="13"/>
        <v>100</v>
      </c>
      <c r="V30" s="714" t="s">
        <v>21</v>
      </c>
      <c r="W30" s="715">
        <f t="shared" si="14"/>
        <v>100</v>
      </c>
      <c r="X30" s="1508"/>
      <c r="Y30" s="3441"/>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48"/>
      <c r="Q31" s="1505">
        <f t="shared" si="11"/>
        <v>111</v>
      </c>
      <c r="R31" s="714" t="s">
        <v>21</v>
      </c>
      <c r="S31" s="715">
        <f t="shared" si="12"/>
        <v>100</v>
      </c>
      <c r="T31" s="714" t="s">
        <v>21</v>
      </c>
      <c r="U31" s="715">
        <f t="shared" si="13"/>
        <v>100</v>
      </c>
      <c r="V31" s="714" t="s">
        <v>21</v>
      </c>
      <c r="W31" s="715">
        <f t="shared" si="14"/>
        <v>100</v>
      </c>
      <c r="X31" s="1508"/>
      <c r="Y31" s="3441"/>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42" t="s">
        <v>2326</v>
      </c>
      <c r="Q32" s="1505" t="str">
        <f t="shared" si="11"/>
        <v>建筑类型</v>
      </c>
      <c r="R32" s="714" t="s">
        <v>21</v>
      </c>
      <c r="S32" s="715">
        <f t="shared" si="12"/>
        <v>100</v>
      </c>
      <c r="T32" s="714" t="s">
        <v>21</v>
      </c>
      <c r="U32" s="715">
        <f t="shared" si="13"/>
        <v>100</v>
      </c>
      <c r="V32" s="714" t="s">
        <v>21</v>
      </c>
      <c r="W32" s="715">
        <f t="shared" si="14"/>
        <v>100</v>
      </c>
      <c r="X32" s="1508"/>
      <c r="Y32" s="3445"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43"/>
      <c r="Q33" s="716" t="str">
        <f t="shared" si="11"/>
        <v>项目建筑规模</v>
      </c>
      <c r="R33" s="717" t="s">
        <v>21</v>
      </c>
      <c r="S33" s="718" t="e">
        <f t="shared" si="12"/>
        <v>#N/A</v>
      </c>
      <c r="T33" s="717" t="s">
        <v>21</v>
      </c>
      <c r="U33" s="718" t="e">
        <f t="shared" si="13"/>
        <v>#N/A</v>
      </c>
      <c r="V33" s="717" t="s">
        <v>21</v>
      </c>
      <c r="W33" s="718" t="e">
        <f t="shared" si="14"/>
        <v>#N/A</v>
      </c>
      <c r="X33" s="719"/>
      <c r="Y33" s="3445"/>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43"/>
      <c r="Q34" s="1505" t="str">
        <f t="shared" si="11"/>
        <v>建筑结构</v>
      </c>
      <c r="R34" s="714" t="s">
        <v>21</v>
      </c>
      <c r="S34" s="715">
        <f t="shared" si="12"/>
        <v>100</v>
      </c>
      <c r="T34" s="714" t="s">
        <v>21</v>
      </c>
      <c r="U34" s="715">
        <f t="shared" si="13"/>
        <v>100</v>
      </c>
      <c r="V34" s="714" t="s">
        <v>21</v>
      </c>
      <c r="W34" s="715">
        <f t="shared" si="14"/>
        <v>100</v>
      </c>
      <c r="X34" s="1508"/>
      <c r="Y34" s="3445"/>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43"/>
      <c r="Q35" s="1505" t="str">
        <f t="shared" si="11"/>
        <v>建筑品质</v>
      </c>
      <c r="R35" s="714" t="s">
        <v>21</v>
      </c>
      <c r="S35" s="715">
        <f t="shared" si="12"/>
        <v>100</v>
      </c>
      <c r="T35" s="714" t="s">
        <v>21</v>
      </c>
      <c r="U35" s="715">
        <f t="shared" si="13"/>
        <v>100</v>
      </c>
      <c r="V35" s="714" t="s">
        <v>21</v>
      </c>
      <c r="W35" s="715">
        <f t="shared" si="14"/>
        <v>100</v>
      </c>
      <c r="X35" s="1508"/>
      <c r="Y35" s="3445"/>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43"/>
      <c r="Q36" s="1505" t="str">
        <f t="shared" si="11"/>
        <v>公共部分装修</v>
      </c>
      <c r="R36" s="714" t="s">
        <v>21</v>
      </c>
      <c r="S36" s="715">
        <f t="shared" si="12"/>
        <v>100</v>
      </c>
      <c r="T36" s="714" t="s">
        <v>21</v>
      </c>
      <c r="U36" s="715">
        <f t="shared" si="13"/>
        <v>100</v>
      </c>
      <c r="V36" s="714" t="s">
        <v>21</v>
      </c>
      <c r="W36" s="715">
        <f t="shared" si="14"/>
        <v>100</v>
      </c>
      <c r="X36" s="1508"/>
      <c r="Y36" s="3445"/>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43"/>
      <c r="Q37" s="1496" t="str">
        <f t="shared" si="11"/>
        <v>成新度</v>
      </c>
      <c r="R37" s="710" t="s">
        <v>21</v>
      </c>
      <c r="S37" s="711" t="e">
        <f t="shared" si="12"/>
        <v>#N/A</v>
      </c>
      <c r="T37" s="710" t="s">
        <v>21</v>
      </c>
      <c r="U37" s="711" t="e">
        <f t="shared" si="13"/>
        <v>#N/A</v>
      </c>
      <c r="V37" s="710" t="s">
        <v>21</v>
      </c>
      <c r="W37" s="711" t="e">
        <f t="shared" si="14"/>
        <v>#N/A</v>
      </c>
      <c r="X37" s="712"/>
      <c r="Y37" s="3445"/>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43" t="s">
        <v>2326</v>
      </c>
      <c r="Q38" s="1505" t="str">
        <f t="shared" si="11"/>
        <v>物业管理</v>
      </c>
      <c r="R38" s="714" t="s">
        <v>21</v>
      </c>
      <c r="S38" s="715">
        <f t="shared" si="12"/>
        <v>100</v>
      </c>
      <c r="T38" s="714" t="s">
        <v>21</v>
      </c>
      <c r="U38" s="715">
        <f t="shared" si="13"/>
        <v>100</v>
      </c>
      <c r="V38" s="714" t="s">
        <v>21</v>
      </c>
      <c r="W38" s="715">
        <f t="shared" si="14"/>
        <v>100</v>
      </c>
      <c r="X38" s="1508"/>
      <c r="Y38" s="3445"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43"/>
      <c r="Q39" s="1505" t="str">
        <f t="shared" si="11"/>
        <v>市政基础设施</v>
      </c>
      <c r="R39" s="714" t="s">
        <v>21</v>
      </c>
      <c r="S39" s="715">
        <f t="shared" si="12"/>
        <v>100</v>
      </c>
      <c r="T39" s="714" t="s">
        <v>21</v>
      </c>
      <c r="U39" s="715">
        <f t="shared" si="13"/>
        <v>100</v>
      </c>
      <c r="V39" s="714" t="s">
        <v>21</v>
      </c>
      <c r="W39" s="715">
        <f t="shared" si="14"/>
        <v>100</v>
      </c>
      <c r="X39" s="1508"/>
      <c r="Y39" s="3445"/>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43"/>
      <c r="Q40" s="1505" t="str">
        <f t="shared" si="11"/>
        <v>房型</v>
      </c>
      <c r="R40" s="714" t="s">
        <v>21</v>
      </c>
      <c r="S40" s="715">
        <f t="shared" si="12"/>
        <v>100</v>
      </c>
      <c r="T40" s="714" t="s">
        <v>21</v>
      </c>
      <c r="U40" s="715">
        <f t="shared" si="13"/>
        <v>100</v>
      </c>
      <c r="V40" s="714" t="s">
        <v>21</v>
      </c>
      <c r="W40" s="715">
        <f t="shared" si="14"/>
        <v>100</v>
      </c>
      <c r="X40" s="1508"/>
      <c r="Y40" s="3445"/>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43"/>
      <c r="Q41" s="716" t="str">
        <f t="shared" si="11"/>
        <v>单套/主力户型建筑面积</v>
      </c>
      <c r="R41" s="717" t="s">
        <v>21</v>
      </c>
      <c r="S41" s="718">
        <f t="shared" si="12"/>
        <v>100</v>
      </c>
      <c r="T41" s="717" t="s">
        <v>21</v>
      </c>
      <c r="U41" s="718">
        <f t="shared" si="13"/>
        <v>100</v>
      </c>
      <c r="V41" s="717" t="s">
        <v>21</v>
      </c>
      <c r="W41" s="718">
        <f t="shared" si="14"/>
        <v>100</v>
      </c>
      <c r="X41" s="719"/>
      <c r="Y41" s="3445"/>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43"/>
      <c r="Q42" s="1505" t="str">
        <f t="shared" si="11"/>
        <v>内部装修</v>
      </c>
      <c r="R42" s="714" t="s">
        <v>21</v>
      </c>
      <c r="S42" s="715">
        <f t="shared" si="12"/>
        <v>100</v>
      </c>
      <c r="T42" s="714" t="s">
        <v>21</v>
      </c>
      <c r="U42" s="715">
        <f t="shared" si="13"/>
        <v>100</v>
      </c>
      <c r="V42" s="714" t="s">
        <v>21</v>
      </c>
      <c r="W42" s="715">
        <f t="shared" si="14"/>
        <v>100</v>
      </c>
      <c r="X42" s="1508"/>
      <c r="Y42" s="3445"/>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43"/>
      <c r="Q43" s="1505" t="str">
        <f t="shared" si="11"/>
        <v>内部装修维护情况</v>
      </c>
      <c r="R43" s="714" t="s">
        <v>21</v>
      </c>
      <c r="S43" s="715">
        <f t="shared" si="12"/>
        <v>100</v>
      </c>
      <c r="T43" s="714" t="s">
        <v>21</v>
      </c>
      <c r="U43" s="715">
        <f t="shared" si="13"/>
        <v>100</v>
      </c>
      <c r="V43" s="714" t="s">
        <v>21</v>
      </c>
      <c r="W43" s="715">
        <f t="shared" si="14"/>
        <v>100</v>
      </c>
      <c r="X43" s="1508"/>
      <c r="Y43" s="3445"/>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43"/>
      <c r="Q44" s="1496">
        <f t="shared" si="11"/>
        <v>111</v>
      </c>
      <c r="R44" s="710" t="s">
        <v>21</v>
      </c>
      <c r="S44" s="711">
        <f t="shared" si="12"/>
        <v>100</v>
      </c>
      <c r="T44" s="710" t="s">
        <v>21</v>
      </c>
      <c r="U44" s="711">
        <f t="shared" si="13"/>
        <v>100</v>
      </c>
      <c r="V44" s="710" t="s">
        <v>21</v>
      </c>
      <c r="W44" s="711">
        <f t="shared" si="14"/>
        <v>100</v>
      </c>
      <c r="X44" s="712"/>
      <c r="Y44" s="344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43"/>
      <c r="Q45" s="1505">
        <f t="shared" si="11"/>
        <v>111</v>
      </c>
      <c r="R45" s="714" t="s">
        <v>21</v>
      </c>
      <c r="S45" s="715">
        <f t="shared" si="12"/>
        <v>100</v>
      </c>
      <c r="T45" s="714" t="s">
        <v>21</v>
      </c>
      <c r="U45" s="715">
        <f t="shared" si="13"/>
        <v>100</v>
      </c>
      <c r="V45" s="714" t="s">
        <v>21</v>
      </c>
      <c r="W45" s="715">
        <f t="shared" si="14"/>
        <v>100</v>
      </c>
      <c r="X45" s="1508"/>
      <c r="Y45" s="3445"/>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44"/>
      <c r="Q46" s="1505">
        <f t="shared" si="11"/>
        <v>111</v>
      </c>
      <c r="R46" s="714" t="s">
        <v>20</v>
      </c>
      <c r="S46" s="715">
        <f t="shared" si="12"/>
        <v>100</v>
      </c>
      <c r="T46" s="714" t="s">
        <v>20</v>
      </c>
      <c r="U46" s="715">
        <f t="shared" si="13"/>
        <v>100</v>
      </c>
      <c r="V46" s="714" t="s">
        <v>20</v>
      </c>
      <c r="W46" s="715">
        <f t="shared" si="14"/>
        <v>100</v>
      </c>
      <c r="X46" s="1508"/>
      <c r="Y46" s="3446"/>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38" t="str">
        <f>A47</f>
        <v>成交单价（元/平方米）</v>
      </c>
      <c r="Q47" s="3438"/>
      <c r="R47" s="3439">
        <f>E47</f>
        <v>0</v>
      </c>
      <c r="S47" s="3439"/>
      <c r="T47" s="3439">
        <f>G47</f>
        <v>0</v>
      </c>
      <c r="U47" s="3439"/>
      <c r="V47" s="3439">
        <f>I47</f>
        <v>0</v>
      </c>
      <c r="W47" s="3439"/>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210956.06</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53" t="s">
        <v>2407</v>
      </c>
      <c r="D4" s="3454"/>
      <c r="E4" s="3455" t="s">
        <v>2408</v>
      </c>
      <c r="F4" s="3456"/>
      <c r="G4" s="3453" t="s">
        <v>2409</v>
      </c>
      <c r="H4" s="3454"/>
      <c r="I4" s="3453" t="s">
        <v>2410</v>
      </c>
      <c r="J4" s="3454"/>
      <c r="K4" s="567" t="s">
        <v>2411</v>
      </c>
      <c r="L4" s="2913"/>
      <c r="M4" s="2914"/>
      <c r="N4" s="2914"/>
      <c r="O4" s="2914"/>
      <c r="P4" s="3457" t="s">
        <v>2412</v>
      </c>
      <c r="Q4" s="3458"/>
      <c r="R4" s="3463" t="s">
        <v>2408</v>
      </c>
      <c r="S4" s="3464"/>
      <c r="T4" s="3463" t="s">
        <v>2409</v>
      </c>
      <c r="U4" s="3464"/>
      <c r="V4" s="3469" t="s">
        <v>2410</v>
      </c>
      <c r="W4" s="3469"/>
      <c r="X4" s="1508"/>
      <c r="Y4" s="3463" t="s">
        <v>2412</v>
      </c>
      <c r="Z4" s="3464"/>
      <c r="AA4" s="3450" t="s">
        <v>2408</v>
      </c>
      <c r="AB4" s="3469" t="s">
        <v>2409</v>
      </c>
      <c r="AC4" s="3450" t="s">
        <v>2410</v>
      </c>
    </row>
    <row r="5" spans="1:29" ht="15">
      <c r="A5" s="364"/>
      <c r="B5" s="365"/>
      <c r="C5" s="3472" t="s">
        <v>2303</v>
      </c>
      <c r="D5" s="3473"/>
      <c r="E5" s="3479" t="s">
        <v>2304</v>
      </c>
      <c r="F5" s="3480"/>
      <c r="G5" s="3472" t="s">
        <v>2305</v>
      </c>
      <c r="H5" s="3473"/>
      <c r="I5" s="3472" t="s">
        <v>2306</v>
      </c>
      <c r="J5" s="3473"/>
      <c r="K5" s="567"/>
      <c r="L5" s="2913"/>
      <c r="M5" s="2914"/>
      <c r="N5" s="2914"/>
      <c r="O5" s="2914"/>
      <c r="P5" s="3459"/>
      <c r="Q5" s="3460"/>
      <c r="R5" s="3465"/>
      <c r="S5" s="3466"/>
      <c r="T5" s="3465"/>
      <c r="U5" s="3466"/>
      <c r="V5" s="3469"/>
      <c r="W5" s="3469"/>
      <c r="X5" s="1508"/>
      <c r="Y5" s="3465"/>
      <c r="Z5" s="3466"/>
      <c r="AA5" s="3451"/>
      <c r="AB5" s="3469"/>
      <c r="AC5" s="3451"/>
    </row>
    <row r="6" spans="1:29" ht="15.75" thickBot="1">
      <c r="A6" s="366"/>
      <c r="B6" s="367"/>
      <c r="C6" s="3470" t="s">
        <v>2307</v>
      </c>
      <c r="D6" s="3471"/>
      <c r="E6" s="3477" t="s">
        <v>2307</v>
      </c>
      <c r="F6" s="3478"/>
      <c r="G6" s="3470" t="s">
        <v>2307</v>
      </c>
      <c r="H6" s="3471"/>
      <c r="I6" s="3470" t="s">
        <v>2307</v>
      </c>
      <c r="J6" s="3471"/>
      <c r="K6" s="567" t="s">
        <v>2308</v>
      </c>
      <c r="L6" s="2913"/>
      <c r="M6" s="2914"/>
      <c r="N6" s="2914"/>
      <c r="O6" s="2914"/>
      <c r="P6" s="3461"/>
      <c r="Q6" s="3462"/>
      <c r="R6" s="3465"/>
      <c r="S6" s="3466"/>
      <c r="T6" s="3467"/>
      <c r="U6" s="3468"/>
      <c r="V6" s="3469"/>
      <c r="W6" s="3469"/>
      <c r="X6" s="1508"/>
      <c r="Y6" s="3467"/>
      <c r="Z6" s="3468"/>
      <c r="AA6" s="3452"/>
      <c r="AB6" s="3469"/>
      <c r="AC6" s="3452"/>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74" t="s">
        <v>2310</v>
      </c>
      <c r="Q7" s="3476"/>
      <c r="R7" s="710" t="s">
        <v>17</v>
      </c>
      <c r="S7" s="711">
        <f t="shared" ref="S7:S15" si="0">F7</f>
        <v>0</v>
      </c>
      <c r="T7" s="710" t="s">
        <v>17</v>
      </c>
      <c r="U7" s="711">
        <f t="shared" ref="U7:U15" si="1">H7</f>
        <v>0</v>
      </c>
      <c r="V7" s="710" t="s">
        <v>17</v>
      </c>
      <c r="W7" s="711">
        <f t="shared" ref="W7:W15" si="2">J7</f>
        <v>0</v>
      </c>
      <c r="X7" s="712"/>
      <c r="Y7" s="3474" t="s">
        <v>2310</v>
      </c>
      <c r="Z7" s="3475"/>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74" t="s">
        <v>2313</v>
      </c>
      <c r="Q8" s="3475"/>
      <c r="R8" s="710" t="s">
        <v>17</v>
      </c>
      <c r="S8" s="711">
        <f t="shared" si="0"/>
        <v>0</v>
      </c>
      <c r="T8" s="710" t="s">
        <v>17</v>
      </c>
      <c r="U8" s="711">
        <f t="shared" si="1"/>
        <v>0</v>
      </c>
      <c r="V8" s="710" t="s">
        <v>17</v>
      </c>
      <c r="W8" s="711">
        <f t="shared" si="2"/>
        <v>0</v>
      </c>
      <c r="X8" s="712"/>
      <c r="Y8" s="3474" t="s">
        <v>2313</v>
      </c>
      <c r="Z8" s="3475"/>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49" t="s">
        <v>2316</v>
      </c>
      <c r="Q9" s="1496"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49"/>
      <c r="Q10" s="1496"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49"/>
      <c r="Q11" s="1496"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49"/>
      <c r="Q12" s="1496">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49"/>
      <c r="Q13" s="1496">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49"/>
      <c r="Q14" s="1496">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47" t="s">
        <v>2321</v>
      </c>
      <c r="Q15" s="1505" t="str">
        <f t="shared" si="6"/>
        <v>商业繁华度</v>
      </c>
      <c r="R15" s="714" t="s">
        <v>17</v>
      </c>
      <c r="S15" s="715">
        <f t="shared" si="0"/>
        <v>100</v>
      </c>
      <c r="T15" s="714" t="s">
        <v>17</v>
      </c>
      <c r="U15" s="715">
        <f t="shared" si="1"/>
        <v>100</v>
      </c>
      <c r="V15" s="714" t="s">
        <v>17</v>
      </c>
      <c r="W15" s="715">
        <f t="shared" si="2"/>
        <v>100</v>
      </c>
      <c r="X15" s="1508"/>
      <c r="Y15" s="3440"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48"/>
      <c r="Q16" s="1505"/>
      <c r="R16" s="714"/>
      <c r="S16" s="715"/>
      <c r="T16" s="714"/>
      <c r="U16" s="715"/>
      <c r="V16" s="714"/>
      <c r="W16" s="715"/>
      <c r="X16" s="1508"/>
      <c r="Y16" s="3441"/>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48"/>
      <c r="Q17" s="1505" t="str">
        <f>B17</f>
        <v>交通便捷度</v>
      </c>
      <c r="R17" s="714" t="s">
        <v>17</v>
      </c>
      <c r="S17" s="715">
        <f>F17</f>
        <v>100</v>
      </c>
      <c r="T17" s="714" t="s">
        <v>17</v>
      </c>
      <c r="U17" s="715">
        <f>H17</f>
        <v>100</v>
      </c>
      <c r="V17" s="714" t="s">
        <v>17</v>
      </c>
      <c r="W17" s="715">
        <f>J17</f>
        <v>100</v>
      </c>
      <c r="X17" s="1508"/>
      <c r="Y17" s="3441"/>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48"/>
      <c r="Q18" s="1505"/>
      <c r="R18" s="714"/>
      <c r="S18" s="715"/>
      <c r="T18" s="714"/>
      <c r="U18" s="715"/>
      <c r="V18" s="714"/>
      <c r="W18" s="715"/>
      <c r="X18" s="1508"/>
      <c r="Y18" s="3441"/>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48"/>
      <c r="Q19" s="1505" t="str">
        <f>B19</f>
        <v>公共配套设施</v>
      </c>
      <c r="R19" s="714" t="s">
        <v>17</v>
      </c>
      <c r="S19" s="715">
        <f>F19</f>
        <v>100</v>
      </c>
      <c r="T19" s="714" t="s">
        <v>17</v>
      </c>
      <c r="U19" s="715">
        <f>H19</f>
        <v>100</v>
      </c>
      <c r="V19" s="714" t="s">
        <v>17</v>
      </c>
      <c r="W19" s="715">
        <f>J19</f>
        <v>100</v>
      </c>
      <c r="X19" s="1508"/>
      <c r="Y19" s="3441"/>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48"/>
      <c r="Q20" s="1505"/>
      <c r="R20" s="714"/>
      <c r="S20" s="715"/>
      <c r="T20" s="714"/>
      <c r="U20" s="715"/>
      <c r="V20" s="714"/>
      <c r="W20" s="715"/>
      <c r="X20" s="1508"/>
      <c r="Y20" s="3441"/>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48"/>
      <c r="Q21" s="1505" t="str">
        <f>B21</f>
        <v>基础设施水平</v>
      </c>
      <c r="R21" s="714" t="s">
        <v>17</v>
      </c>
      <c r="S21" s="715">
        <f>F21</f>
        <v>100</v>
      </c>
      <c r="T21" s="714" t="s">
        <v>17</v>
      </c>
      <c r="U21" s="715">
        <f>H21</f>
        <v>100</v>
      </c>
      <c r="V21" s="714" t="s">
        <v>17</v>
      </c>
      <c r="W21" s="715">
        <f>J21</f>
        <v>100</v>
      </c>
      <c r="X21" s="1508"/>
      <c r="Y21" s="3441"/>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48"/>
      <c r="Q22" s="1505"/>
      <c r="R22" s="714"/>
      <c r="S22" s="715"/>
      <c r="T22" s="714"/>
      <c r="U22" s="715"/>
      <c r="V22" s="714"/>
      <c r="W22" s="715"/>
      <c r="X22" s="1508"/>
      <c r="Y22" s="3441"/>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48"/>
      <c r="Q23" s="1505" t="str">
        <f>B23</f>
        <v>自然及人文环境</v>
      </c>
      <c r="R23" s="714" t="s">
        <v>17</v>
      </c>
      <c r="S23" s="715">
        <f>F23</f>
        <v>100</v>
      </c>
      <c r="T23" s="714" t="s">
        <v>17</v>
      </c>
      <c r="U23" s="715">
        <f>H23</f>
        <v>100</v>
      </c>
      <c r="V23" s="714" t="s">
        <v>17</v>
      </c>
      <c r="W23" s="715">
        <f>J23</f>
        <v>100</v>
      </c>
      <c r="X23" s="1508"/>
      <c r="Y23" s="3441"/>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48"/>
      <c r="Q24" s="1505"/>
      <c r="R24" s="714"/>
      <c r="S24" s="715"/>
      <c r="T24" s="714"/>
      <c r="U24" s="715"/>
      <c r="V24" s="714"/>
      <c r="W24" s="715"/>
      <c r="X24" s="1508"/>
      <c r="Y24" s="3441"/>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48"/>
      <c r="Q25" s="1505" t="str">
        <f t="shared" ref="Q25:Q46" si="11">B25</f>
        <v>临街状况</v>
      </c>
      <c r="R25" s="714" t="s">
        <v>17</v>
      </c>
      <c r="S25" s="715">
        <f>F25</f>
        <v>100</v>
      </c>
      <c r="T25" s="714" t="s">
        <v>17</v>
      </c>
      <c r="U25" s="715">
        <f>H25</f>
        <v>100</v>
      </c>
      <c r="V25" s="714" t="s">
        <v>17</v>
      </c>
      <c r="W25" s="715">
        <f>J25</f>
        <v>100</v>
      </c>
      <c r="X25" s="1508"/>
      <c r="Y25" s="3441"/>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48"/>
      <c r="Q26" s="1505" t="str">
        <f t="shared" si="11"/>
        <v>平面位置/可视性</v>
      </c>
      <c r="R26" s="714" t="s">
        <v>17</v>
      </c>
      <c r="S26" s="715">
        <f>F26</f>
        <v>100</v>
      </c>
      <c r="T26" s="714" t="s">
        <v>17</v>
      </c>
      <c r="U26" s="715">
        <f>H26</f>
        <v>100</v>
      </c>
      <c r="V26" s="714" t="s">
        <v>17</v>
      </c>
      <c r="W26" s="715">
        <f>J26</f>
        <v>100</v>
      </c>
      <c r="X26" s="1508"/>
      <c r="Y26" s="3441"/>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48"/>
      <c r="Q27" s="1496" t="str">
        <f t="shared" si="11"/>
        <v>人流量</v>
      </c>
      <c r="R27" s="710" t="s">
        <v>17</v>
      </c>
      <c r="S27" s="711">
        <f>F27</f>
        <v>100</v>
      </c>
      <c r="T27" s="710" t="s">
        <v>17</v>
      </c>
      <c r="U27" s="711">
        <f>H27</f>
        <v>100</v>
      </c>
      <c r="V27" s="710" t="s">
        <v>17</v>
      </c>
      <c r="W27" s="711">
        <f>J27</f>
        <v>100</v>
      </c>
      <c r="X27" s="712"/>
      <c r="Y27" s="3441"/>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48"/>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41"/>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48"/>
      <c r="Q29" s="1505">
        <f t="shared" si="11"/>
        <v>111</v>
      </c>
      <c r="R29" s="714" t="s">
        <v>17</v>
      </c>
      <c r="S29" s="715">
        <f t="shared" si="12"/>
        <v>100</v>
      </c>
      <c r="T29" s="714" t="s">
        <v>17</v>
      </c>
      <c r="U29" s="715">
        <f t="shared" si="13"/>
        <v>100</v>
      </c>
      <c r="V29" s="714" t="s">
        <v>17</v>
      </c>
      <c r="W29" s="715">
        <f t="shared" si="14"/>
        <v>100</v>
      </c>
      <c r="X29" s="1508"/>
      <c r="Y29" s="3441"/>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48"/>
      <c r="Q30" s="1505">
        <f t="shared" si="11"/>
        <v>111</v>
      </c>
      <c r="R30" s="714" t="s">
        <v>17</v>
      </c>
      <c r="S30" s="715">
        <f t="shared" si="12"/>
        <v>100</v>
      </c>
      <c r="T30" s="714" t="s">
        <v>17</v>
      </c>
      <c r="U30" s="715">
        <f t="shared" si="13"/>
        <v>100</v>
      </c>
      <c r="V30" s="714" t="s">
        <v>17</v>
      </c>
      <c r="W30" s="715">
        <f t="shared" si="14"/>
        <v>100</v>
      </c>
      <c r="X30" s="1508"/>
      <c r="Y30" s="3441"/>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48"/>
      <c r="Q31" s="1505">
        <f t="shared" si="11"/>
        <v>111</v>
      </c>
      <c r="R31" s="714" t="s">
        <v>17</v>
      </c>
      <c r="S31" s="715">
        <f t="shared" si="12"/>
        <v>100</v>
      </c>
      <c r="T31" s="714" t="s">
        <v>17</v>
      </c>
      <c r="U31" s="715">
        <f t="shared" si="13"/>
        <v>100</v>
      </c>
      <c r="V31" s="714" t="s">
        <v>17</v>
      </c>
      <c r="W31" s="715">
        <f t="shared" si="14"/>
        <v>100</v>
      </c>
      <c r="X31" s="1508"/>
      <c r="Y31" s="3441"/>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42" t="s">
        <v>2326</v>
      </c>
      <c r="Q32" s="1505" t="str">
        <f t="shared" si="11"/>
        <v>商业类型</v>
      </c>
      <c r="R32" s="714" t="s">
        <v>17</v>
      </c>
      <c r="S32" s="715">
        <f t="shared" si="12"/>
        <v>100</v>
      </c>
      <c r="T32" s="714" t="s">
        <v>17</v>
      </c>
      <c r="U32" s="715">
        <f t="shared" si="13"/>
        <v>100</v>
      </c>
      <c r="V32" s="714" t="s">
        <v>17</v>
      </c>
      <c r="W32" s="715">
        <f t="shared" si="14"/>
        <v>100</v>
      </c>
      <c r="X32" s="1508"/>
      <c r="Y32" s="3445"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43"/>
      <c r="Q33" s="716" t="str">
        <f t="shared" si="11"/>
        <v>项目建筑规模</v>
      </c>
      <c r="R33" s="717" t="s">
        <v>17</v>
      </c>
      <c r="S33" s="718" t="e">
        <f t="shared" si="12"/>
        <v>#N/A</v>
      </c>
      <c r="T33" s="717" t="s">
        <v>17</v>
      </c>
      <c r="U33" s="718" t="e">
        <f t="shared" si="13"/>
        <v>#N/A</v>
      </c>
      <c r="V33" s="717" t="s">
        <v>17</v>
      </c>
      <c r="W33" s="718" t="e">
        <f t="shared" si="14"/>
        <v>#N/A</v>
      </c>
      <c r="X33" s="719"/>
      <c r="Y33" s="3445"/>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43"/>
      <c r="Q34" s="1505" t="str">
        <f t="shared" si="11"/>
        <v>建筑结构</v>
      </c>
      <c r="R34" s="714" t="s">
        <v>17</v>
      </c>
      <c r="S34" s="715">
        <f t="shared" si="12"/>
        <v>100</v>
      </c>
      <c r="T34" s="714" t="s">
        <v>17</v>
      </c>
      <c r="U34" s="715">
        <f t="shared" si="13"/>
        <v>100</v>
      </c>
      <c r="V34" s="714" t="s">
        <v>17</v>
      </c>
      <c r="W34" s="715">
        <f t="shared" si="14"/>
        <v>100</v>
      </c>
      <c r="X34" s="1508"/>
      <c r="Y34" s="3445"/>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43"/>
      <c r="Q35" s="1505" t="str">
        <f t="shared" si="11"/>
        <v>公共部分装修</v>
      </c>
      <c r="R35" s="714" t="s">
        <v>17</v>
      </c>
      <c r="S35" s="715">
        <f t="shared" si="12"/>
        <v>100</v>
      </c>
      <c r="T35" s="714" t="s">
        <v>17</v>
      </c>
      <c r="U35" s="715">
        <f t="shared" si="13"/>
        <v>100</v>
      </c>
      <c r="V35" s="714" t="s">
        <v>17</v>
      </c>
      <c r="W35" s="715">
        <f t="shared" si="14"/>
        <v>100</v>
      </c>
      <c r="X35" s="1508"/>
      <c r="Y35" s="3445"/>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43"/>
      <c r="Q36" s="1505" t="str">
        <f t="shared" si="11"/>
        <v>成新度</v>
      </c>
      <c r="R36" s="714" t="s">
        <v>17</v>
      </c>
      <c r="S36" s="715" t="e">
        <f t="shared" si="12"/>
        <v>#N/A</v>
      </c>
      <c r="T36" s="714" t="s">
        <v>17</v>
      </c>
      <c r="U36" s="715" t="e">
        <f t="shared" si="13"/>
        <v>#N/A</v>
      </c>
      <c r="V36" s="714" t="s">
        <v>17</v>
      </c>
      <c r="W36" s="715" t="e">
        <f t="shared" si="14"/>
        <v>#N/A</v>
      </c>
      <c r="X36" s="1508"/>
      <c r="Y36" s="3445"/>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43"/>
      <c r="Q37" s="1496" t="str">
        <f t="shared" si="11"/>
        <v>市政基础设施</v>
      </c>
      <c r="R37" s="710" t="s">
        <v>17</v>
      </c>
      <c r="S37" s="711">
        <f t="shared" si="12"/>
        <v>100</v>
      </c>
      <c r="T37" s="710" t="s">
        <v>17</v>
      </c>
      <c r="U37" s="711">
        <f t="shared" si="13"/>
        <v>100</v>
      </c>
      <c r="V37" s="710" t="s">
        <v>17</v>
      </c>
      <c r="W37" s="711">
        <f t="shared" si="14"/>
        <v>100</v>
      </c>
      <c r="X37" s="712"/>
      <c r="Y37" s="3445"/>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43" t="s">
        <v>2326</v>
      </c>
      <c r="Q38" s="1505" t="str">
        <f t="shared" si="11"/>
        <v>业态</v>
      </c>
      <c r="R38" s="714" t="s">
        <v>17</v>
      </c>
      <c r="S38" s="715">
        <f t="shared" si="12"/>
        <v>100</v>
      </c>
      <c r="T38" s="714" t="s">
        <v>17</v>
      </c>
      <c r="U38" s="715">
        <f t="shared" si="13"/>
        <v>100</v>
      </c>
      <c r="V38" s="714" t="s">
        <v>17</v>
      </c>
      <c r="W38" s="715">
        <f t="shared" si="14"/>
        <v>100</v>
      </c>
      <c r="X38" s="1508"/>
      <c r="Y38" s="3445"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43"/>
      <c r="Q39" s="1505" t="str">
        <f t="shared" si="11"/>
        <v>层高</v>
      </c>
      <c r="R39" s="714" t="s">
        <v>17</v>
      </c>
      <c r="S39" s="715">
        <f t="shared" si="12"/>
        <v>100</v>
      </c>
      <c r="T39" s="714" t="s">
        <v>17</v>
      </c>
      <c r="U39" s="715">
        <f t="shared" si="13"/>
        <v>100</v>
      </c>
      <c r="V39" s="714" t="s">
        <v>17</v>
      </c>
      <c r="W39" s="715">
        <f t="shared" si="14"/>
        <v>100</v>
      </c>
      <c r="X39" s="1508"/>
      <c r="Y39" s="3445"/>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43"/>
      <c r="Q40" s="1505" t="str">
        <f t="shared" si="11"/>
        <v>单套建筑面积</v>
      </c>
      <c r="R40" s="714" t="s">
        <v>17</v>
      </c>
      <c r="S40" s="715">
        <f t="shared" si="12"/>
        <v>100</v>
      </c>
      <c r="T40" s="714" t="s">
        <v>17</v>
      </c>
      <c r="U40" s="715">
        <f t="shared" si="13"/>
        <v>100</v>
      </c>
      <c r="V40" s="714" t="s">
        <v>17</v>
      </c>
      <c r="W40" s="715">
        <f t="shared" si="14"/>
        <v>100</v>
      </c>
      <c r="X40" s="1508"/>
      <c r="Y40" s="3445"/>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43"/>
      <c r="Q41" s="716" t="str">
        <f t="shared" si="11"/>
        <v>进深比</v>
      </c>
      <c r="R41" s="717" t="s">
        <v>17</v>
      </c>
      <c r="S41" s="718">
        <f t="shared" si="12"/>
        <v>100</v>
      </c>
      <c r="T41" s="717" t="s">
        <v>17</v>
      </c>
      <c r="U41" s="718">
        <f t="shared" si="13"/>
        <v>100</v>
      </c>
      <c r="V41" s="717" t="s">
        <v>17</v>
      </c>
      <c r="W41" s="718">
        <f t="shared" si="14"/>
        <v>100</v>
      </c>
      <c r="X41" s="719"/>
      <c r="Y41" s="3445"/>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43"/>
      <c r="Q42" s="1505" t="str">
        <f t="shared" si="11"/>
        <v>内部装修</v>
      </c>
      <c r="R42" s="714" t="s">
        <v>17</v>
      </c>
      <c r="S42" s="715">
        <f t="shared" si="12"/>
        <v>100</v>
      </c>
      <c r="T42" s="714" t="s">
        <v>17</v>
      </c>
      <c r="U42" s="715">
        <f t="shared" si="13"/>
        <v>100</v>
      </c>
      <c r="V42" s="714" t="s">
        <v>17</v>
      </c>
      <c r="W42" s="715">
        <f t="shared" si="14"/>
        <v>100</v>
      </c>
      <c r="X42" s="1508"/>
      <c r="Y42" s="3445"/>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43"/>
      <c r="Q43" s="1505" t="str">
        <f t="shared" si="11"/>
        <v>内部装修维护情况</v>
      </c>
      <c r="R43" s="714" t="s">
        <v>17</v>
      </c>
      <c r="S43" s="715">
        <f t="shared" si="12"/>
        <v>100</v>
      </c>
      <c r="T43" s="714" t="s">
        <v>17</v>
      </c>
      <c r="U43" s="715">
        <f t="shared" si="13"/>
        <v>100</v>
      </c>
      <c r="V43" s="714" t="s">
        <v>17</v>
      </c>
      <c r="W43" s="715">
        <f t="shared" si="14"/>
        <v>100</v>
      </c>
      <c r="X43" s="1508"/>
      <c r="Y43" s="3445"/>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43"/>
      <c r="Q44" s="1496">
        <f t="shared" si="11"/>
        <v>111</v>
      </c>
      <c r="R44" s="710" t="s">
        <v>17</v>
      </c>
      <c r="S44" s="711">
        <f t="shared" si="12"/>
        <v>100</v>
      </c>
      <c r="T44" s="710" t="s">
        <v>17</v>
      </c>
      <c r="U44" s="711">
        <f t="shared" si="13"/>
        <v>100</v>
      </c>
      <c r="V44" s="710" t="s">
        <v>17</v>
      </c>
      <c r="W44" s="711">
        <f t="shared" si="14"/>
        <v>100</v>
      </c>
      <c r="X44" s="712"/>
      <c r="Y44" s="344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43"/>
      <c r="Q45" s="1505">
        <f t="shared" si="11"/>
        <v>111</v>
      </c>
      <c r="R45" s="714" t="s">
        <v>17</v>
      </c>
      <c r="S45" s="715">
        <f t="shared" si="12"/>
        <v>100</v>
      </c>
      <c r="T45" s="714" t="s">
        <v>17</v>
      </c>
      <c r="U45" s="715">
        <f t="shared" si="13"/>
        <v>100</v>
      </c>
      <c r="V45" s="714" t="s">
        <v>17</v>
      </c>
      <c r="W45" s="715">
        <f t="shared" si="14"/>
        <v>100</v>
      </c>
      <c r="X45" s="1508"/>
      <c r="Y45" s="3445"/>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44"/>
      <c r="Q46" s="1505">
        <f t="shared" si="11"/>
        <v>111</v>
      </c>
      <c r="R46" s="714" t="s">
        <v>17</v>
      </c>
      <c r="S46" s="715">
        <f t="shared" si="12"/>
        <v>100</v>
      </c>
      <c r="T46" s="714" t="s">
        <v>17</v>
      </c>
      <c r="U46" s="715">
        <f t="shared" si="13"/>
        <v>100</v>
      </c>
      <c r="V46" s="714" t="s">
        <v>17</v>
      </c>
      <c r="W46" s="715">
        <f t="shared" si="14"/>
        <v>100</v>
      </c>
      <c r="X46" s="1508"/>
      <c r="Y46" s="3446"/>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38" t="str">
        <f>A47</f>
        <v>成交单价（元/平方米）</v>
      </c>
      <c r="Q47" s="3438"/>
      <c r="R47" s="3469">
        <f>E47</f>
        <v>0</v>
      </c>
      <c r="S47" s="3469"/>
      <c r="T47" s="3469">
        <f>G47</f>
        <v>0</v>
      </c>
      <c r="U47" s="3469"/>
      <c r="V47" s="3469">
        <f>I47</f>
        <v>0</v>
      </c>
      <c r="W47" s="3469"/>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210956.06</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53" t="s">
        <v>2407</v>
      </c>
      <c r="D4" s="3454"/>
      <c r="E4" s="3455" t="s">
        <v>2408</v>
      </c>
      <c r="F4" s="3456"/>
      <c r="G4" s="3453" t="s">
        <v>2409</v>
      </c>
      <c r="H4" s="3454"/>
      <c r="I4" s="3453" t="s">
        <v>2410</v>
      </c>
      <c r="J4" s="3454"/>
      <c r="K4" s="567" t="s">
        <v>2411</v>
      </c>
      <c r="L4" s="2913"/>
      <c r="M4" s="2914"/>
      <c r="N4" s="2914"/>
      <c r="O4" s="2914"/>
      <c r="P4" s="3487" t="s">
        <v>2412</v>
      </c>
      <c r="Q4" s="3488"/>
      <c r="R4" s="3491" t="s">
        <v>2408</v>
      </c>
      <c r="S4" s="3492"/>
      <c r="T4" s="3491" t="s">
        <v>2409</v>
      </c>
      <c r="U4" s="3492"/>
      <c r="V4" s="3493" t="s">
        <v>2410</v>
      </c>
      <c r="W4" s="3493"/>
      <c r="X4" s="2113"/>
      <c r="Y4" s="3491" t="s">
        <v>2412</v>
      </c>
      <c r="Z4" s="3492"/>
      <c r="AA4" s="3495" t="s">
        <v>2408</v>
      </c>
      <c r="AB4" s="3495" t="s">
        <v>2409</v>
      </c>
      <c r="AC4" s="3484" t="s">
        <v>2410</v>
      </c>
    </row>
    <row r="5" spans="1:29" ht="15">
      <c r="A5" s="364"/>
      <c r="B5" s="365"/>
      <c r="C5" s="3472" t="s">
        <v>2303</v>
      </c>
      <c r="D5" s="3473"/>
      <c r="E5" s="3479" t="s">
        <v>2304</v>
      </c>
      <c r="F5" s="3480"/>
      <c r="G5" s="3472" t="s">
        <v>2305</v>
      </c>
      <c r="H5" s="3473"/>
      <c r="I5" s="3472" t="s">
        <v>2306</v>
      </c>
      <c r="J5" s="3473"/>
      <c r="K5" s="567"/>
      <c r="L5" s="2913"/>
      <c r="M5" s="2914"/>
      <c r="N5" s="2914"/>
      <c r="O5" s="2914"/>
      <c r="P5" s="3489"/>
      <c r="Q5" s="3460"/>
      <c r="R5" s="3465"/>
      <c r="S5" s="3466"/>
      <c r="T5" s="3465"/>
      <c r="U5" s="3466"/>
      <c r="V5" s="3469"/>
      <c r="W5" s="3469"/>
      <c r="X5" s="1508"/>
      <c r="Y5" s="3465"/>
      <c r="Z5" s="3466"/>
      <c r="AA5" s="3451"/>
      <c r="AB5" s="3451"/>
      <c r="AC5" s="3485"/>
    </row>
    <row r="6" spans="1:29" ht="15.75" thickBot="1">
      <c r="A6" s="366"/>
      <c r="B6" s="367"/>
      <c r="C6" s="3470" t="s">
        <v>2307</v>
      </c>
      <c r="D6" s="3471"/>
      <c r="E6" s="3477" t="s">
        <v>2307</v>
      </c>
      <c r="F6" s="3478"/>
      <c r="G6" s="3470" t="s">
        <v>2307</v>
      </c>
      <c r="H6" s="3471"/>
      <c r="I6" s="3470" t="s">
        <v>2307</v>
      </c>
      <c r="J6" s="3471"/>
      <c r="K6" s="567" t="s">
        <v>2308</v>
      </c>
      <c r="L6" s="2913"/>
      <c r="M6" s="2914"/>
      <c r="N6" s="2914"/>
      <c r="O6" s="2914"/>
      <c r="P6" s="3490"/>
      <c r="Q6" s="3462"/>
      <c r="R6" s="3465"/>
      <c r="S6" s="3466"/>
      <c r="T6" s="3467"/>
      <c r="U6" s="3468"/>
      <c r="V6" s="3469"/>
      <c r="W6" s="3469"/>
      <c r="X6" s="1508"/>
      <c r="Y6" s="3467"/>
      <c r="Z6" s="3468"/>
      <c r="AA6" s="3452"/>
      <c r="AB6" s="3452"/>
      <c r="AC6" s="3486"/>
    </row>
    <row r="7" spans="1:29" s="113" customFormat="1" ht="15.75" thickBot="1">
      <c r="A7" s="368" t="s">
        <v>2309</v>
      </c>
      <c r="B7" s="369"/>
      <c r="C7" s="370">
        <f>'数据-取费表'!B2</f>
        <v>44662</v>
      </c>
      <c r="D7" s="371">
        <v>100</v>
      </c>
      <c r="E7" s="372"/>
      <c r="F7" s="373">
        <f>SUMIF(59:59,YEAR(E7)&amp;"-"&amp;MONTH(E7),60:60)</f>
        <v>0</v>
      </c>
      <c r="G7" s="372"/>
      <c r="H7" s="371">
        <f>SUMIF(59:59,YEAR(G7)&amp;"-"&amp;MONTH(G7),60:60)</f>
        <v>0</v>
      </c>
      <c r="I7" s="372"/>
      <c r="J7" s="371">
        <f>SUMIF(59:59,YEAR(I7)&amp;"-"&amp;MONTH(I7),60:60)</f>
        <v>0</v>
      </c>
      <c r="K7" s="568"/>
      <c r="L7" s="2915"/>
      <c r="M7" s="2916"/>
      <c r="N7" s="2916"/>
      <c r="O7" s="2916"/>
      <c r="P7" s="3494" t="s">
        <v>2310</v>
      </c>
      <c r="Q7" s="3476"/>
      <c r="R7" s="710" t="s">
        <v>17</v>
      </c>
      <c r="S7" s="711">
        <f t="shared" ref="S7:S15" si="0">F7</f>
        <v>0</v>
      </c>
      <c r="T7" s="710" t="s">
        <v>17</v>
      </c>
      <c r="U7" s="711">
        <f t="shared" ref="U7:U15" si="1">H7</f>
        <v>0</v>
      </c>
      <c r="V7" s="710" t="s">
        <v>17</v>
      </c>
      <c r="W7" s="711">
        <f t="shared" ref="W7:W15" si="2">J7</f>
        <v>0</v>
      </c>
      <c r="X7" s="712"/>
      <c r="Y7" s="3474" t="s">
        <v>2310</v>
      </c>
      <c r="Z7" s="3475"/>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494" t="s">
        <v>2313</v>
      </c>
      <c r="Q8" s="3475"/>
      <c r="R8" s="710" t="s">
        <v>17</v>
      </c>
      <c r="S8" s="711">
        <f t="shared" si="0"/>
        <v>0</v>
      </c>
      <c r="T8" s="710" t="s">
        <v>17</v>
      </c>
      <c r="U8" s="711">
        <f t="shared" si="1"/>
        <v>0</v>
      </c>
      <c r="V8" s="710" t="s">
        <v>17</v>
      </c>
      <c r="W8" s="711">
        <f t="shared" si="2"/>
        <v>0</v>
      </c>
      <c r="X8" s="712"/>
      <c r="Y8" s="3474" t="s">
        <v>2313</v>
      </c>
      <c r="Z8" s="3475"/>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49" t="s">
        <v>2316</v>
      </c>
      <c r="Q9" s="1496"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49"/>
      <c r="Q10" s="1496"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49"/>
      <c r="Q11" s="1496"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49"/>
      <c r="Q12" s="1496">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49"/>
      <c r="Q13" s="1496">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49"/>
      <c r="Q14" s="1496">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47" t="s">
        <v>2321</v>
      </c>
      <c r="Q15" s="1505" t="str">
        <f t="shared" si="6"/>
        <v>办公集聚程度</v>
      </c>
      <c r="R15" s="714" t="s">
        <v>17</v>
      </c>
      <c r="S15" s="715">
        <f t="shared" si="0"/>
        <v>100</v>
      </c>
      <c r="T15" s="714" t="s">
        <v>17</v>
      </c>
      <c r="U15" s="715">
        <f t="shared" si="1"/>
        <v>100</v>
      </c>
      <c r="V15" s="714" t="s">
        <v>17</v>
      </c>
      <c r="W15" s="715">
        <f t="shared" si="2"/>
        <v>100</v>
      </c>
      <c r="X15" s="1508"/>
      <c r="Y15" s="3440"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48"/>
      <c r="Q16" s="1505"/>
      <c r="R16" s="714"/>
      <c r="S16" s="715"/>
      <c r="T16" s="714"/>
      <c r="U16" s="715"/>
      <c r="V16" s="714"/>
      <c r="W16" s="715"/>
      <c r="X16" s="1508"/>
      <c r="Y16" s="3441"/>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48"/>
      <c r="Q17" s="1505" t="str">
        <f>B17</f>
        <v>交通便捷度</v>
      </c>
      <c r="R17" s="714" t="s">
        <v>17</v>
      </c>
      <c r="S17" s="715">
        <f>F17</f>
        <v>100</v>
      </c>
      <c r="T17" s="714" t="s">
        <v>17</v>
      </c>
      <c r="U17" s="715">
        <f>H17</f>
        <v>100</v>
      </c>
      <c r="V17" s="714" t="s">
        <v>17</v>
      </c>
      <c r="W17" s="715">
        <f>J17</f>
        <v>100</v>
      </c>
      <c r="X17" s="1508"/>
      <c r="Y17" s="3441"/>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48"/>
      <c r="Q18" s="1505"/>
      <c r="R18" s="714"/>
      <c r="S18" s="715"/>
      <c r="T18" s="714"/>
      <c r="U18" s="715"/>
      <c r="V18" s="714"/>
      <c r="W18" s="715"/>
      <c r="X18" s="1508"/>
      <c r="Y18" s="3441"/>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48"/>
      <c r="Q19" s="1505" t="str">
        <f>B19</f>
        <v>公共配套设施</v>
      </c>
      <c r="R19" s="714" t="s">
        <v>17</v>
      </c>
      <c r="S19" s="715">
        <f>F19</f>
        <v>100</v>
      </c>
      <c r="T19" s="714" t="s">
        <v>17</v>
      </c>
      <c r="U19" s="715">
        <f>H19</f>
        <v>100</v>
      </c>
      <c r="V19" s="714" t="s">
        <v>17</v>
      </c>
      <c r="W19" s="715">
        <f>J19</f>
        <v>100</v>
      </c>
      <c r="X19" s="1508"/>
      <c r="Y19" s="3441"/>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48"/>
      <c r="Q20" s="1505"/>
      <c r="R20" s="714"/>
      <c r="S20" s="715"/>
      <c r="T20" s="714"/>
      <c r="U20" s="715"/>
      <c r="V20" s="714"/>
      <c r="W20" s="715"/>
      <c r="X20" s="1508"/>
      <c r="Y20" s="3441"/>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48"/>
      <c r="Q21" s="1505" t="str">
        <f>B21</f>
        <v>基础设施水平</v>
      </c>
      <c r="R21" s="714" t="s">
        <v>17</v>
      </c>
      <c r="S21" s="715">
        <f>F21</f>
        <v>100</v>
      </c>
      <c r="T21" s="714" t="s">
        <v>17</v>
      </c>
      <c r="U21" s="715">
        <f>H21</f>
        <v>100</v>
      </c>
      <c r="V21" s="714" t="s">
        <v>17</v>
      </c>
      <c r="W21" s="715">
        <f>J21</f>
        <v>100</v>
      </c>
      <c r="X21" s="1508"/>
      <c r="Y21" s="3441"/>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48"/>
      <c r="Q22" s="1505"/>
      <c r="R22" s="714"/>
      <c r="S22" s="715"/>
      <c r="T22" s="714"/>
      <c r="U22" s="715"/>
      <c r="V22" s="714"/>
      <c r="W22" s="715"/>
      <c r="X22" s="1508"/>
      <c r="Y22" s="3441"/>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48"/>
      <c r="Q23" s="1505" t="str">
        <f>B23</f>
        <v>环境质量</v>
      </c>
      <c r="R23" s="714" t="s">
        <v>17</v>
      </c>
      <c r="S23" s="715">
        <f>F23</f>
        <v>100</v>
      </c>
      <c r="T23" s="714" t="s">
        <v>17</v>
      </c>
      <c r="U23" s="715">
        <f>H23</f>
        <v>100</v>
      </c>
      <c r="V23" s="714" t="s">
        <v>17</v>
      </c>
      <c r="W23" s="715">
        <f>J23</f>
        <v>100</v>
      </c>
      <c r="X23" s="1508"/>
      <c r="Y23" s="3441"/>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48"/>
      <c r="Q24" s="1505"/>
      <c r="R24" s="714"/>
      <c r="S24" s="715"/>
      <c r="T24" s="714"/>
      <c r="U24" s="715"/>
      <c r="V24" s="714"/>
      <c r="W24" s="715"/>
      <c r="X24" s="1508"/>
      <c r="Y24" s="3441"/>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48"/>
      <c r="Q25" s="1505" t="str">
        <f>B25</f>
        <v>毗邻道路的类型与等级</v>
      </c>
      <c r="R25" s="714" t="s">
        <v>17</v>
      </c>
      <c r="S25" s="715">
        <f>F25</f>
        <v>100</v>
      </c>
      <c r="T25" s="714" t="s">
        <v>17</v>
      </c>
      <c r="U25" s="715">
        <f>H25</f>
        <v>100</v>
      </c>
      <c r="V25" s="714" t="s">
        <v>17</v>
      </c>
      <c r="W25" s="715">
        <f>J25</f>
        <v>100</v>
      </c>
      <c r="X25" s="1508"/>
      <c r="Y25" s="3441"/>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48"/>
      <c r="Q26" s="1505"/>
      <c r="R26" s="714"/>
      <c r="S26" s="715"/>
      <c r="T26" s="714"/>
      <c r="U26" s="715"/>
      <c r="V26" s="714"/>
      <c r="W26" s="715"/>
      <c r="X26" s="1508"/>
      <c r="Y26" s="3441"/>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48"/>
      <c r="Q27" s="1505" t="str">
        <f t="shared" ref="Q27:Q47" si="11">B27</f>
        <v>楼层</v>
      </c>
      <c r="R27" s="714" t="s">
        <v>17</v>
      </c>
      <c r="S27" s="715">
        <f>F27</f>
        <v>100</v>
      </c>
      <c r="T27" s="714" t="s">
        <v>17</v>
      </c>
      <c r="U27" s="715">
        <f>H27</f>
        <v>100</v>
      </c>
      <c r="V27" s="714" t="s">
        <v>17</v>
      </c>
      <c r="W27" s="715">
        <f>J27</f>
        <v>100</v>
      </c>
      <c r="X27" s="1508"/>
      <c r="Y27" s="3441"/>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48"/>
      <c r="Q28" s="1496" t="str">
        <f t="shared" si="11"/>
        <v>朝向</v>
      </c>
      <c r="R28" s="710" t="s">
        <v>17</v>
      </c>
      <c r="S28" s="711">
        <f>F28</f>
        <v>100</v>
      </c>
      <c r="T28" s="710" t="s">
        <v>17</v>
      </c>
      <c r="U28" s="711">
        <f>H28</f>
        <v>100</v>
      </c>
      <c r="V28" s="710" t="s">
        <v>17</v>
      </c>
      <c r="W28" s="711">
        <f>J28</f>
        <v>100</v>
      </c>
      <c r="X28" s="712"/>
      <c r="Y28" s="3441"/>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48"/>
      <c r="Q29" s="1505">
        <f t="shared" si="11"/>
        <v>111</v>
      </c>
      <c r="R29" s="714" t="s">
        <v>17</v>
      </c>
      <c r="S29" s="715">
        <f t="shared" ref="S29:S47" si="12">F29</f>
        <v>100</v>
      </c>
      <c r="T29" s="714" t="s">
        <v>17</v>
      </c>
      <c r="U29" s="715">
        <f t="shared" ref="U29:U47" si="13">H29</f>
        <v>100</v>
      </c>
      <c r="V29" s="714" t="s">
        <v>17</v>
      </c>
      <c r="W29" s="715">
        <f t="shared" ref="W29:W47" si="14">J29</f>
        <v>100</v>
      </c>
      <c r="X29" s="1508"/>
      <c r="Y29" s="3441"/>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48"/>
      <c r="Q30" s="1505">
        <f t="shared" si="11"/>
        <v>111</v>
      </c>
      <c r="R30" s="714" t="s">
        <v>17</v>
      </c>
      <c r="S30" s="715">
        <f t="shared" si="12"/>
        <v>100</v>
      </c>
      <c r="T30" s="714" t="s">
        <v>17</v>
      </c>
      <c r="U30" s="715">
        <f t="shared" si="13"/>
        <v>100</v>
      </c>
      <c r="V30" s="714" t="s">
        <v>17</v>
      </c>
      <c r="W30" s="715">
        <f t="shared" si="14"/>
        <v>100</v>
      </c>
      <c r="X30" s="1508"/>
      <c r="Y30" s="3441"/>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48"/>
      <c r="Q31" s="1505">
        <f t="shared" si="11"/>
        <v>111</v>
      </c>
      <c r="R31" s="714" t="s">
        <v>17</v>
      </c>
      <c r="S31" s="715">
        <f t="shared" si="12"/>
        <v>100</v>
      </c>
      <c r="T31" s="714" t="s">
        <v>17</v>
      </c>
      <c r="U31" s="715">
        <f t="shared" si="13"/>
        <v>100</v>
      </c>
      <c r="V31" s="714" t="s">
        <v>17</v>
      </c>
      <c r="W31" s="715">
        <f t="shared" si="14"/>
        <v>100</v>
      </c>
      <c r="X31" s="1508"/>
      <c r="Y31" s="3441"/>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48"/>
      <c r="Q32" s="1505">
        <f t="shared" si="11"/>
        <v>111</v>
      </c>
      <c r="R32" s="714" t="s">
        <v>17</v>
      </c>
      <c r="S32" s="715">
        <f t="shared" si="12"/>
        <v>100</v>
      </c>
      <c r="T32" s="714" t="s">
        <v>17</v>
      </c>
      <c r="U32" s="715">
        <f t="shared" si="13"/>
        <v>100</v>
      </c>
      <c r="V32" s="714" t="s">
        <v>17</v>
      </c>
      <c r="W32" s="715">
        <f t="shared" si="14"/>
        <v>100</v>
      </c>
      <c r="X32" s="1508"/>
      <c r="Y32" s="3441"/>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42" t="s">
        <v>2326</v>
      </c>
      <c r="Q33" s="1505" t="str">
        <f t="shared" si="11"/>
        <v>建筑类型</v>
      </c>
      <c r="R33" s="714" t="s">
        <v>17</v>
      </c>
      <c r="S33" s="715">
        <f t="shared" si="12"/>
        <v>100</v>
      </c>
      <c r="T33" s="714" t="s">
        <v>17</v>
      </c>
      <c r="U33" s="715">
        <f t="shared" si="13"/>
        <v>100</v>
      </c>
      <c r="V33" s="714" t="s">
        <v>17</v>
      </c>
      <c r="W33" s="715">
        <f t="shared" si="14"/>
        <v>100</v>
      </c>
      <c r="X33" s="1508"/>
      <c r="Y33" s="3445"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43"/>
      <c r="Q34" s="716" t="str">
        <f t="shared" si="11"/>
        <v>项目建筑规模</v>
      </c>
      <c r="R34" s="717" t="s">
        <v>17</v>
      </c>
      <c r="S34" s="718" t="e">
        <f t="shared" si="12"/>
        <v>#N/A</v>
      </c>
      <c r="T34" s="717" t="s">
        <v>17</v>
      </c>
      <c r="U34" s="718" t="e">
        <f t="shared" si="13"/>
        <v>#N/A</v>
      </c>
      <c r="V34" s="717" t="s">
        <v>17</v>
      </c>
      <c r="W34" s="718" t="e">
        <f t="shared" si="14"/>
        <v>#N/A</v>
      </c>
      <c r="X34" s="719"/>
      <c r="Y34" s="3445"/>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43"/>
      <c r="Q35" s="1505" t="str">
        <f t="shared" si="11"/>
        <v>建筑结构</v>
      </c>
      <c r="R35" s="714" t="s">
        <v>17</v>
      </c>
      <c r="S35" s="715">
        <f t="shared" si="12"/>
        <v>100</v>
      </c>
      <c r="T35" s="714" t="s">
        <v>17</v>
      </c>
      <c r="U35" s="715">
        <f t="shared" si="13"/>
        <v>100</v>
      </c>
      <c r="V35" s="714" t="s">
        <v>17</v>
      </c>
      <c r="W35" s="715">
        <f t="shared" si="14"/>
        <v>100</v>
      </c>
      <c r="X35" s="1508"/>
      <c r="Y35" s="3445"/>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43"/>
      <c r="Q36" s="1505" t="str">
        <f t="shared" si="11"/>
        <v>公共部分装修</v>
      </c>
      <c r="R36" s="714" t="s">
        <v>17</v>
      </c>
      <c r="S36" s="715">
        <f t="shared" si="12"/>
        <v>100</v>
      </c>
      <c r="T36" s="714" t="s">
        <v>17</v>
      </c>
      <c r="U36" s="715">
        <f t="shared" si="13"/>
        <v>100</v>
      </c>
      <c r="V36" s="714" t="s">
        <v>17</v>
      </c>
      <c r="W36" s="715">
        <f t="shared" si="14"/>
        <v>100</v>
      </c>
      <c r="X36" s="1508"/>
      <c r="Y36" s="3445"/>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43"/>
      <c r="Q37" s="1505" t="str">
        <f t="shared" si="11"/>
        <v>成新度</v>
      </c>
      <c r="R37" s="714" t="s">
        <v>17</v>
      </c>
      <c r="S37" s="715" t="e">
        <f t="shared" si="12"/>
        <v>#N/A</v>
      </c>
      <c r="T37" s="714" t="s">
        <v>17</v>
      </c>
      <c r="U37" s="715" t="e">
        <f t="shared" si="13"/>
        <v>#N/A</v>
      </c>
      <c r="V37" s="714" t="s">
        <v>17</v>
      </c>
      <c r="W37" s="715" t="e">
        <f t="shared" si="14"/>
        <v>#N/A</v>
      </c>
      <c r="X37" s="1508"/>
      <c r="Y37" s="3445"/>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43"/>
      <c r="Q38" s="1496" t="str">
        <f t="shared" si="11"/>
        <v>写字楼等级</v>
      </c>
      <c r="R38" s="710" t="s">
        <v>17</v>
      </c>
      <c r="S38" s="711">
        <f t="shared" si="12"/>
        <v>100</v>
      </c>
      <c r="T38" s="710" t="s">
        <v>17</v>
      </c>
      <c r="U38" s="711">
        <f t="shared" si="13"/>
        <v>100</v>
      </c>
      <c r="V38" s="710" t="s">
        <v>17</v>
      </c>
      <c r="W38" s="711">
        <f t="shared" si="14"/>
        <v>100</v>
      </c>
      <c r="X38" s="712"/>
      <c r="Y38" s="3445"/>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43" t="s">
        <v>2326</v>
      </c>
      <c r="Q39" s="1505" t="str">
        <f t="shared" si="11"/>
        <v>物业管理</v>
      </c>
      <c r="R39" s="714" t="s">
        <v>17</v>
      </c>
      <c r="S39" s="715">
        <f t="shared" si="12"/>
        <v>100</v>
      </c>
      <c r="T39" s="714" t="s">
        <v>17</v>
      </c>
      <c r="U39" s="715">
        <f t="shared" si="13"/>
        <v>100</v>
      </c>
      <c r="V39" s="714" t="s">
        <v>17</v>
      </c>
      <c r="W39" s="715">
        <f t="shared" si="14"/>
        <v>100</v>
      </c>
      <c r="X39" s="1508"/>
      <c r="Y39" s="3445"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43"/>
      <c r="Q40" s="1505" t="str">
        <f t="shared" si="11"/>
        <v>市政基础设施</v>
      </c>
      <c r="R40" s="714" t="s">
        <v>17</v>
      </c>
      <c r="S40" s="715">
        <f t="shared" si="12"/>
        <v>100</v>
      </c>
      <c r="T40" s="714" t="s">
        <v>17</v>
      </c>
      <c r="U40" s="715">
        <f t="shared" si="13"/>
        <v>100</v>
      </c>
      <c r="V40" s="714" t="s">
        <v>17</v>
      </c>
      <c r="W40" s="715">
        <f t="shared" si="14"/>
        <v>100</v>
      </c>
      <c r="X40" s="1508"/>
      <c r="Y40" s="3445"/>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43"/>
      <c r="Q41" s="1505" t="str">
        <f t="shared" si="11"/>
        <v>层高</v>
      </c>
      <c r="R41" s="714" t="s">
        <v>17</v>
      </c>
      <c r="S41" s="715">
        <f t="shared" si="12"/>
        <v>100</v>
      </c>
      <c r="T41" s="714" t="s">
        <v>17</v>
      </c>
      <c r="U41" s="715">
        <f t="shared" si="13"/>
        <v>100</v>
      </c>
      <c r="V41" s="714" t="s">
        <v>17</v>
      </c>
      <c r="W41" s="715">
        <f t="shared" si="14"/>
        <v>100</v>
      </c>
      <c r="X41" s="1508"/>
      <c r="Y41" s="3445"/>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43"/>
      <c r="Q42" s="716" t="str">
        <f t="shared" si="11"/>
        <v>单套建筑面积</v>
      </c>
      <c r="R42" s="717" t="s">
        <v>17</v>
      </c>
      <c r="S42" s="718">
        <f t="shared" si="12"/>
        <v>100</v>
      </c>
      <c r="T42" s="717" t="s">
        <v>17</v>
      </c>
      <c r="U42" s="718">
        <f t="shared" si="13"/>
        <v>100</v>
      </c>
      <c r="V42" s="717" t="s">
        <v>17</v>
      </c>
      <c r="W42" s="718">
        <f t="shared" si="14"/>
        <v>100</v>
      </c>
      <c r="X42" s="719"/>
      <c r="Y42" s="3445"/>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43"/>
      <c r="Q43" s="1505" t="str">
        <f t="shared" si="11"/>
        <v>内部装修</v>
      </c>
      <c r="R43" s="714" t="s">
        <v>17</v>
      </c>
      <c r="S43" s="715">
        <f t="shared" si="12"/>
        <v>100</v>
      </c>
      <c r="T43" s="714" t="s">
        <v>17</v>
      </c>
      <c r="U43" s="715">
        <f t="shared" si="13"/>
        <v>100</v>
      </c>
      <c r="V43" s="714" t="s">
        <v>17</v>
      </c>
      <c r="W43" s="715">
        <f t="shared" si="14"/>
        <v>100</v>
      </c>
      <c r="X43" s="1508"/>
      <c r="Y43" s="3445"/>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43"/>
      <c r="Q44" s="1505" t="str">
        <f t="shared" si="11"/>
        <v>内部装修维护情况</v>
      </c>
      <c r="R44" s="714" t="s">
        <v>17</v>
      </c>
      <c r="S44" s="715">
        <f t="shared" si="12"/>
        <v>100</v>
      </c>
      <c r="T44" s="714" t="s">
        <v>17</v>
      </c>
      <c r="U44" s="715">
        <f t="shared" si="13"/>
        <v>100</v>
      </c>
      <c r="V44" s="714" t="s">
        <v>17</v>
      </c>
      <c r="W44" s="715">
        <f t="shared" si="14"/>
        <v>100</v>
      </c>
      <c r="X44" s="1508"/>
      <c r="Y44" s="3445"/>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43"/>
      <c r="Q45" s="1496">
        <f t="shared" si="11"/>
        <v>111</v>
      </c>
      <c r="R45" s="710" t="s">
        <v>17</v>
      </c>
      <c r="S45" s="711">
        <f t="shared" si="12"/>
        <v>100</v>
      </c>
      <c r="T45" s="710" t="s">
        <v>17</v>
      </c>
      <c r="U45" s="711">
        <f t="shared" si="13"/>
        <v>100</v>
      </c>
      <c r="V45" s="710" t="s">
        <v>17</v>
      </c>
      <c r="W45" s="711">
        <f t="shared" si="14"/>
        <v>100</v>
      </c>
      <c r="X45" s="712"/>
      <c r="Y45" s="3445"/>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43"/>
      <c r="Q46" s="1505">
        <f t="shared" si="11"/>
        <v>111</v>
      </c>
      <c r="R46" s="714" t="s">
        <v>17</v>
      </c>
      <c r="S46" s="715">
        <f t="shared" si="12"/>
        <v>100</v>
      </c>
      <c r="T46" s="714" t="s">
        <v>17</v>
      </c>
      <c r="U46" s="715">
        <f t="shared" si="13"/>
        <v>100</v>
      </c>
      <c r="V46" s="714" t="s">
        <v>17</v>
      </c>
      <c r="W46" s="715">
        <f t="shared" si="14"/>
        <v>100</v>
      </c>
      <c r="X46" s="1508"/>
      <c r="Y46" s="3445"/>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44"/>
      <c r="Q47" s="1505">
        <f t="shared" si="11"/>
        <v>111</v>
      </c>
      <c r="R47" s="714" t="s">
        <v>17</v>
      </c>
      <c r="S47" s="715">
        <f t="shared" si="12"/>
        <v>100</v>
      </c>
      <c r="T47" s="714" t="s">
        <v>17</v>
      </c>
      <c r="U47" s="715">
        <f t="shared" si="13"/>
        <v>100</v>
      </c>
      <c r="V47" s="714" t="s">
        <v>17</v>
      </c>
      <c r="W47" s="715">
        <f t="shared" si="14"/>
        <v>100</v>
      </c>
      <c r="X47" s="1508"/>
      <c r="Y47" s="3446"/>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49" t="str">
        <f>A48</f>
        <v>成交单价（元/平方米）</v>
      </c>
      <c r="Q48" s="3438"/>
      <c r="R48" s="3439">
        <f>E48</f>
        <v>0</v>
      </c>
      <c r="S48" s="3439"/>
      <c r="T48" s="3439">
        <f>G48</f>
        <v>0</v>
      </c>
      <c r="U48" s="3439"/>
      <c r="V48" s="3439">
        <f>I48</f>
        <v>0</v>
      </c>
      <c r="W48" s="3439"/>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449" t="str">
        <f>A49</f>
        <v>比较价值（元/平方米）</v>
      </c>
      <c r="Q49" s="3438"/>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481" t="str">
        <f>A50</f>
        <v>估价对象XX用房的比较价值（楼面单价，元/平方米）</v>
      </c>
      <c r="Q50" s="3482"/>
      <c r="R50" s="3483" t="e">
        <f>IF(F1="售价",ROUND(IF(D49="简单平均",AVERAGE(R49:V49),R49*F49+T49*H49+V49*J49),0),ROUND(IF(D49="简单平均",AVERAGE(R49:V49),R49*F49+T49*H49+V49*J49),1))</f>
        <v>#DIV/0!</v>
      </c>
      <c r="S50" s="3483"/>
      <c r="T50" s="3483"/>
      <c r="U50" s="3483"/>
      <c r="V50" s="3483"/>
      <c r="W50" s="3483"/>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210956.06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3" t="s">
        <v>2407</v>
      </c>
      <c r="D4" s="3454"/>
      <c r="E4" s="3455" t="s">
        <v>2408</v>
      </c>
      <c r="F4" s="3456"/>
      <c r="G4" s="3453" t="s">
        <v>2409</v>
      </c>
      <c r="H4" s="3454"/>
      <c r="I4" s="3453" t="s">
        <v>2410</v>
      </c>
      <c r="J4" s="3454"/>
      <c r="K4" s="567" t="s">
        <v>2411</v>
      </c>
      <c r="L4" s="1044"/>
      <c r="M4" s="1045"/>
      <c r="N4" s="1045"/>
      <c r="O4" s="1045"/>
      <c r="P4" s="3457" t="s">
        <v>2412</v>
      </c>
      <c r="Q4" s="3458"/>
      <c r="R4" s="3463" t="s">
        <v>2408</v>
      </c>
      <c r="S4" s="3464"/>
      <c r="T4" s="3463" t="s">
        <v>2409</v>
      </c>
      <c r="U4" s="3464"/>
      <c r="V4" s="3469" t="s">
        <v>2410</v>
      </c>
      <c r="W4" s="3469"/>
      <c r="X4" s="1508"/>
      <c r="Y4" s="3463" t="s">
        <v>2412</v>
      </c>
      <c r="Z4" s="3464"/>
      <c r="AA4" s="3450" t="s">
        <v>2408</v>
      </c>
      <c r="AB4" s="3451" t="s">
        <v>2409</v>
      </c>
      <c r="AC4" s="3450" t="s">
        <v>2410</v>
      </c>
    </row>
    <row r="5" spans="1:29" ht="15">
      <c r="A5" s="364"/>
      <c r="B5" s="365"/>
      <c r="C5" s="3472" t="s">
        <v>2303</v>
      </c>
      <c r="D5" s="3473"/>
      <c r="E5" s="3479" t="s">
        <v>2304</v>
      </c>
      <c r="F5" s="3480"/>
      <c r="G5" s="3472" t="s">
        <v>2305</v>
      </c>
      <c r="H5" s="3473"/>
      <c r="I5" s="3472" t="s">
        <v>2306</v>
      </c>
      <c r="J5" s="3473"/>
      <c r="K5" s="567"/>
      <c r="L5" s="1044"/>
      <c r="M5" s="1045"/>
      <c r="N5" s="1045"/>
      <c r="O5" s="1045"/>
      <c r="P5" s="3459"/>
      <c r="Q5" s="3460"/>
      <c r="R5" s="3465"/>
      <c r="S5" s="3466"/>
      <c r="T5" s="3465"/>
      <c r="U5" s="3466"/>
      <c r="V5" s="3469"/>
      <c r="W5" s="3469"/>
      <c r="X5" s="1508"/>
      <c r="Y5" s="3465"/>
      <c r="Z5" s="3466"/>
      <c r="AA5" s="3451"/>
      <c r="AB5" s="3451"/>
      <c r="AC5" s="3451"/>
    </row>
    <row r="6" spans="1:29" ht="15.75" thickBot="1">
      <c r="A6" s="366"/>
      <c r="B6" s="367"/>
      <c r="C6" s="3470" t="s">
        <v>2307</v>
      </c>
      <c r="D6" s="3471"/>
      <c r="E6" s="3477" t="s">
        <v>2307</v>
      </c>
      <c r="F6" s="3478"/>
      <c r="G6" s="3470" t="s">
        <v>2307</v>
      </c>
      <c r="H6" s="3471"/>
      <c r="I6" s="3470" t="s">
        <v>2307</v>
      </c>
      <c r="J6" s="3471"/>
      <c r="K6" s="567" t="s">
        <v>2308</v>
      </c>
      <c r="L6" s="1044"/>
      <c r="M6" s="1045"/>
      <c r="N6" s="1045"/>
      <c r="O6" s="1045"/>
      <c r="P6" s="3461"/>
      <c r="Q6" s="3462"/>
      <c r="R6" s="3465"/>
      <c r="S6" s="3466"/>
      <c r="T6" s="3467"/>
      <c r="U6" s="3468"/>
      <c r="V6" s="3469"/>
      <c r="W6" s="3469"/>
      <c r="X6" s="1508"/>
      <c r="Y6" s="3467"/>
      <c r="Z6" s="3468"/>
      <c r="AA6" s="3452"/>
      <c r="AB6" s="3452"/>
      <c r="AC6" s="3452"/>
    </row>
    <row r="7" spans="1:29" s="113" customFormat="1" ht="15.75" thickBot="1">
      <c r="A7" s="368" t="s">
        <v>2309</v>
      </c>
      <c r="B7" s="369"/>
      <c r="C7" s="370">
        <f>'数据-取费表'!B2</f>
        <v>44662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4" t="s">
        <v>2310</v>
      </c>
      <c r="Q7" s="3476"/>
      <c r="R7" s="710" t="s">
        <v>17</v>
      </c>
      <c r="S7" s="711">
        <f t="shared" ref="S7:S15" si="0">F7</f>
        <v>0</v>
      </c>
      <c r="T7" s="710" t="s">
        <v>17</v>
      </c>
      <c r="U7" s="711">
        <f t="shared" ref="U7:U15" si="1">H7</f>
        <v>0</v>
      </c>
      <c r="V7" s="710" t="s">
        <v>17</v>
      </c>
      <c r="W7" s="711">
        <f t="shared" ref="W7:W15" si="2">J7</f>
        <v>0</v>
      </c>
      <c r="X7" s="712"/>
      <c r="Y7" s="3474" t="s">
        <v>2310</v>
      </c>
      <c r="Z7" s="3475"/>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4" t="s">
        <v>2313</v>
      </c>
      <c r="Q8" s="3475"/>
      <c r="R8" s="710" t="s">
        <v>17</v>
      </c>
      <c r="S8" s="711">
        <f t="shared" si="0"/>
        <v>0</v>
      </c>
      <c r="T8" s="710" t="s">
        <v>17</v>
      </c>
      <c r="U8" s="711">
        <f t="shared" si="1"/>
        <v>0</v>
      </c>
      <c r="V8" s="710" t="s">
        <v>17</v>
      </c>
      <c r="W8" s="711">
        <f t="shared" si="2"/>
        <v>0</v>
      </c>
      <c r="X8" s="712"/>
      <c r="Y8" s="3474" t="s">
        <v>2313</v>
      </c>
      <c r="Z8" s="3475"/>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8" t="s">
        <v>2316</v>
      </c>
      <c r="Q9" s="1496"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8"/>
      <c r="Q10" s="1496"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8"/>
      <c r="Q11" s="1496"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38"/>
      <c r="Q12" s="1496">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38"/>
      <c r="Q13" s="1496">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38"/>
      <c r="Q14" s="1496">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0" t="s">
        <v>2321</v>
      </c>
      <c r="Q15" s="1505" t="str">
        <f t="shared" si="6"/>
        <v>产业集聚程度</v>
      </c>
      <c r="R15" s="714" t="s">
        <v>17</v>
      </c>
      <c r="S15" s="715">
        <f t="shared" si="0"/>
        <v>100</v>
      </c>
      <c r="T15" s="714" t="s">
        <v>17</v>
      </c>
      <c r="U15" s="715">
        <f t="shared" si="1"/>
        <v>100</v>
      </c>
      <c r="V15" s="714" t="s">
        <v>17</v>
      </c>
      <c r="W15" s="715">
        <f t="shared" si="2"/>
        <v>100</v>
      </c>
      <c r="X15" s="1508"/>
      <c r="Y15" s="3440"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41"/>
      <c r="Q16" s="1505"/>
      <c r="R16" s="714"/>
      <c r="S16" s="715"/>
      <c r="T16" s="714"/>
      <c r="U16" s="715"/>
      <c r="V16" s="714"/>
      <c r="W16" s="715"/>
      <c r="X16" s="1508"/>
      <c r="Y16" s="3441"/>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1"/>
      <c r="Q17" s="1505" t="str">
        <f>B17</f>
        <v>交通便捷度</v>
      </c>
      <c r="R17" s="714" t="s">
        <v>17</v>
      </c>
      <c r="S17" s="715">
        <f>F17</f>
        <v>100</v>
      </c>
      <c r="T17" s="714" t="s">
        <v>17</v>
      </c>
      <c r="U17" s="715">
        <f>H17</f>
        <v>100</v>
      </c>
      <c r="V17" s="714" t="s">
        <v>17</v>
      </c>
      <c r="W17" s="715">
        <f>J17</f>
        <v>100</v>
      </c>
      <c r="X17" s="1508"/>
      <c r="Y17" s="3441"/>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41"/>
      <c r="Q18" s="1505"/>
      <c r="R18" s="714"/>
      <c r="S18" s="715"/>
      <c r="T18" s="714"/>
      <c r="U18" s="715"/>
      <c r="V18" s="714"/>
      <c r="W18" s="715"/>
      <c r="X18" s="1508"/>
      <c r="Y18" s="3441"/>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1"/>
      <c r="Q19" s="1505" t="str">
        <f>B19</f>
        <v>公共配套设施</v>
      </c>
      <c r="R19" s="714" t="s">
        <v>17</v>
      </c>
      <c r="S19" s="715">
        <f>F19</f>
        <v>100</v>
      </c>
      <c r="T19" s="714" t="s">
        <v>17</v>
      </c>
      <c r="U19" s="715">
        <f>H19</f>
        <v>100</v>
      </c>
      <c r="V19" s="714" t="s">
        <v>17</v>
      </c>
      <c r="W19" s="715">
        <f>J19</f>
        <v>100</v>
      </c>
      <c r="X19" s="1508"/>
      <c r="Y19" s="3441"/>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41"/>
      <c r="Q20" s="1505"/>
      <c r="R20" s="714"/>
      <c r="S20" s="715"/>
      <c r="T20" s="714"/>
      <c r="U20" s="715"/>
      <c r="V20" s="714"/>
      <c r="W20" s="715"/>
      <c r="X20" s="1508"/>
      <c r="Y20" s="3441"/>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1"/>
      <c r="Q21" s="1505" t="str">
        <f>B21</f>
        <v>基础设施水平</v>
      </c>
      <c r="R21" s="714" t="s">
        <v>17</v>
      </c>
      <c r="S21" s="715">
        <f>F21</f>
        <v>100</v>
      </c>
      <c r="T21" s="714" t="s">
        <v>17</v>
      </c>
      <c r="U21" s="715">
        <f>H21</f>
        <v>100</v>
      </c>
      <c r="V21" s="714" t="s">
        <v>17</v>
      </c>
      <c r="W21" s="715">
        <f>J21</f>
        <v>100</v>
      </c>
      <c r="X21" s="1508"/>
      <c r="Y21" s="3441"/>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41"/>
      <c r="Q22" s="1505"/>
      <c r="R22" s="714"/>
      <c r="S22" s="715"/>
      <c r="T22" s="714"/>
      <c r="U22" s="715"/>
      <c r="V22" s="714"/>
      <c r="W22" s="715"/>
      <c r="X22" s="1508"/>
      <c r="Y22" s="3441"/>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1"/>
      <c r="Q23" s="1505" t="str">
        <f>B23</f>
        <v>环境质量</v>
      </c>
      <c r="R23" s="714" t="s">
        <v>17</v>
      </c>
      <c r="S23" s="715">
        <f>F23</f>
        <v>100</v>
      </c>
      <c r="T23" s="714" t="s">
        <v>17</v>
      </c>
      <c r="U23" s="715">
        <f>H23</f>
        <v>100</v>
      </c>
      <c r="V23" s="714" t="s">
        <v>17</v>
      </c>
      <c r="W23" s="715">
        <f>J23</f>
        <v>100</v>
      </c>
      <c r="X23" s="1508"/>
      <c r="Y23" s="3441"/>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41"/>
      <c r="Q24" s="1505"/>
      <c r="R24" s="714"/>
      <c r="S24" s="715"/>
      <c r="T24" s="714"/>
      <c r="U24" s="715"/>
      <c r="V24" s="714"/>
      <c r="W24" s="715"/>
      <c r="X24" s="1508"/>
      <c r="Y24" s="3441"/>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1"/>
      <c r="Q25" s="1505">
        <f>B25</f>
        <v>111</v>
      </c>
      <c r="R25" s="714" t="s">
        <v>17</v>
      </c>
      <c r="S25" s="715">
        <f>F25</f>
        <v>100</v>
      </c>
      <c r="T25" s="714" t="s">
        <v>17</v>
      </c>
      <c r="U25" s="715">
        <f>H25</f>
        <v>100</v>
      </c>
      <c r="V25" s="714" t="s">
        <v>17</v>
      </c>
      <c r="W25" s="715">
        <f>J25</f>
        <v>100</v>
      </c>
      <c r="X25" s="1508"/>
      <c r="Y25" s="3441"/>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1"/>
      <c r="Q26" s="1505">
        <f t="shared" ref="Q26:Q40" si="11">B26</f>
        <v>111</v>
      </c>
      <c r="R26" s="714" t="s">
        <v>17</v>
      </c>
      <c r="S26" s="715">
        <f>F26</f>
        <v>100</v>
      </c>
      <c r="T26" s="714" t="s">
        <v>17</v>
      </c>
      <c r="U26" s="715">
        <f>H26</f>
        <v>100</v>
      </c>
      <c r="V26" s="714" t="s">
        <v>17</v>
      </c>
      <c r="W26" s="715">
        <f>J26</f>
        <v>100</v>
      </c>
      <c r="X26" s="1508"/>
      <c r="Y26" s="3441"/>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1"/>
      <c r="Q27" s="1496">
        <f t="shared" si="11"/>
        <v>111</v>
      </c>
      <c r="R27" s="710" t="s">
        <v>17</v>
      </c>
      <c r="S27" s="711">
        <f>F27</f>
        <v>100</v>
      </c>
      <c r="T27" s="710" t="s">
        <v>17</v>
      </c>
      <c r="U27" s="711">
        <f>H27</f>
        <v>100</v>
      </c>
      <c r="V27" s="710" t="s">
        <v>17</v>
      </c>
      <c r="W27" s="711">
        <f>J27</f>
        <v>100</v>
      </c>
      <c r="X27" s="712"/>
      <c r="Y27" s="3441"/>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1"/>
      <c r="Q28" s="1505">
        <f t="shared" si="11"/>
        <v>111</v>
      </c>
      <c r="R28" s="714" t="s">
        <v>17</v>
      </c>
      <c r="S28" s="715">
        <f t="shared" ref="S28:S40" si="12">F28</f>
        <v>100</v>
      </c>
      <c r="T28" s="714" t="s">
        <v>17</v>
      </c>
      <c r="U28" s="715">
        <f t="shared" ref="U28:U40" si="13">H28</f>
        <v>100</v>
      </c>
      <c r="V28" s="714" t="s">
        <v>17</v>
      </c>
      <c r="W28" s="715">
        <f t="shared" ref="W28:W40" si="14">J28</f>
        <v>100</v>
      </c>
      <c r="X28" s="1508"/>
      <c r="Y28" s="3441"/>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96" t="s">
        <v>2326</v>
      </c>
      <c r="Q29" s="1505" t="str">
        <f t="shared" si="11"/>
        <v>建筑类型</v>
      </c>
      <c r="R29" s="714" t="s">
        <v>17</v>
      </c>
      <c r="S29" s="715">
        <f t="shared" si="12"/>
        <v>100</v>
      </c>
      <c r="T29" s="714" t="s">
        <v>17</v>
      </c>
      <c r="U29" s="715">
        <f t="shared" si="13"/>
        <v>100</v>
      </c>
      <c r="V29" s="714" t="s">
        <v>17</v>
      </c>
      <c r="W29" s="715">
        <f t="shared" si="14"/>
        <v>100</v>
      </c>
      <c r="X29" s="1508"/>
      <c r="Y29" s="3445"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5"/>
      <c r="Q30" s="716" t="str">
        <f t="shared" si="11"/>
        <v>项目建筑规模</v>
      </c>
      <c r="R30" s="717" t="s">
        <v>17</v>
      </c>
      <c r="S30" s="718" t="e">
        <f t="shared" si="12"/>
        <v>#N/A</v>
      </c>
      <c r="T30" s="717" t="s">
        <v>17</v>
      </c>
      <c r="U30" s="718" t="e">
        <f t="shared" si="13"/>
        <v>#N/A</v>
      </c>
      <c r="V30" s="717" t="s">
        <v>17</v>
      </c>
      <c r="W30" s="718" t="e">
        <f t="shared" si="14"/>
        <v>#N/A</v>
      </c>
      <c r="X30" s="719"/>
      <c r="Y30" s="3445"/>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5"/>
      <c r="Q31" s="1505" t="str">
        <f t="shared" si="11"/>
        <v>建筑结构</v>
      </c>
      <c r="R31" s="714" t="s">
        <v>17</v>
      </c>
      <c r="S31" s="715">
        <f t="shared" si="12"/>
        <v>100</v>
      </c>
      <c r="T31" s="714" t="s">
        <v>17</v>
      </c>
      <c r="U31" s="715">
        <f t="shared" si="13"/>
        <v>100</v>
      </c>
      <c r="V31" s="714" t="s">
        <v>17</v>
      </c>
      <c r="W31" s="715">
        <f t="shared" si="14"/>
        <v>100</v>
      </c>
      <c r="X31" s="1508"/>
      <c r="Y31" s="3445"/>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5"/>
      <c r="Q32" s="1505" t="str">
        <f t="shared" si="11"/>
        <v>公共部分装修</v>
      </c>
      <c r="R32" s="714" t="s">
        <v>17</v>
      </c>
      <c r="S32" s="715">
        <f t="shared" si="12"/>
        <v>100</v>
      </c>
      <c r="T32" s="714" t="s">
        <v>17</v>
      </c>
      <c r="U32" s="715">
        <f t="shared" si="13"/>
        <v>100</v>
      </c>
      <c r="V32" s="714" t="s">
        <v>17</v>
      </c>
      <c r="W32" s="715">
        <f t="shared" si="14"/>
        <v>100</v>
      </c>
      <c r="X32" s="1508"/>
      <c r="Y32" s="3445"/>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5"/>
      <c r="Q33" s="1505" t="str">
        <f t="shared" si="11"/>
        <v>成新度</v>
      </c>
      <c r="R33" s="714" t="s">
        <v>17</v>
      </c>
      <c r="S33" s="715" t="e">
        <f t="shared" si="12"/>
        <v>#N/A</v>
      </c>
      <c r="T33" s="714" t="s">
        <v>17</v>
      </c>
      <c r="U33" s="715" t="e">
        <f t="shared" si="13"/>
        <v>#N/A</v>
      </c>
      <c r="V33" s="714" t="s">
        <v>17</v>
      </c>
      <c r="W33" s="715" t="e">
        <f t="shared" si="14"/>
        <v>#N/A</v>
      </c>
      <c r="X33" s="1508"/>
      <c r="Y33" s="3445"/>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5"/>
      <c r="Q34" s="1496" t="str">
        <f t="shared" si="11"/>
        <v>物业管理</v>
      </c>
      <c r="R34" s="710" t="s">
        <v>17</v>
      </c>
      <c r="S34" s="711">
        <f t="shared" si="12"/>
        <v>100</v>
      </c>
      <c r="T34" s="710" t="s">
        <v>17</v>
      </c>
      <c r="U34" s="711">
        <f t="shared" si="13"/>
        <v>100</v>
      </c>
      <c r="V34" s="710" t="s">
        <v>17</v>
      </c>
      <c r="W34" s="711">
        <f t="shared" si="14"/>
        <v>100</v>
      </c>
      <c r="X34" s="712"/>
      <c r="Y34" s="344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5" t="s">
        <v>2326</v>
      </c>
      <c r="Q35" s="1505" t="str">
        <f t="shared" si="11"/>
        <v>市政基础设施</v>
      </c>
      <c r="R35" s="714" t="s">
        <v>17</v>
      </c>
      <c r="S35" s="715">
        <f t="shared" si="12"/>
        <v>100</v>
      </c>
      <c r="T35" s="714" t="s">
        <v>17</v>
      </c>
      <c r="U35" s="715">
        <f t="shared" si="13"/>
        <v>100</v>
      </c>
      <c r="V35" s="714" t="s">
        <v>17</v>
      </c>
      <c r="W35" s="715">
        <f t="shared" si="14"/>
        <v>100</v>
      </c>
      <c r="X35" s="1508"/>
      <c r="Y35" s="3445"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5"/>
      <c r="Q36" s="1505" t="str">
        <f t="shared" si="11"/>
        <v>内部装修</v>
      </c>
      <c r="R36" s="714" t="s">
        <v>17</v>
      </c>
      <c r="S36" s="715">
        <f t="shared" si="12"/>
        <v>100</v>
      </c>
      <c r="T36" s="714" t="s">
        <v>17</v>
      </c>
      <c r="U36" s="715">
        <f t="shared" si="13"/>
        <v>100</v>
      </c>
      <c r="V36" s="714" t="s">
        <v>17</v>
      </c>
      <c r="W36" s="715">
        <f t="shared" si="14"/>
        <v>100</v>
      </c>
      <c r="X36" s="1508"/>
      <c r="Y36" s="3445"/>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5"/>
      <c r="Q37" s="1505" t="str">
        <f t="shared" si="11"/>
        <v>内部装修状况</v>
      </c>
      <c r="R37" s="714" t="s">
        <v>17</v>
      </c>
      <c r="S37" s="715">
        <f t="shared" si="12"/>
        <v>100</v>
      </c>
      <c r="T37" s="714" t="s">
        <v>17</v>
      </c>
      <c r="U37" s="715">
        <f t="shared" si="13"/>
        <v>100</v>
      </c>
      <c r="V37" s="714" t="s">
        <v>17</v>
      </c>
      <c r="W37" s="715">
        <f t="shared" si="14"/>
        <v>100</v>
      </c>
      <c r="X37" s="1508"/>
      <c r="Y37" s="3445"/>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5"/>
      <c r="Q38" s="716">
        <f t="shared" si="11"/>
        <v>111</v>
      </c>
      <c r="R38" s="717" t="s">
        <v>17</v>
      </c>
      <c r="S38" s="718">
        <f t="shared" si="12"/>
        <v>100</v>
      </c>
      <c r="T38" s="717" t="s">
        <v>17</v>
      </c>
      <c r="U38" s="718">
        <f t="shared" si="13"/>
        <v>100</v>
      </c>
      <c r="V38" s="717" t="s">
        <v>17</v>
      </c>
      <c r="W38" s="718">
        <f t="shared" si="14"/>
        <v>100</v>
      </c>
      <c r="X38" s="719"/>
      <c r="Y38" s="3445"/>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5"/>
      <c r="Q39" s="1505">
        <f t="shared" si="11"/>
        <v>111</v>
      </c>
      <c r="R39" s="714" t="s">
        <v>17</v>
      </c>
      <c r="S39" s="715">
        <f t="shared" si="12"/>
        <v>100</v>
      </c>
      <c r="T39" s="714" t="s">
        <v>17</v>
      </c>
      <c r="U39" s="715">
        <f t="shared" si="13"/>
        <v>100</v>
      </c>
      <c r="V39" s="714" t="s">
        <v>17</v>
      </c>
      <c r="W39" s="715">
        <f t="shared" si="14"/>
        <v>100</v>
      </c>
      <c r="X39" s="1508"/>
      <c r="Y39" s="3445"/>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6"/>
      <c r="Q40" s="1505">
        <f t="shared" si="11"/>
        <v>111</v>
      </c>
      <c r="R40" s="714" t="s">
        <v>17</v>
      </c>
      <c r="S40" s="715">
        <f t="shared" si="12"/>
        <v>100</v>
      </c>
      <c r="T40" s="714" t="s">
        <v>17</v>
      </c>
      <c r="U40" s="715">
        <f t="shared" si="13"/>
        <v>100</v>
      </c>
      <c r="V40" s="714" t="s">
        <v>17</v>
      </c>
      <c r="W40" s="715">
        <f t="shared" si="14"/>
        <v>100</v>
      </c>
      <c r="X40" s="1508"/>
      <c r="Y40" s="3446"/>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38" t="str">
        <f>A41</f>
        <v>成交单价（元/平方米）</v>
      </c>
      <c r="Q41" s="3438"/>
      <c r="R41" s="3439">
        <f>E41</f>
        <v>0</v>
      </c>
      <c r="S41" s="3439"/>
      <c r="T41" s="3439">
        <f>G41</f>
        <v>0</v>
      </c>
      <c r="U41" s="3439"/>
      <c r="V41" s="3439">
        <f>I41</f>
        <v>0</v>
      </c>
      <c r="W41" s="3439"/>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38" t="str">
        <f>A42</f>
        <v>比较价值（元/平方米）</v>
      </c>
      <c r="Q42" s="3438"/>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估价对象为北京市房地产，为所有。根据《国有土地使用证》[]，估价对象（分摊）出让国有建设用地使用权面积为55191.78平方米，建筑面积为210956.06平方米。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估价对象为北京市房地产,属开发建设的，该项目尚在开发建设中。根据《国有土地使用证》[]，估价对象（分摊）出让国有建设用地使用权面积为55191.78平方米，规划建筑面积为210956.06平方米。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2022年4月11日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本次评估采用的主估价方法为收益法和成本法。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53" t="s">
        <v>2407</v>
      </c>
      <c r="D4" s="3454"/>
      <c r="E4" s="3455" t="s">
        <v>2408</v>
      </c>
      <c r="F4" s="3456"/>
      <c r="G4" s="3453" t="s">
        <v>2409</v>
      </c>
      <c r="H4" s="3454"/>
      <c r="I4" s="3453" t="s">
        <v>2410</v>
      </c>
      <c r="J4" s="3454"/>
      <c r="K4" s="567" t="s">
        <v>2411</v>
      </c>
      <c r="L4" s="2913"/>
      <c r="M4" s="2914"/>
      <c r="N4" s="2914"/>
      <c r="O4" s="2914"/>
      <c r="P4" s="3457" t="s">
        <v>2412</v>
      </c>
      <c r="Q4" s="3458"/>
      <c r="R4" s="3463" t="s">
        <v>2408</v>
      </c>
      <c r="S4" s="3464"/>
      <c r="T4" s="3463" t="s">
        <v>2409</v>
      </c>
      <c r="U4" s="3464"/>
      <c r="V4" s="3469" t="s">
        <v>2410</v>
      </c>
      <c r="W4" s="3469"/>
      <c r="X4" s="1508"/>
      <c r="Y4" s="3463" t="s">
        <v>2412</v>
      </c>
      <c r="Z4" s="3464"/>
      <c r="AA4" s="3450" t="s">
        <v>2408</v>
      </c>
      <c r="AB4" s="3451" t="s">
        <v>2409</v>
      </c>
      <c r="AC4" s="3450" t="s">
        <v>2410</v>
      </c>
    </row>
    <row r="5" spans="1:29" ht="15">
      <c r="A5" s="364"/>
      <c r="B5" s="365"/>
      <c r="C5" s="3472" t="s">
        <v>2303</v>
      </c>
      <c r="D5" s="3473"/>
      <c r="E5" s="3479" t="s">
        <v>2304</v>
      </c>
      <c r="F5" s="3480"/>
      <c r="G5" s="3472" t="s">
        <v>2305</v>
      </c>
      <c r="H5" s="3473"/>
      <c r="I5" s="3472" t="s">
        <v>2306</v>
      </c>
      <c r="J5" s="3473"/>
      <c r="K5" s="567"/>
      <c r="L5" s="2913"/>
      <c r="M5" s="2914"/>
      <c r="N5" s="2914"/>
      <c r="O5" s="2914"/>
      <c r="P5" s="3459"/>
      <c r="Q5" s="3460"/>
      <c r="R5" s="3465"/>
      <c r="S5" s="3466"/>
      <c r="T5" s="3465"/>
      <c r="U5" s="3466"/>
      <c r="V5" s="3469"/>
      <c r="W5" s="3469"/>
      <c r="X5" s="1508"/>
      <c r="Y5" s="3465"/>
      <c r="Z5" s="3466"/>
      <c r="AA5" s="3451"/>
      <c r="AB5" s="3451"/>
      <c r="AC5" s="3451"/>
    </row>
    <row r="6" spans="1:29" ht="15.75" thickBot="1">
      <c r="A6" s="366"/>
      <c r="B6" s="367"/>
      <c r="C6" s="3470" t="s">
        <v>2307</v>
      </c>
      <c r="D6" s="3471"/>
      <c r="E6" s="3477" t="s">
        <v>2307</v>
      </c>
      <c r="F6" s="3478"/>
      <c r="G6" s="3470" t="s">
        <v>2307</v>
      </c>
      <c r="H6" s="3471"/>
      <c r="I6" s="3470" t="s">
        <v>2307</v>
      </c>
      <c r="J6" s="3471"/>
      <c r="K6" s="567" t="s">
        <v>2308</v>
      </c>
      <c r="L6" s="2913"/>
      <c r="M6" s="2914"/>
      <c r="N6" s="2914"/>
      <c r="O6" s="2914"/>
      <c r="P6" s="3461"/>
      <c r="Q6" s="3462"/>
      <c r="R6" s="3465"/>
      <c r="S6" s="3466"/>
      <c r="T6" s="3467"/>
      <c r="U6" s="3468"/>
      <c r="V6" s="3469"/>
      <c r="W6" s="3469"/>
      <c r="X6" s="1508"/>
      <c r="Y6" s="3467"/>
      <c r="Z6" s="3468"/>
      <c r="AA6" s="3452"/>
      <c r="AB6" s="3452"/>
      <c r="AC6" s="3452"/>
    </row>
    <row r="7" spans="1:29" s="113" customFormat="1" ht="15.75" thickBot="1">
      <c r="A7" s="368" t="s">
        <v>2309</v>
      </c>
      <c r="B7" s="369"/>
      <c r="C7" s="370">
        <f>'数据-取费表'!B2</f>
        <v>44662</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74" t="s">
        <v>2310</v>
      </c>
      <c r="Q7" s="3476"/>
      <c r="R7" s="710" t="s">
        <v>17</v>
      </c>
      <c r="S7" s="711">
        <f t="shared" ref="S7:S14" si="0">F7</f>
        <v>0</v>
      </c>
      <c r="T7" s="710" t="s">
        <v>17</v>
      </c>
      <c r="U7" s="711">
        <f t="shared" ref="U7:U14" si="1">H7</f>
        <v>0</v>
      </c>
      <c r="V7" s="710" t="s">
        <v>17</v>
      </c>
      <c r="W7" s="711">
        <f t="shared" ref="W7:W14" si="2">J7</f>
        <v>0</v>
      </c>
      <c r="X7" s="712"/>
      <c r="Y7" s="3474" t="s">
        <v>2310</v>
      </c>
      <c r="Z7" s="3475"/>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74" t="s">
        <v>2313</v>
      </c>
      <c r="Q8" s="3475"/>
      <c r="R8" s="710" t="s">
        <v>17</v>
      </c>
      <c r="S8" s="711">
        <f t="shared" si="0"/>
        <v>0</v>
      </c>
      <c r="T8" s="710" t="s">
        <v>17</v>
      </c>
      <c r="U8" s="711">
        <f t="shared" si="1"/>
        <v>0</v>
      </c>
      <c r="V8" s="710" t="s">
        <v>17</v>
      </c>
      <c r="W8" s="711">
        <f t="shared" si="2"/>
        <v>0</v>
      </c>
      <c r="X8" s="712"/>
      <c r="Y8" s="3474" t="s">
        <v>2313</v>
      </c>
      <c r="Z8" s="3475"/>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38" t="s">
        <v>2316</v>
      </c>
      <c r="Q9" s="1496" t="str">
        <f t="shared" ref="Q9:Q14" si="6">B9</f>
        <v>用途</v>
      </c>
      <c r="R9" s="710" t="s">
        <v>17</v>
      </c>
      <c r="S9" s="711">
        <f t="shared" si="0"/>
        <v>100</v>
      </c>
      <c r="T9" s="710" t="s">
        <v>17</v>
      </c>
      <c r="U9" s="711">
        <f t="shared" si="1"/>
        <v>100</v>
      </c>
      <c r="V9" s="710" t="s">
        <v>17</v>
      </c>
      <c r="W9" s="711">
        <f t="shared" si="2"/>
        <v>100</v>
      </c>
      <c r="X9" s="712"/>
      <c r="Y9" s="3310"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38"/>
      <c r="Q10" s="1496"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38"/>
      <c r="Q11" s="1496">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38"/>
      <c r="Q12" s="1496">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38"/>
      <c r="Q13" s="1496">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40" t="s">
        <v>2321</v>
      </c>
      <c r="Q14" s="1505" t="str">
        <f t="shared" si="6"/>
        <v>交通便捷度</v>
      </c>
      <c r="R14" s="714" t="s">
        <v>17</v>
      </c>
      <c r="S14" s="715">
        <f t="shared" si="0"/>
        <v>100</v>
      </c>
      <c r="T14" s="714" t="s">
        <v>17</v>
      </c>
      <c r="U14" s="715">
        <f t="shared" si="1"/>
        <v>100</v>
      </c>
      <c r="V14" s="714" t="s">
        <v>17</v>
      </c>
      <c r="W14" s="715">
        <f t="shared" si="2"/>
        <v>100</v>
      </c>
      <c r="X14" s="1508"/>
      <c r="Y14" s="3440"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41"/>
      <c r="Q15" s="1505"/>
      <c r="R15" s="714"/>
      <c r="S15" s="715"/>
      <c r="T15" s="714"/>
      <c r="U15" s="715"/>
      <c r="V15" s="714"/>
      <c r="W15" s="715"/>
      <c r="X15" s="1508"/>
      <c r="Y15" s="3441"/>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41"/>
      <c r="Q16" s="1505" t="str">
        <f>B16</f>
        <v>公共配套设施</v>
      </c>
      <c r="R16" s="714" t="s">
        <v>17</v>
      </c>
      <c r="S16" s="715">
        <f>F16</f>
        <v>100</v>
      </c>
      <c r="T16" s="714" t="s">
        <v>17</v>
      </c>
      <c r="U16" s="715">
        <f>H16</f>
        <v>100</v>
      </c>
      <c r="V16" s="714" t="s">
        <v>17</v>
      </c>
      <c r="W16" s="715">
        <f>J16</f>
        <v>100</v>
      </c>
      <c r="X16" s="1508"/>
      <c r="Y16" s="3441"/>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41"/>
      <c r="Q17" s="1505"/>
      <c r="R17" s="714"/>
      <c r="S17" s="715"/>
      <c r="T17" s="714"/>
      <c r="U17" s="715"/>
      <c r="V17" s="714"/>
      <c r="W17" s="715"/>
      <c r="X17" s="1508"/>
      <c r="Y17" s="3441"/>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41"/>
      <c r="Q18" s="1505" t="str">
        <f>B18</f>
        <v>基础设施水平</v>
      </c>
      <c r="R18" s="714" t="s">
        <v>17</v>
      </c>
      <c r="S18" s="715">
        <f>F18</f>
        <v>100</v>
      </c>
      <c r="T18" s="714" t="s">
        <v>17</v>
      </c>
      <c r="U18" s="715">
        <f>H18</f>
        <v>100</v>
      </c>
      <c r="V18" s="714" t="s">
        <v>17</v>
      </c>
      <c r="W18" s="715">
        <f>J18</f>
        <v>100</v>
      </c>
      <c r="X18" s="1508"/>
      <c r="Y18" s="3441"/>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41"/>
      <c r="Q19" s="1505"/>
      <c r="R19" s="714"/>
      <c r="S19" s="715"/>
      <c r="T19" s="714"/>
      <c r="U19" s="715"/>
      <c r="V19" s="714"/>
      <c r="W19" s="715"/>
      <c r="X19" s="1508"/>
      <c r="Y19" s="3441"/>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41"/>
      <c r="Q20" s="1505" t="str">
        <f>B20</f>
        <v>自然及人文环境</v>
      </c>
      <c r="R20" s="714" t="s">
        <v>17</v>
      </c>
      <c r="S20" s="715">
        <f>F20</f>
        <v>100</v>
      </c>
      <c r="T20" s="714" t="s">
        <v>17</v>
      </c>
      <c r="U20" s="715">
        <f>H20</f>
        <v>100</v>
      </c>
      <c r="V20" s="714" t="s">
        <v>17</v>
      </c>
      <c r="W20" s="715">
        <f>J20</f>
        <v>100</v>
      </c>
      <c r="X20" s="1508"/>
      <c r="Y20" s="3441"/>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41"/>
      <c r="Q21" s="1505"/>
      <c r="R21" s="714"/>
      <c r="S21" s="715"/>
      <c r="T21" s="714"/>
      <c r="U21" s="715"/>
      <c r="V21" s="714"/>
      <c r="W21" s="715"/>
      <c r="X21" s="1508"/>
      <c r="Y21" s="3441"/>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41"/>
      <c r="Q22" s="1505" t="str">
        <f>B22</f>
        <v>楼层</v>
      </c>
      <c r="R22" s="714" t="s">
        <v>17</v>
      </c>
      <c r="S22" s="715">
        <f>F22</f>
        <v>100</v>
      </c>
      <c r="T22" s="714" t="s">
        <v>17</v>
      </c>
      <c r="U22" s="715">
        <f>H22</f>
        <v>100</v>
      </c>
      <c r="V22" s="714" t="s">
        <v>17</v>
      </c>
      <c r="W22" s="715">
        <f>J22</f>
        <v>100</v>
      </c>
      <c r="X22" s="1508"/>
      <c r="Y22" s="3441"/>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41"/>
      <c r="Q23" s="1505">
        <f>B23</f>
        <v>111</v>
      </c>
      <c r="R23" s="714" t="s">
        <v>17</v>
      </c>
      <c r="S23" s="715">
        <f>F23</f>
        <v>100</v>
      </c>
      <c r="T23" s="714" t="s">
        <v>17</v>
      </c>
      <c r="U23" s="715">
        <f>H23</f>
        <v>100</v>
      </c>
      <c r="V23" s="714" t="s">
        <v>17</v>
      </c>
      <c r="W23" s="715">
        <f>J23</f>
        <v>100</v>
      </c>
      <c r="X23" s="1508"/>
      <c r="Y23" s="3441"/>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41"/>
      <c r="Q24" s="1505">
        <f t="shared" ref="Q24:Q36" si="11">B24</f>
        <v>111</v>
      </c>
      <c r="R24" s="714" t="s">
        <v>17</v>
      </c>
      <c r="S24" s="715">
        <f>F24</f>
        <v>100</v>
      </c>
      <c r="T24" s="714" t="s">
        <v>17</v>
      </c>
      <c r="U24" s="715">
        <f>H24</f>
        <v>100</v>
      </c>
      <c r="V24" s="714" t="s">
        <v>17</v>
      </c>
      <c r="W24" s="715">
        <f>J24</f>
        <v>100</v>
      </c>
      <c r="X24" s="1508"/>
      <c r="Y24" s="3441"/>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41"/>
      <c r="Q25" s="1496">
        <f t="shared" si="11"/>
        <v>111</v>
      </c>
      <c r="R25" s="710" t="s">
        <v>17</v>
      </c>
      <c r="S25" s="711">
        <f>F25</f>
        <v>100</v>
      </c>
      <c r="T25" s="710" t="s">
        <v>17</v>
      </c>
      <c r="U25" s="711">
        <f>H25</f>
        <v>100</v>
      </c>
      <c r="V25" s="710" t="s">
        <v>17</v>
      </c>
      <c r="W25" s="711">
        <f>J25</f>
        <v>100</v>
      </c>
      <c r="X25" s="712"/>
      <c r="Y25" s="3441"/>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496"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45"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45"/>
      <c r="Q27" s="716" t="str">
        <f t="shared" si="11"/>
        <v>项目停车位配比</v>
      </c>
      <c r="R27" s="717" t="s">
        <v>17</v>
      </c>
      <c r="S27" s="718">
        <f t="shared" si="12"/>
        <v>100</v>
      </c>
      <c r="T27" s="717" t="s">
        <v>17</v>
      </c>
      <c r="U27" s="718">
        <f t="shared" si="13"/>
        <v>100</v>
      </c>
      <c r="V27" s="717" t="s">
        <v>17</v>
      </c>
      <c r="W27" s="718">
        <f t="shared" si="14"/>
        <v>100</v>
      </c>
      <c r="X27" s="719"/>
      <c r="Y27" s="3445"/>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45"/>
      <c r="Q28" s="1505" t="str">
        <f t="shared" si="11"/>
        <v>公共部分装修</v>
      </c>
      <c r="R28" s="714" t="s">
        <v>17</v>
      </c>
      <c r="S28" s="715">
        <f t="shared" si="12"/>
        <v>100</v>
      </c>
      <c r="T28" s="714" t="s">
        <v>17</v>
      </c>
      <c r="U28" s="715">
        <f t="shared" si="13"/>
        <v>100</v>
      </c>
      <c r="V28" s="714" t="s">
        <v>17</v>
      </c>
      <c r="W28" s="715">
        <f t="shared" si="14"/>
        <v>100</v>
      </c>
      <c r="X28" s="1508"/>
      <c r="Y28" s="3445"/>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45"/>
      <c r="Q29" s="1505" t="str">
        <f t="shared" si="11"/>
        <v>成新率</v>
      </c>
      <c r="R29" s="714" t="s">
        <v>17</v>
      </c>
      <c r="S29" s="715" t="e">
        <f t="shared" si="12"/>
        <v>#N/A</v>
      </c>
      <c r="T29" s="714" t="s">
        <v>17</v>
      </c>
      <c r="U29" s="715" t="e">
        <f t="shared" si="13"/>
        <v>#N/A</v>
      </c>
      <c r="V29" s="714" t="s">
        <v>17</v>
      </c>
      <c r="W29" s="715" t="e">
        <f t="shared" si="14"/>
        <v>#N/A</v>
      </c>
      <c r="X29" s="1508"/>
      <c r="Y29" s="3445"/>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45"/>
      <c r="Q30" s="1505" t="str">
        <f t="shared" si="11"/>
        <v>物业等级</v>
      </c>
      <c r="R30" s="714" t="s">
        <v>17</v>
      </c>
      <c r="S30" s="715">
        <f t="shared" si="12"/>
        <v>100</v>
      </c>
      <c r="T30" s="714" t="s">
        <v>17</v>
      </c>
      <c r="U30" s="715">
        <f t="shared" si="13"/>
        <v>100</v>
      </c>
      <c r="V30" s="714" t="s">
        <v>17</v>
      </c>
      <c r="W30" s="715">
        <f t="shared" si="14"/>
        <v>100</v>
      </c>
      <c r="X30" s="1508"/>
      <c r="Y30" s="3445"/>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45"/>
      <c r="Q31" s="1496" t="str">
        <f t="shared" si="11"/>
        <v>停车位面积</v>
      </c>
      <c r="R31" s="710" t="s">
        <v>17</v>
      </c>
      <c r="S31" s="711" t="e">
        <f t="shared" si="12"/>
        <v>#N/A</v>
      </c>
      <c r="T31" s="710" t="s">
        <v>17</v>
      </c>
      <c r="U31" s="711" t="e">
        <f t="shared" si="13"/>
        <v>#N/A</v>
      </c>
      <c r="V31" s="710" t="s">
        <v>17</v>
      </c>
      <c r="W31" s="711" t="e">
        <f t="shared" si="14"/>
        <v>#N/A</v>
      </c>
      <c r="X31" s="712"/>
      <c r="Y31" s="344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45" t="s">
        <v>2326</v>
      </c>
      <c r="Q32" s="1505" t="str">
        <f t="shared" si="11"/>
        <v>车位类型</v>
      </c>
      <c r="R32" s="714" t="s">
        <v>17</v>
      </c>
      <c r="S32" s="715">
        <f t="shared" si="12"/>
        <v>100</v>
      </c>
      <c r="T32" s="714" t="s">
        <v>17</v>
      </c>
      <c r="U32" s="715">
        <f t="shared" si="13"/>
        <v>100</v>
      </c>
      <c r="V32" s="714" t="s">
        <v>17</v>
      </c>
      <c r="W32" s="715">
        <f t="shared" si="14"/>
        <v>100</v>
      </c>
      <c r="X32" s="1508"/>
      <c r="Y32" s="3445"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45"/>
      <c r="Q33" s="1505" t="str">
        <f t="shared" si="11"/>
        <v>是否直接入户</v>
      </c>
      <c r="R33" s="714" t="s">
        <v>17</v>
      </c>
      <c r="S33" s="715">
        <f t="shared" si="12"/>
        <v>100</v>
      </c>
      <c r="T33" s="714" t="s">
        <v>17</v>
      </c>
      <c r="U33" s="715">
        <f t="shared" si="13"/>
        <v>100</v>
      </c>
      <c r="V33" s="714" t="s">
        <v>17</v>
      </c>
      <c r="W33" s="715">
        <f t="shared" si="14"/>
        <v>100</v>
      </c>
      <c r="X33" s="1508"/>
      <c r="Y33" s="3445"/>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45"/>
      <c r="Q34" s="1505">
        <f t="shared" si="11"/>
        <v>111</v>
      </c>
      <c r="R34" s="714" t="s">
        <v>17</v>
      </c>
      <c r="S34" s="715">
        <f t="shared" si="12"/>
        <v>100</v>
      </c>
      <c r="T34" s="714" t="s">
        <v>17</v>
      </c>
      <c r="U34" s="715">
        <f t="shared" si="13"/>
        <v>100</v>
      </c>
      <c r="V34" s="714" t="s">
        <v>17</v>
      </c>
      <c r="W34" s="715">
        <f t="shared" si="14"/>
        <v>100</v>
      </c>
      <c r="X34" s="1508"/>
      <c r="Y34" s="3445"/>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45"/>
      <c r="Q35" s="716">
        <f t="shared" si="11"/>
        <v>111</v>
      </c>
      <c r="R35" s="717" t="s">
        <v>17</v>
      </c>
      <c r="S35" s="718">
        <f t="shared" si="12"/>
        <v>100</v>
      </c>
      <c r="T35" s="717" t="s">
        <v>17</v>
      </c>
      <c r="U35" s="718">
        <f t="shared" si="13"/>
        <v>100</v>
      </c>
      <c r="V35" s="717" t="s">
        <v>17</v>
      </c>
      <c r="W35" s="718">
        <f t="shared" si="14"/>
        <v>100</v>
      </c>
      <c r="X35" s="719"/>
      <c r="Y35" s="3445"/>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45"/>
      <c r="Q36" s="1505">
        <f t="shared" si="11"/>
        <v>111</v>
      </c>
      <c r="R36" s="714" t="s">
        <v>17</v>
      </c>
      <c r="S36" s="715">
        <f t="shared" si="12"/>
        <v>100</v>
      </c>
      <c r="T36" s="714" t="s">
        <v>17</v>
      </c>
      <c r="U36" s="715">
        <f t="shared" si="13"/>
        <v>100</v>
      </c>
      <c r="V36" s="714" t="s">
        <v>17</v>
      </c>
      <c r="W36" s="715">
        <f t="shared" si="14"/>
        <v>100</v>
      </c>
      <c r="X36" s="1508"/>
      <c r="Y36" s="3445"/>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38" t="str">
        <f>A37</f>
        <v>成交单价</v>
      </c>
      <c r="Q37" s="3438"/>
      <c r="R37" s="3439">
        <f>E37</f>
        <v>0</v>
      </c>
      <c r="S37" s="3439"/>
      <c r="T37" s="3439">
        <f>G37</f>
        <v>0</v>
      </c>
      <c r="U37" s="3439"/>
      <c r="V37" s="3439">
        <f>I37</f>
        <v>0</v>
      </c>
      <c r="W37" s="3439"/>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38" t="str">
        <f>A38</f>
        <v>比较价值（元/平方米）</v>
      </c>
      <c r="Q38" s="3438"/>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35" t="str">
        <f>A39</f>
        <v>估价对象XX用房的比较价值（楼面单价，元/平方米）</v>
      </c>
      <c r="Q39" s="3436"/>
      <c r="R39" s="3497" t="e">
        <f>IF(F1="售价",ROUND(IF(D38="简单平均",AVERAGE(R38:W38),R38*F38+T38*H38+V38*J38),0),ROUND(IF(D38="简单平均",AVERAGE(R38:V38),R38*F38+T38*H38+V38*J38),1))</f>
        <v>#DIV/0!</v>
      </c>
      <c r="S39" s="3497"/>
      <c r="T39" s="3497"/>
      <c r="U39" s="3497"/>
      <c r="V39" s="3497"/>
      <c r="W39" s="3497"/>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3" t="s">
        <v>2407</v>
      </c>
      <c r="D4" s="3454"/>
      <c r="E4" s="3455" t="s">
        <v>2408</v>
      </c>
      <c r="F4" s="3456"/>
      <c r="G4" s="3453" t="s">
        <v>2409</v>
      </c>
      <c r="H4" s="3454"/>
      <c r="I4" s="3453" t="s">
        <v>2410</v>
      </c>
      <c r="J4" s="3454"/>
      <c r="K4" s="567" t="s">
        <v>2411</v>
      </c>
      <c r="L4" s="2913"/>
      <c r="M4" s="2914"/>
      <c r="N4" s="2914"/>
      <c r="O4" s="2914"/>
      <c r="P4" s="3457" t="s">
        <v>2412</v>
      </c>
      <c r="Q4" s="3458"/>
      <c r="R4" s="3463" t="s">
        <v>2408</v>
      </c>
      <c r="S4" s="3464"/>
      <c r="T4" s="3463" t="s">
        <v>2409</v>
      </c>
      <c r="U4" s="3464"/>
      <c r="V4" s="3469" t="s">
        <v>2410</v>
      </c>
      <c r="W4" s="3469"/>
      <c r="X4" s="1508"/>
      <c r="Y4" s="3463" t="s">
        <v>2412</v>
      </c>
      <c r="Z4" s="3464"/>
      <c r="AA4" s="3450" t="s">
        <v>2408</v>
      </c>
      <c r="AB4" s="3451" t="s">
        <v>2409</v>
      </c>
      <c r="AC4" s="3450" t="s">
        <v>2410</v>
      </c>
    </row>
    <row r="5" spans="1:29" ht="15">
      <c r="A5" s="364"/>
      <c r="B5" s="365"/>
      <c r="C5" s="3472" t="s">
        <v>2303</v>
      </c>
      <c r="D5" s="3473"/>
      <c r="E5" s="3479" t="s">
        <v>2304</v>
      </c>
      <c r="F5" s="3480"/>
      <c r="G5" s="3472" t="s">
        <v>2305</v>
      </c>
      <c r="H5" s="3473"/>
      <c r="I5" s="3472" t="s">
        <v>2306</v>
      </c>
      <c r="J5" s="3473"/>
      <c r="K5" s="567"/>
      <c r="L5" s="2913"/>
      <c r="M5" s="2914"/>
      <c r="N5" s="2914"/>
      <c r="O5" s="2914"/>
      <c r="P5" s="3459"/>
      <c r="Q5" s="3460"/>
      <c r="R5" s="3465"/>
      <c r="S5" s="3466"/>
      <c r="T5" s="3465"/>
      <c r="U5" s="3466"/>
      <c r="V5" s="3469"/>
      <c r="W5" s="3469"/>
      <c r="X5" s="1508"/>
      <c r="Y5" s="3465"/>
      <c r="Z5" s="3466"/>
      <c r="AA5" s="3451"/>
      <c r="AB5" s="3451"/>
      <c r="AC5" s="3451"/>
    </row>
    <row r="6" spans="1:29" ht="15.75" thickBot="1">
      <c r="A6" s="366"/>
      <c r="B6" s="367"/>
      <c r="C6" s="3470" t="s">
        <v>2307</v>
      </c>
      <c r="D6" s="3471"/>
      <c r="E6" s="3477" t="s">
        <v>2307</v>
      </c>
      <c r="F6" s="3478"/>
      <c r="G6" s="3470" t="s">
        <v>2307</v>
      </c>
      <c r="H6" s="3471"/>
      <c r="I6" s="3470" t="s">
        <v>2307</v>
      </c>
      <c r="J6" s="3471"/>
      <c r="K6" s="567" t="s">
        <v>2308</v>
      </c>
      <c r="L6" s="2913"/>
      <c r="M6" s="2914"/>
      <c r="N6" s="2914"/>
      <c r="O6" s="2914"/>
      <c r="P6" s="3461"/>
      <c r="Q6" s="3462"/>
      <c r="R6" s="3465"/>
      <c r="S6" s="3466"/>
      <c r="T6" s="3467"/>
      <c r="U6" s="3468"/>
      <c r="V6" s="3469"/>
      <c r="W6" s="3469"/>
      <c r="X6" s="1508"/>
      <c r="Y6" s="3467"/>
      <c r="Z6" s="3468"/>
      <c r="AA6" s="3452"/>
      <c r="AB6" s="3452"/>
      <c r="AC6" s="3452"/>
    </row>
    <row r="7" spans="1:29" s="113" customFormat="1" ht="15.75" thickBot="1">
      <c r="A7" s="368" t="s">
        <v>2309</v>
      </c>
      <c r="B7" s="369"/>
      <c r="C7" s="370">
        <f>'数据-取费表'!B2</f>
        <v>44662</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74" t="s">
        <v>2310</v>
      </c>
      <c r="Q7" s="3476"/>
      <c r="R7" s="710" t="s">
        <v>17</v>
      </c>
      <c r="S7" s="711">
        <f t="shared" ref="S7:S14" si="0">F7</f>
        <v>0</v>
      </c>
      <c r="T7" s="710" t="s">
        <v>17</v>
      </c>
      <c r="U7" s="711">
        <f t="shared" ref="U7:U14" si="1">H7</f>
        <v>0</v>
      </c>
      <c r="V7" s="710" t="s">
        <v>17</v>
      </c>
      <c r="W7" s="711">
        <f t="shared" ref="W7:W14" si="2">J7</f>
        <v>0</v>
      </c>
      <c r="X7" s="712"/>
      <c r="Y7" s="3474" t="s">
        <v>2310</v>
      </c>
      <c r="Z7" s="3475"/>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74" t="s">
        <v>2313</v>
      </c>
      <c r="Q8" s="3475"/>
      <c r="R8" s="710" t="s">
        <v>17</v>
      </c>
      <c r="S8" s="711">
        <f t="shared" si="0"/>
        <v>0</v>
      </c>
      <c r="T8" s="710" t="s">
        <v>17</v>
      </c>
      <c r="U8" s="711">
        <f t="shared" si="1"/>
        <v>0</v>
      </c>
      <c r="V8" s="710" t="s">
        <v>17</v>
      </c>
      <c r="W8" s="711">
        <f t="shared" si="2"/>
        <v>0</v>
      </c>
      <c r="X8" s="712"/>
      <c r="Y8" s="3474" t="s">
        <v>2313</v>
      </c>
      <c r="Z8" s="3475"/>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38" t="s">
        <v>2316</v>
      </c>
      <c r="Q9" s="1496" t="str">
        <f t="shared" ref="Q9:Q14" si="6">B9</f>
        <v>用途</v>
      </c>
      <c r="R9" s="710" t="s">
        <v>17</v>
      </c>
      <c r="S9" s="711">
        <f t="shared" si="0"/>
        <v>100</v>
      </c>
      <c r="T9" s="710" t="s">
        <v>17</v>
      </c>
      <c r="U9" s="711">
        <f t="shared" si="1"/>
        <v>100</v>
      </c>
      <c r="V9" s="710" t="s">
        <v>17</v>
      </c>
      <c r="W9" s="711">
        <f t="shared" si="2"/>
        <v>100</v>
      </c>
      <c r="X9" s="712"/>
      <c r="Y9" s="3310"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38"/>
      <c r="Q10" s="1496"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38"/>
      <c r="Q11" s="1496">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38"/>
      <c r="Q12" s="1496">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38"/>
      <c r="Q13" s="1496">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40" t="s">
        <v>2321</v>
      </c>
      <c r="Q14" s="1505" t="str">
        <f t="shared" si="6"/>
        <v>交通便捷度</v>
      </c>
      <c r="R14" s="714" t="s">
        <v>17</v>
      </c>
      <c r="S14" s="715">
        <f t="shared" si="0"/>
        <v>100</v>
      </c>
      <c r="T14" s="714" t="s">
        <v>17</v>
      </c>
      <c r="U14" s="715">
        <f t="shared" si="1"/>
        <v>100</v>
      </c>
      <c r="V14" s="714" t="s">
        <v>17</v>
      </c>
      <c r="W14" s="715">
        <f t="shared" si="2"/>
        <v>100</v>
      </c>
      <c r="X14" s="1508"/>
      <c r="Y14" s="3440"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41"/>
      <c r="Q15" s="1505"/>
      <c r="R15" s="714"/>
      <c r="S15" s="715"/>
      <c r="T15" s="714"/>
      <c r="U15" s="715"/>
      <c r="V15" s="714"/>
      <c r="W15" s="715"/>
      <c r="X15" s="1508"/>
      <c r="Y15" s="3441"/>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41"/>
      <c r="Q16" s="1505" t="str">
        <f>B16</f>
        <v>公共配套设施</v>
      </c>
      <c r="R16" s="714" t="s">
        <v>17</v>
      </c>
      <c r="S16" s="715">
        <f>F16</f>
        <v>100</v>
      </c>
      <c r="T16" s="714" t="s">
        <v>17</v>
      </c>
      <c r="U16" s="715">
        <f>H16</f>
        <v>100</v>
      </c>
      <c r="V16" s="714" t="s">
        <v>17</v>
      </c>
      <c r="W16" s="715">
        <f>J16</f>
        <v>100</v>
      </c>
      <c r="X16" s="1508"/>
      <c r="Y16" s="3441"/>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41"/>
      <c r="Q17" s="1505"/>
      <c r="R17" s="714"/>
      <c r="S17" s="715"/>
      <c r="T17" s="714"/>
      <c r="U17" s="715"/>
      <c r="V17" s="714"/>
      <c r="W17" s="715"/>
      <c r="X17" s="1508"/>
      <c r="Y17" s="3441"/>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41"/>
      <c r="Q18" s="1505" t="str">
        <f>B18</f>
        <v>基础设施水平</v>
      </c>
      <c r="R18" s="714" t="s">
        <v>17</v>
      </c>
      <c r="S18" s="715">
        <f>F18</f>
        <v>100</v>
      </c>
      <c r="T18" s="714" t="s">
        <v>17</v>
      </c>
      <c r="U18" s="715">
        <f>H18</f>
        <v>100</v>
      </c>
      <c r="V18" s="714" t="s">
        <v>17</v>
      </c>
      <c r="W18" s="715">
        <f>J18</f>
        <v>100</v>
      </c>
      <c r="X18" s="1508"/>
      <c r="Y18" s="3441"/>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41"/>
      <c r="Q19" s="1505"/>
      <c r="R19" s="714"/>
      <c r="S19" s="715"/>
      <c r="T19" s="714"/>
      <c r="U19" s="715"/>
      <c r="V19" s="714"/>
      <c r="W19" s="715"/>
      <c r="X19" s="1508"/>
      <c r="Y19" s="3441"/>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41"/>
      <c r="Q20" s="1505" t="str">
        <f>B20</f>
        <v>自然及人文环境</v>
      </c>
      <c r="R20" s="714" t="s">
        <v>17</v>
      </c>
      <c r="S20" s="715">
        <f>F20</f>
        <v>100</v>
      </c>
      <c r="T20" s="714" t="s">
        <v>17</v>
      </c>
      <c r="U20" s="715">
        <f>H20</f>
        <v>100</v>
      </c>
      <c r="V20" s="714" t="s">
        <v>17</v>
      </c>
      <c r="W20" s="715">
        <f>J20</f>
        <v>100</v>
      </c>
      <c r="X20" s="1508"/>
      <c r="Y20" s="3441"/>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41"/>
      <c r="Q21" s="1505"/>
      <c r="R21" s="714"/>
      <c r="S21" s="715"/>
      <c r="T21" s="714"/>
      <c r="U21" s="715"/>
      <c r="V21" s="714"/>
      <c r="W21" s="715"/>
      <c r="X21" s="1508"/>
      <c r="Y21" s="3441"/>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41"/>
      <c r="Q22" s="1505" t="str">
        <f>B22</f>
        <v>楼层</v>
      </c>
      <c r="R22" s="714" t="s">
        <v>17</v>
      </c>
      <c r="S22" s="715">
        <f>F22</f>
        <v>100</v>
      </c>
      <c r="T22" s="714" t="s">
        <v>17</v>
      </c>
      <c r="U22" s="715">
        <f>H22</f>
        <v>100</v>
      </c>
      <c r="V22" s="714" t="s">
        <v>17</v>
      </c>
      <c r="W22" s="715">
        <f>J22</f>
        <v>100</v>
      </c>
      <c r="X22" s="1508"/>
      <c r="Y22" s="3441"/>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41"/>
      <c r="Q23" s="1505">
        <f>B23</f>
        <v>111</v>
      </c>
      <c r="R23" s="714" t="s">
        <v>17</v>
      </c>
      <c r="S23" s="715">
        <f>F23</f>
        <v>100</v>
      </c>
      <c r="T23" s="714" t="s">
        <v>17</v>
      </c>
      <c r="U23" s="715">
        <f>H23</f>
        <v>100</v>
      </c>
      <c r="V23" s="714" t="s">
        <v>17</v>
      </c>
      <c r="W23" s="715">
        <f>J23</f>
        <v>100</v>
      </c>
      <c r="X23" s="1508"/>
      <c r="Y23" s="3441"/>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41"/>
      <c r="Q24" s="1505">
        <f t="shared" ref="Q24:Q34" si="11">B24</f>
        <v>111</v>
      </c>
      <c r="R24" s="714" t="s">
        <v>17</v>
      </c>
      <c r="S24" s="715">
        <f>F24</f>
        <v>100</v>
      </c>
      <c r="T24" s="714" t="s">
        <v>17</v>
      </c>
      <c r="U24" s="715">
        <f>H24</f>
        <v>100</v>
      </c>
      <c r="V24" s="714" t="s">
        <v>17</v>
      </c>
      <c r="W24" s="715">
        <f>J24</f>
        <v>100</v>
      </c>
      <c r="X24" s="1508"/>
      <c r="Y24" s="3441"/>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41"/>
      <c r="Q25" s="1496">
        <f t="shared" si="11"/>
        <v>111</v>
      </c>
      <c r="R25" s="710" t="s">
        <v>17</v>
      </c>
      <c r="S25" s="711">
        <f>F25</f>
        <v>100</v>
      </c>
      <c r="T25" s="710" t="s">
        <v>17</v>
      </c>
      <c r="U25" s="711">
        <f>H25</f>
        <v>100</v>
      </c>
      <c r="V25" s="710" t="s">
        <v>17</v>
      </c>
      <c r="W25" s="711">
        <f>J25</f>
        <v>100</v>
      </c>
      <c r="X25" s="712"/>
      <c r="Y25" s="3441"/>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96"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45"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45"/>
      <c r="Q27" s="716" t="str">
        <f t="shared" si="11"/>
        <v>成新率</v>
      </c>
      <c r="R27" s="717" t="s">
        <v>17</v>
      </c>
      <c r="S27" s="718" t="e">
        <f t="shared" si="12"/>
        <v>#N/A</v>
      </c>
      <c r="T27" s="717" t="s">
        <v>17</v>
      </c>
      <c r="U27" s="718" t="e">
        <f t="shared" si="13"/>
        <v>#N/A</v>
      </c>
      <c r="V27" s="717" t="s">
        <v>17</v>
      </c>
      <c r="W27" s="718" t="e">
        <f t="shared" si="14"/>
        <v>#N/A</v>
      </c>
      <c r="X27" s="719"/>
      <c r="Y27" s="3445"/>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45"/>
      <c r="Q28" s="1505" t="str">
        <f t="shared" si="11"/>
        <v>物业等级</v>
      </c>
      <c r="R28" s="714" t="s">
        <v>17</v>
      </c>
      <c r="S28" s="715">
        <f t="shared" si="12"/>
        <v>100</v>
      </c>
      <c r="T28" s="714" t="s">
        <v>17</v>
      </c>
      <c r="U28" s="715">
        <f t="shared" si="13"/>
        <v>100</v>
      </c>
      <c r="V28" s="714" t="s">
        <v>17</v>
      </c>
      <c r="W28" s="715">
        <f t="shared" si="14"/>
        <v>100</v>
      </c>
      <c r="X28" s="1508"/>
      <c r="Y28" s="3445"/>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45"/>
      <c r="Q29" s="1505" t="str">
        <f t="shared" si="11"/>
        <v>有无电梯</v>
      </c>
      <c r="R29" s="714" t="s">
        <v>17</v>
      </c>
      <c r="S29" s="715">
        <f t="shared" si="12"/>
        <v>100</v>
      </c>
      <c r="T29" s="714" t="s">
        <v>17</v>
      </c>
      <c r="U29" s="715">
        <f t="shared" si="13"/>
        <v>100</v>
      </c>
      <c r="V29" s="714" t="s">
        <v>17</v>
      </c>
      <c r="W29" s="715">
        <f t="shared" si="14"/>
        <v>100</v>
      </c>
      <c r="X29" s="1508"/>
      <c r="Y29" s="3445"/>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45"/>
      <c r="Q30" s="1505" t="str">
        <f t="shared" si="11"/>
        <v>建筑面积</v>
      </c>
      <c r="R30" s="714" t="s">
        <v>17</v>
      </c>
      <c r="S30" s="715" t="e">
        <f t="shared" si="12"/>
        <v>#N/A</v>
      </c>
      <c r="T30" s="714" t="s">
        <v>17</v>
      </c>
      <c r="U30" s="715" t="e">
        <f t="shared" si="13"/>
        <v>#N/A</v>
      </c>
      <c r="V30" s="714" t="s">
        <v>17</v>
      </c>
      <c r="W30" s="715" t="e">
        <f t="shared" si="14"/>
        <v>#N/A</v>
      </c>
      <c r="X30" s="1508"/>
      <c r="Y30" s="3445"/>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45"/>
      <c r="Q31" s="1496" t="str">
        <f t="shared" si="11"/>
        <v>是否封闭</v>
      </c>
      <c r="R31" s="710" t="s">
        <v>17</v>
      </c>
      <c r="S31" s="711">
        <f t="shared" si="12"/>
        <v>100</v>
      </c>
      <c r="T31" s="710" t="s">
        <v>17</v>
      </c>
      <c r="U31" s="711">
        <f t="shared" si="13"/>
        <v>100</v>
      </c>
      <c r="V31" s="710" t="s">
        <v>17</v>
      </c>
      <c r="W31" s="711">
        <f t="shared" si="14"/>
        <v>100</v>
      </c>
      <c r="X31" s="712"/>
      <c r="Y31" s="3445"/>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45" t="s">
        <v>2326</v>
      </c>
      <c r="Q32" s="1505">
        <f t="shared" si="11"/>
        <v>111</v>
      </c>
      <c r="R32" s="714" t="s">
        <v>17</v>
      </c>
      <c r="S32" s="715">
        <f t="shared" si="12"/>
        <v>100</v>
      </c>
      <c r="T32" s="714" t="s">
        <v>17</v>
      </c>
      <c r="U32" s="715">
        <f t="shared" si="13"/>
        <v>100</v>
      </c>
      <c r="V32" s="714" t="s">
        <v>17</v>
      </c>
      <c r="W32" s="715">
        <f t="shared" si="14"/>
        <v>100</v>
      </c>
      <c r="X32" s="1508"/>
      <c r="Y32" s="3445"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45"/>
      <c r="Q33" s="1505">
        <f t="shared" si="11"/>
        <v>111</v>
      </c>
      <c r="R33" s="714" t="s">
        <v>17</v>
      </c>
      <c r="S33" s="715">
        <f t="shared" si="12"/>
        <v>100</v>
      </c>
      <c r="T33" s="714" t="s">
        <v>17</v>
      </c>
      <c r="U33" s="715">
        <f t="shared" si="13"/>
        <v>100</v>
      </c>
      <c r="V33" s="714" t="s">
        <v>17</v>
      </c>
      <c r="W33" s="715">
        <f t="shared" si="14"/>
        <v>100</v>
      </c>
      <c r="X33" s="1508"/>
      <c r="Y33" s="3445"/>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45"/>
      <c r="Q34" s="1505">
        <f t="shared" si="11"/>
        <v>111</v>
      </c>
      <c r="R34" s="714" t="s">
        <v>17</v>
      </c>
      <c r="S34" s="715">
        <f t="shared" si="12"/>
        <v>100</v>
      </c>
      <c r="T34" s="714" t="s">
        <v>17</v>
      </c>
      <c r="U34" s="715">
        <f t="shared" si="13"/>
        <v>100</v>
      </c>
      <c r="V34" s="714" t="s">
        <v>17</v>
      </c>
      <c r="W34" s="715">
        <f t="shared" si="14"/>
        <v>100</v>
      </c>
      <c r="X34" s="1508"/>
      <c r="Y34" s="3445"/>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38" t="str">
        <f>A35</f>
        <v>成交单价（元/平方米）</v>
      </c>
      <c r="Q35" s="3438"/>
      <c r="R35" s="3439">
        <f>E35</f>
        <v>0</v>
      </c>
      <c r="S35" s="3439"/>
      <c r="T35" s="3439">
        <f>G35</f>
        <v>0</v>
      </c>
      <c r="U35" s="3439"/>
      <c r="V35" s="3439">
        <f>I35</f>
        <v>0</v>
      </c>
      <c r="W35" s="3439"/>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38" t="str">
        <f>A36</f>
        <v>比较价值（元/平方米）</v>
      </c>
      <c r="Q36" s="3438"/>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35" t="str">
        <f>A37</f>
        <v>估价对象XX用房的比较价值（楼面单价，元/平方米）</v>
      </c>
      <c r="Q37" s="3436"/>
      <c r="R37" s="3497" t="e">
        <f>IF(F1="售价",ROUND(IF(D36="简单平均",AVERAGE(R36:W36),R36*F36+T36*H36+V36*J36),0),ROUND(IF(D36="简单平均",AVERAGE(R36:V36),R36*F36+T36*H36+V36*J36),1))</f>
        <v>#DIV/0!</v>
      </c>
      <c r="S37" s="3497"/>
      <c r="T37" s="3497"/>
      <c r="U37" s="3497"/>
      <c r="V37" s="3497"/>
      <c r="W37" s="3497"/>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34" zoomScale="80" zoomScaleNormal="60" zoomScaleSheetLayoutView="80" workbookViewId="0">
      <selection activeCell="E59" sqref="E5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1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203777</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9660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53" t="s">
        <v>2407</v>
      </c>
      <c r="D4" s="3454"/>
      <c r="E4" s="3455" t="s">
        <v>2408</v>
      </c>
      <c r="F4" s="3456"/>
      <c r="G4" s="3453" t="s">
        <v>2409</v>
      </c>
      <c r="H4" s="3454"/>
      <c r="I4" s="3453" t="s">
        <v>2410</v>
      </c>
      <c r="J4" s="3454"/>
      <c r="K4" s="567" t="s">
        <v>2411</v>
      </c>
      <c r="L4" s="2913"/>
      <c r="M4" s="2914"/>
      <c r="N4" s="2914"/>
      <c r="O4" s="2914"/>
      <c r="P4" s="3457" t="s">
        <v>2412</v>
      </c>
      <c r="Q4" s="3458"/>
      <c r="R4" s="3463" t="s">
        <v>2408</v>
      </c>
      <c r="S4" s="3464"/>
      <c r="T4" s="3463" t="s">
        <v>2409</v>
      </c>
      <c r="U4" s="3464"/>
      <c r="V4" s="3469" t="s">
        <v>2410</v>
      </c>
      <c r="W4" s="3469"/>
      <c r="X4" s="1508"/>
      <c r="Y4" s="3463" t="s">
        <v>2412</v>
      </c>
      <c r="Z4" s="3464"/>
      <c r="AA4" s="3450" t="s">
        <v>2408</v>
      </c>
      <c r="AB4" s="3451" t="s">
        <v>2409</v>
      </c>
      <c r="AC4" s="3450" t="s">
        <v>2410</v>
      </c>
    </row>
    <row r="5" spans="1:30" ht="15">
      <c r="A5" s="364"/>
      <c r="B5" s="365"/>
      <c r="C5" s="3472" t="s">
        <v>2303</v>
      </c>
      <c r="D5" s="3473"/>
      <c r="E5" s="3479" t="s">
        <v>2304</v>
      </c>
      <c r="F5" s="3480"/>
      <c r="G5" s="3472" t="s">
        <v>2305</v>
      </c>
      <c r="H5" s="3473"/>
      <c r="I5" s="3472" t="s">
        <v>2306</v>
      </c>
      <c r="J5" s="3473"/>
      <c r="K5" s="567"/>
      <c r="L5" s="2913"/>
      <c r="M5" s="2914"/>
      <c r="N5" s="2914"/>
      <c r="O5" s="2914"/>
      <c r="P5" s="3459"/>
      <c r="Q5" s="3460"/>
      <c r="R5" s="3465"/>
      <c r="S5" s="3466"/>
      <c r="T5" s="3465"/>
      <c r="U5" s="3466"/>
      <c r="V5" s="3469"/>
      <c r="W5" s="3469"/>
      <c r="X5" s="1508"/>
      <c r="Y5" s="3465"/>
      <c r="Z5" s="3466"/>
      <c r="AA5" s="3451"/>
      <c r="AB5" s="3451"/>
      <c r="AC5" s="3451"/>
    </row>
    <row r="6" spans="1:30" ht="15.75" thickBot="1">
      <c r="A6" s="366"/>
      <c r="B6" s="367"/>
      <c r="C6" s="3470" t="s">
        <v>2307</v>
      </c>
      <c r="D6" s="3471"/>
      <c r="E6" s="3477" t="s">
        <v>2307</v>
      </c>
      <c r="F6" s="3478"/>
      <c r="G6" s="3470" t="s">
        <v>2307</v>
      </c>
      <c r="H6" s="3471"/>
      <c r="I6" s="3470" t="s">
        <v>2307</v>
      </c>
      <c r="J6" s="3471"/>
      <c r="K6" s="567" t="s">
        <v>2308</v>
      </c>
      <c r="L6" s="2913"/>
      <c r="M6" s="2914"/>
      <c r="N6" s="2914"/>
      <c r="O6" s="2914"/>
      <c r="P6" s="3461"/>
      <c r="Q6" s="3462"/>
      <c r="R6" s="3465"/>
      <c r="S6" s="3466"/>
      <c r="T6" s="3467"/>
      <c r="U6" s="3468"/>
      <c r="V6" s="3469"/>
      <c r="W6" s="3469"/>
      <c r="X6" s="1508"/>
      <c r="Y6" s="3467"/>
      <c r="Z6" s="3468"/>
      <c r="AA6" s="3452"/>
      <c r="AB6" s="3452"/>
      <c r="AC6" s="3452"/>
    </row>
    <row r="7" spans="1:30" s="113" customFormat="1" ht="15.75" thickBot="1">
      <c r="A7" s="368" t="s">
        <v>2309</v>
      </c>
      <c r="B7" s="369"/>
      <c r="C7" s="370">
        <f>'数据-取费表'!B2</f>
        <v>44662</v>
      </c>
      <c r="D7" s="371">
        <v>100</v>
      </c>
      <c r="E7" s="372">
        <v>44554</v>
      </c>
      <c r="F7" s="373">
        <f>SUMIF(70:70,YEAR(E7)&amp;"-"&amp;INT((MONTH(E7)+2)/3),71:71)</f>
        <v>98</v>
      </c>
      <c r="G7" s="2129" t="str">
        <f>土地案例!H6</f>
        <v>2019-08-29</v>
      </c>
      <c r="H7" s="371">
        <f>SUMIF(70:70,YEAR(G7)&amp;"-"&amp;INT((MONTH(G7)+2)/3),71:71)</f>
        <v>89</v>
      </c>
      <c r="I7" s="2129" t="str">
        <f>土地案例!H7</f>
        <v>2019-05-28</v>
      </c>
      <c r="J7" s="371">
        <f>SUMIF(70:70,YEAR(I7)&amp;"-"&amp;INT((MONTH(I7)+2)/3),71:71)</f>
        <v>88</v>
      </c>
      <c r="K7" s="568"/>
      <c r="L7" s="2915"/>
      <c r="M7" s="2916"/>
      <c r="N7" s="2916"/>
      <c r="O7" s="2916"/>
      <c r="P7" s="3474" t="s">
        <v>2310</v>
      </c>
      <c r="Q7" s="3476"/>
      <c r="R7" s="710" t="s">
        <v>17</v>
      </c>
      <c r="S7" s="711">
        <f t="shared" ref="S7:S15" si="0">F7</f>
        <v>98</v>
      </c>
      <c r="T7" s="710" t="s">
        <v>17</v>
      </c>
      <c r="U7" s="711">
        <f t="shared" ref="U7:U15" si="1">H7</f>
        <v>89</v>
      </c>
      <c r="V7" s="710" t="s">
        <v>17</v>
      </c>
      <c r="W7" s="711">
        <f t="shared" ref="W7:W15" si="2">J7</f>
        <v>88</v>
      </c>
      <c r="X7" s="712"/>
      <c r="Y7" s="3474" t="s">
        <v>2310</v>
      </c>
      <c r="Z7" s="3475"/>
      <c r="AA7" s="713">
        <f>D7/F7</f>
        <v>1.0204081632653061</v>
      </c>
      <c r="AB7" s="713">
        <f>D7/H7</f>
        <v>1.1235955056179776</v>
      </c>
      <c r="AC7" s="713">
        <f>D7/J7</f>
        <v>1.1363636363636365</v>
      </c>
    </row>
    <row r="8" spans="1:30" s="113" customFormat="1" ht="15.75" thickBot="1">
      <c r="A8" s="368" t="s">
        <v>2311</v>
      </c>
      <c r="B8" s="369"/>
      <c r="C8" s="374" t="s">
        <v>2312</v>
      </c>
      <c r="D8" s="371">
        <v>100</v>
      </c>
      <c r="E8" s="374" t="s">
        <v>3183</v>
      </c>
      <c r="F8" s="373">
        <f>SUMIF(73:73,E8,74:74)-SUMIF(73:73,C8,74:74)+100</f>
        <v>100</v>
      </c>
      <c r="G8" s="374" t="s">
        <v>3183</v>
      </c>
      <c r="H8" s="371">
        <f>SUMIF(73:73,G8,74:74)-SUMIF(73:73,C8,74:74)+100</f>
        <v>100</v>
      </c>
      <c r="I8" s="374" t="s">
        <v>3183</v>
      </c>
      <c r="J8" s="371">
        <f>SUMIF(73:73,I8,74:74)-SUMIF(73:73,C8,74:74)+100</f>
        <v>100</v>
      </c>
      <c r="K8" s="568"/>
      <c r="L8" s="2915"/>
      <c r="M8" s="2916"/>
      <c r="N8" s="2916"/>
      <c r="O8" s="2916"/>
      <c r="P8" s="3474" t="s">
        <v>2313</v>
      </c>
      <c r="Q8" s="3475"/>
      <c r="R8" s="710" t="s">
        <v>17</v>
      </c>
      <c r="S8" s="711">
        <f t="shared" si="0"/>
        <v>100</v>
      </c>
      <c r="T8" s="710" t="s">
        <v>17</v>
      </c>
      <c r="U8" s="711">
        <f t="shared" si="1"/>
        <v>100</v>
      </c>
      <c r="V8" s="710" t="s">
        <v>17</v>
      </c>
      <c r="W8" s="711">
        <f t="shared" si="2"/>
        <v>100</v>
      </c>
      <c r="X8" s="712"/>
      <c r="Y8" s="3474" t="s">
        <v>2313</v>
      </c>
      <c r="Z8" s="3475"/>
      <c r="AA8" s="713">
        <f t="shared" ref="AA8:AA45" si="3">D8/F8</f>
        <v>1</v>
      </c>
      <c r="AB8" s="713">
        <f t="shared" ref="AB8:AB45" si="4">D8/H8</f>
        <v>1</v>
      </c>
      <c r="AC8" s="713">
        <f t="shared" ref="AC8:AC45" si="5">D8/J8</f>
        <v>1</v>
      </c>
    </row>
    <row r="9" spans="1:30" s="113" customFormat="1">
      <c r="A9" s="375" t="s">
        <v>2314</v>
      </c>
      <c r="B9" s="67" t="s">
        <v>2315</v>
      </c>
      <c r="C9" s="2132" t="s">
        <v>1283</v>
      </c>
      <c r="D9" s="131">
        <v>100</v>
      </c>
      <c r="E9" s="2132" t="s">
        <v>1283</v>
      </c>
      <c r="F9" s="131">
        <f>SUMIF(75:75,E9,76:76)-SUMIF(75:75,C9,76:76)+100</f>
        <v>100</v>
      </c>
      <c r="G9" s="2132" t="s">
        <v>1283</v>
      </c>
      <c r="H9" s="131">
        <f>SUMIF(75:75,G9,76:76)-SUMIF(75:75,C9,76:76)+100</f>
        <v>100</v>
      </c>
      <c r="I9" s="2132" t="s">
        <v>1283</v>
      </c>
      <c r="J9" s="131">
        <f>SUMIF(75:75,I9,76:76)-SUMIF(75:75,C9,76:76)+100</f>
        <v>100</v>
      </c>
      <c r="K9" s="568"/>
      <c r="L9" s="2915"/>
      <c r="M9" s="2916"/>
      <c r="N9" s="2916"/>
      <c r="O9" s="2970"/>
      <c r="P9" s="3438" t="s">
        <v>2316</v>
      </c>
      <c r="Q9" s="1496"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112</v>
      </c>
      <c r="G10" s="422"/>
      <c r="H10" s="132">
        <f>ROUND(100/'数据-取费表'!G16,0)</f>
        <v>112</v>
      </c>
      <c r="I10" s="422"/>
      <c r="J10" s="132">
        <f>ROUND(100/'数据-取费表'!G16,0)</f>
        <v>112</v>
      </c>
      <c r="K10" s="628"/>
      <c r="L10" s="2917"/>
      <c r="M10" s="2918"/>
      <c r="N10" s="2918"/>
      <c r="O10" s="2971"/>
      <c r="P10" s="3438"/>
      <c r="Q10" s="1496" t="str">
        <f t="shared" si="6"/>
        <v>土地使用年限（年）</v>
      </c>
      <c r="R10" s="710" t="s">
        <v>17</v>
      </c>
      <c r="S10" s="711">
        <f t="shared" si="0"/>
        <v>112</v>
      </c>
      <c r="T10" s="710" t="s">
        <v>17</v>
      </c>
      <c r="U10" s="711">
        <f t="shared" si="1"/>
        <v>112</v>
      </c>
      <c r="V10" s="710" t="s">
        <v>17</v>
      </c>
      <c r="W10" s="711">
        <f t="shared" si="2"/>
        <v>112</v>
      </c>
      <c r="X10" s="712"/>
      <c r="Y10" s="3310"/>
      <c r="Z10" s="55" t="str">
        <f t="shared" si="7"/>
        <v>土地使用年限（年）</v>
      </c>
      <c r="AA10" s="713">
        <f t="shared" si="3"/>
        <v>0.8928571428571429</v>
      </c>
      <c r="AB10" s="713">
        <f t="shared" si="4"/>
        <v>0.8928571428571429</v>
      </c>
      <c r="AC10" s="713">
        <f t="shared" si="5"/>
        <v>0.8928571428571429</v>
      </c>
    </row>
    <row r="11" spans="1:30" ht="15">
      <c r="A11" s="387"/>
      <c r="B11" s="381" t="s">
        <v>2319</v>
      </c>
      <c r="C11" s="388">
        <v>2.27</v>
      </c>
      <c r="D11" s="132">
        <v>100</v>
      </c>
      <c r="E11" s="388">
        <v>2</v>
      </c>
      <c r="F11" s="132">
        <f>LOOKUP(E11,80:80,81:81)-LOOKUP(C11,80:80,81:81)+100</f>
        <v>100</v>
      </c>
      <c r="G11" s="389">
        <v>2</v>
      </c>
      <c r="H11" s="132">
        <f>LOOKUP(G11,80:80,81:81)-LOOKUP(C11,80:80,81:81)+100</f>
        <v>100</v>
      </c>
      <c r="I11" s="388">
        <v>1.58</v>
      </c>
      <c r="J11" s="132">
        <f>LOOKUP(I11,80:80,81:81)-LOOKUP(C11,80:80,81:81)+100</f>
        <v>102</v>
      </c>
      <c r="K11" s="629">
        <v>2</v>
      </c>
      <c r="L11" s="2919"/>
      <c r="M11" s="2914"/>
      <c r="N11" s="2914"/>
      <c r="O11" s="2972"/>
      <c r="P11" s="3438"/>
      <c r="Q11" s="1496" t="str">
        <f t="shared" si="6"/>
        <v>容积率</v>
      </c>
      <c r="R11" s="710" t="s">
        <v>17</v>
      </c>
      <c r="S11" s="711">
        <f t="shared" si="0"/>
        <v>100</v>
      </c>
      <c r="T11" s="710" t="s">
        <v>17</v>
      </c>
      <c r="U11" s="711">
        <f t="shared" si="1"/>
        <v>100</v>
      </c>
      <c r="V11" s="710" t="s">
        <v>17</v>
      </c>
      <c r="W11" s="711">
        <f t="shared" si="2"/>
        <v>102</v>
      </c>
      <c r="X11" s="712"/>
      <c r="Y11" s="3310"/>
      <c r="Z11" s="55" t="str">
        <f t="shared" si="7"/>
        <v>容积率</v>
      </c>
      <c r="AA11" s="713">
        <f t="shared" si="3"/>
        <v>1</v>
      </c>
      <c r="AB11" s="713">
        <f t="shared" si="4"/>
        <v>1</v>
      </c>
      <c r="AC11" s="713">
        <f t="shared" si="5"/>
        <v>0.98039215686274506</v>
      </c>
    </row>
    <row r="12" spans="1:30" s="113" customFormat="1" ht="15">
      <c r="A12" s="390"/>
      <c r="B12" s="3212" t="s">
        <v>3198</v>
      </c>
      <c r="C12" s="3213" t="s">
        <v>3199</v>
      </c>
      <c r="D12" s="392">
        <v>100</v>
      </c>
      <c r="E12" s="3214" t="s">
        <v>3199</v>
      </c>
      <c r="F12" s="132">
        <f>SUMIF(82:82,E12,83:83)-SUMIF(82:82,C12,83:83)+100</f>
        <v>100</v>
      </c>
      <c r="G12" s="422" t="s">
        <v>3217</v>
      </c>
      <c r="H12" s="132">
        <f>SUMIF(82:82,G12,83:83)-SUMIF(82:82,C12,83:83)+100</f>
        <v>90</v>
      </c>
      <c r="I12" s="424" t="s">
        <v>3218</v>
      </c>
      <c r="J12" s="132">
        <f>SUMIF(82:82,I12,83:83)-SUMIF(82:82,C12,83:83)+100</f>
        <v>95</v>
      </c>
      <c r="K12" s="628"/>
      <c r="L12" s="2915"/>
      <c r="M12" s="2916"/>
      <c r="N12" s="2916"/>
      <c r="O12" s="2970"/>
      <c r="P12" s="3438"/>
      <c r="Q12" s="1496" t="str">
        <f t="shared" si="6"/>
        <v>自持</v>
      </c>
      <c r="R12" s="710" t="s">
        <v>17</v>
      </c>
      <c r="S12" s="711">
        <f t="shared" si="0"/>
        <v>100</v>
      </c>
      <c r="T12" s="710" t="s">
        <v>17</v>
      </c>
      <c r="U12" s="711">
        <f t="shared" si="1"/>
        <v>90</v>
      </c>
      <c r="V12" s="710" t="s">
        <v>17</v>
      </c>
      <c r="W12" s="711">
        <f t="shared" si="2"/>
        <v>95</v>
      </c>
      <c r="X12" s="712"/>
      <c r="Y12" s="3310"/>
      <c r="Z12" s="55" t="str">
        <f t="shared" si="7"/>
        <v>自持</v>
      </c>
      <c r="AA12" s="713">
        <f>D12/F12</f>
        <v>1</v>
      </c>
      <c r="AB12" s="713">
        <f>D12/H12</f>
        <v>1.1111111111111112</v>
      </c>
      <c r="AC12" s="713">
        <f>D12/J12</f>
        <v>1.0526315789473684</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38"/>
      <c r="Q13" s="1496">
        <f t="shared" si="6"/>
        <v>111</v>
      </c>
      <c r="R13" s="710" t="s">
        <v>17</v>
      </c>
      <c r="S13" s="711">
        <f t="shared" si="0"/>
        <v>100</v>
      </c>
      <c r="T13" s="710" t="s">
        <v>17</v>
      </c>
      <c r="U13" s="711">
        <f t="shared" si="1"/>
        <v>100</v>
      </c>
      <c r="V13" s="710" t="s">
        <v>17</v>
      </c>
      <c r="W13" s="711">
        <f t="shared" si="2"/>
        <v>100</v>
      </c>
      <c r="X13" s="712"/>
      <c r="Y13" s="3310"/>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38"/>
      <c r="Q14" s="1496">
        <f t="shared" si="6"/>
        <v>111</v>
      </c>
      <c r="R14" s="710" t="s">
        <v>17</v>
      </c>
      <c r="S14" s="711">
        <f t="shared" si="0"/>
        <v>100</v>
      </c>
      <c r="T14" s="710" t="s">
        <v>17</v>
      </c>
      <c r="U14" s="711">
        <f t="shared" si="1"/>
        <v>100</v>
      </c>
      <c r="V14" s="710" t="s">
        <v>17</v>
      </c>
      <c r="W14" s="711">
        <f t="shared" si="2"/>
        <v>100</v>
      </c>
      <c r="X14" s="712"/>
      <c r="Y14" s="3310"/>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40" t="s">
        <v>2321</v>
      </c>
      <c r="Q15" s="1505" t="str">
        <f t="shared" si="6"/>
        <v>居住社区成熟度</v>
      </c>
      <c r="R15" s="714" t="s">
        <v>17</v>
      </c>
      <c r="S15" s="715">
        <f t="shared" si="0"/>
        <v>100</v>
      </c>
      <c r="T15" s="714" t="s">
        <v>17</v>
      </c>
      <c r="U15" s="715">
        <f t="shared" si="1"/>
        <v>100</v>
      </c>
      <c r="V15" s="714" t="s">
        <v>17</v>
      </c>
      <c r="W15" s="715">
        <f t="shared" si="2"/>
        <v>100</v>
      </c>
      <c r="X15" s="1508"/>
      <c r="Y15" s="3440"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41"/>
      <c r="Q16" s="1505"/>
      <c r="R16" s="714"/>
      <c r="S16" s="715"/>
      <c r="T16" s="714"/>
      <c r="U16" s="715"/>
      <c r="V16" s="714"/>
      <c r="W16" s="715"/>
      <c r="X16" s="1508"/>
      <c r="Y16" s="3441"/>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97</v>
      </c>
      <c r="I17" s="413"/>
      <c r="J17" s="414">
        <f>SUMIF(90:90,I18,91:91)-SUMIF(90:90,C18,91:91)+100</f>
        <v>100</v>
      </c>
      <c r="K17" s="629">
        <v>3</v>
      </c>
      <c r="L17" s="2920"/>
      <c r="M17" s="2914"/>
      <c r="N17" s="2914"/>
      <c r="O17" s="2972"/>
      <c r="P17" s="3441"/>
      <c r="Q17" s="1505" t="str">
        <f>B17</f>
        <v>商业繁华度</v>
      </c>
      <c r="R17" s="714" t="s">
        <v>17</v>
      </c>
      <c r="S17" s="715">
        <f>F17</f>
        <v>100</v>
      </c>
      <c r="T17" s="714" t="s">
        <v>17</v>
      </c>
      <c r="U17" s="715">
        <f>H17</f>
        <v>97</v>
      </c>
      <c r="V17" s="714" t="s">
        <v>17</v>
      </c>
      <c r="W17" s="715">
        <f>J17</f>
        <v>100</v>
      </c>
      <c r="X17" s="1508"/>
      <c r="Y17" s="3441"/>
      <c r="Z17" s="1509" t="str">
        <f>Q17</f>
        <v>商业繁华度</v>
      </c>
      <c r="AA17" s="1506">
        <f t="shared" si="3"/>
        <v>1</v>
      </c>
      <c r="AB17" s="1506">
        <f t="shared" si="4"/>
        <v>1.0309278350515463</v>
      </c>
      <c r="AC17" s="1506">
        <f t="shared" si="5"/>
        <v>1</v>
      </c>
    </row>
    <row r="18" spans="1:29" ht="15">
      <c r="A18" s="387"/>
      <c r="B18" s="415"/>
      <c r="C18" s="2056" t="s">
        <v>3191</v>
      </c>
      <c r="D18" s="409"/>
      <c r="E18" s="2058" t="s">
        <v>3191</v>
      </c>
      <c r="F18" s="409"/>
      <c r="G18" s="2058" t="s">
        <v>3200</v>
      </c>
      <c r="H18" s="407"/>
      <c r="I18" s="2057" t="s">
        <v>3191</v>
      </c>
      <c r="J18" s="407"/>
      <c r="K18" s="628"/>
      <c r="L18" s="2920"/>
      <c r="M18" s="2914"/>
      <c r="N18" s="2914"/>
      <c r="O18" s="2972"/>
      <c r="P18" s="3441"/>
      <c r="Q18" s="1505"/>
      <c r="R18" s="714"/>
      <c r="S18" s="715"/>
      <c r="T18" s="714"/>
      <c r="U18" s="715"/>
      <c r="V18" s="714"/>
      <c r="W18" s="715"/>
      <c r="X18" s="1508"/>
      <c r="Y18" s="3441"/>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41"/>
      <c r="Q19" s="1505" t="str">
        <f>B19</f>
        <v>办公集聚程度</v>
      </c>
      <c r="R19" s="714" t="s">
        <v>17</v>
      </c>
      <c r="S19" s="715">
        <f>F19</f>
        <v>100</v>
      </c>
      <c r="T19" s="714" t="s">
        <v>17</v>
      </c>
      <c r="U19" s="715">
        <f>H19</f>
        <v>100</v>
      </c>
      <c r="V19" s="714" t="s">
        <v>17</v>
      </c>
      <c r="W19" s="715">
        <f>J19</f>
        <v>100</v>
      </c>
      <c r="X19" s="1508"/>
      <c r="Y19" s="3441"/>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41"/>
      <c r="Q20" s="1505"/>
      <c r="R20" s="714"/>
      <c r="S20" s="715"/>
      <c r="T20" s="714"/>
      <c r="U20" s="715"/>
      <c r="V20" s="714"/>
      <c r="W20" s="715"/>
      <c r="X20" s="1508"/>
      <c r="Y20" s="3441"/>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20"/>
      <c r="M21" s="2914"/>
      <c r="N21" s="2914"/>
      <c r="O21" s="2972"/>
      <c r="P21" s="3441"/>
      <c r="Q21" s="1505" t="str">
        <f>B21</f>
        <v>交通便捷度</v>
      </c>
      <c r="R21" s="714" t="s">
        <v>17</v>
      </c>
      <c r="S21" s="715">
        <f>F21</f>
        <v>100</v>
      </c>
      <c r="T21" s="714" t="s">
        <v>17</v>
      </c>
      <c r="U21" s="715">
        <f>H21</f>
        <v>97</v>
      </c>
      <c r="V21" s="714" t="s">
        <v>17</v>
      </c>
      <c r="W21" s="715">
        <f>J21</f>
        <v>97</v>
      </c>
      <c r="X21" s="1508"/>
      <c r="Y21" s="3441"/>
      <c r="Z21" s="1509" t="str">
        <f>Q21</f>
        <v>交通便捷度</v>
      </c>
      <c r="AA21" s="1506">
        <f t="shared" si="3"/>
        <v>1</v>
      </c>
      <c r="AB21" s="1506">
        <f t="shared" si="4"/>
        <v>1.0309278350515463</v>
      </c>
      <c r="AC21" s="1506">
        <f t="shared" si="5"/>
        <v>1.0309278350515463</v>
      </c>
    </row>
    <row r="22" spans="1:29" ht="15">
      <c r="A22" s="387"/>
      <c r="B22" s="1265"/>
      <c r="C22" s="406" t="s">
        <v>3191</v>
      </c>
      <c r="D22" s="409"/>
      <c r="E22" s="2053" t="s">
        <v>3191</v>
      </c>
      <c r="F22" s="407"/>
      <c r="G22" s="2053" t="s">
        <v>3200</v>
      </c>
      <c r="H22" s="407"/>
      <c r="I22" s="2052" t="s">
        <v>3200</v>
      </c>
      <c r="J22" s="407"/>
      <c r="K22" s="628"/>
      <c r="L22" s="2920"/>
      <c r="M22" s="2914"/>
      <c r="N22" s="2914"/>
      <c r="O22" s="2972"/>
      <c r="P22" s="3441"/>
      <c r="Q22" s="1505"/>
      <c r="R22" s="714"/>
      <c r="S22" s="715"/>
      <c r="T22" s="714"/>
      <c r="U22" s="715"/>
      <c r="V22" s="714"/>
      <c r="W22" s="715"/>
      <c r="X22" s="1508"/>
      <c r="Y22" s="3441"/>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0"/>
      <c r="M23" s="2914"/>
      <c r="N23" s="2914"/>
      <c r="O23" s="2972"/>
      <c r="P23" s="3441"/>
      <c r="Q23" s="1505" t="str">
        <f t="shared" ref="Q23:Q37" si="8">B23</f>
        <v>区域土地利用方向</v>
      </c>
      <c r="R23" s="714" t="s">
        <v>17</v>
      </c>
      <c r="S23" s="715">
        <f>F23</f>
        <v>100</v>
      </c>
      <c r="T23" s="714" t="s">
        <v>17</v>
      </c>
      <c r="U23" s="715">
        <f>H23</f>
        <v>100</v>
      </c>
      <c r="V23" s="714" t="s">
        <v>17</v>
      </c>
      <c r="W23" s="715">
        <f>J23</f>
        <v>100</v>
      </c>
      <c r="X23" s="1508"/>
      <c r="Y23" s="3441"/>
      <c r="Z23" s="1509" t="str">
        <f>Q23</f>
        <v>区域土地利用方向</v>
      </c>
      <c r="AA23" s="1506">
        <f t="shared" si="3"/>
        <v>1</v>
      </c>
      <c r="AB23" s="1506">
        <f t="shared" si="4"/>
        <v>1</v>
      </c>
      <c r="AC23" s="1506">
        <f t="shared" si="5"/>
        <v>1</v>
      </c>
    </row>
    <row r="24" spans="1:29" ht="15">
      <c r="A24" s="364"/>
      <c r="B24" s="415"/>
      <c r="C24" s="573" t="s">
        <v>3191</v>
      </c>
      <c r="D24" s="407"/>
      <c r="E24" s="573" t="s">
        <v>3191</v>
      </c>
      <c r="F24" s="407"/>
      <c r="G24" s="573" t="s">
        <v>3191</v>
      </c>
      <c r="H24" s="407"/>
      <c r="I24" s="573" t="s">
        <v>3191</v>
      </c>
      <c r="J24" s="407"/>
      <c r="K24" s="751"/>
      <c r="L24" s="2920"/>
      <c r="M24" s="2914"/>
      <c r="N24" s="2914"/>
      <c r="O24" s="2972"/>
      <c r="P24" s="3441"/>
      <c r="Q24" s="1505"/>
      <c r="R24" s="714"/>
      <c r="S24" s="715"/>
      <c r="T24" s="714"/>
      <c r="U24" s="715"/>
      <c r="V24" s="714"/>
      <c r="W24" s="715"/>
      <c r="X24" s="1508"/>
      <c r="Y24" s="3441"/>
      <c r="Z24" s="1509"/>
      <c r="AA24" s="1506"/>
      <c r="AB24" s="1506"/>
      <c r="AC24" s="1506"/>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20"/>
      <c r="M25" s="2914"/>
      <c r="N25" s="2914"/>
      <c r="O25" s="2972"/>
      <c r="P25" s="3441"/>
      <c r="Q25" s="1505" t="str">
        <f t="shared" si="8"/>
        <v>自然及人文环境状况</v>
      </c>
      <c r="R25" s="714" t="s">
        <v>17</v>
      </c>
      <c r="S25" s="715">
        <f>F25</f>
        <v>100</v>
      </c>
      <c r="T25" s="714" t="s">
        <v>17</v>
      </c>
      <c r="U25" s="715">
        <f>H25</f>
        <v>98</v>
      </c>
      <c r="V25" s="714" t="s">
        <v>17</v>
      </c>
      <c r="W25" s="715">
        <f>J25</f>
        <v>100</v>
      </c>
      <c r="X25" s="1508"/>
      <c r="Y25" s="3441"/>
      <c r="Z25" s="1509" t="str">
        <f>Q25</f>
        <v>自然及人文环境状况</v>
      </c>
      <c r="AA25" s="1506">
        <f t="shared" si="3"/>
        <v>1</v>
      </c>
      <c r="AB25" s="1506">
        <f t="shared" si="4"/>
        <v>1.0204081632653061</v>
      </c>
      <c r="AC25" s="1506">
        <f t="shared" si="5"/>
        <v>1</v>
      </c>
    </row>
    <row r="26" spans="1:29" ht="15">
      <c r="A26" s="364"/>
      <c r="B26" s="415"/>
      <c r="C26" s="406" t="s">
        <v>3191</v>
      </c>
      <c r="D26" s="407"/>
      <c r="E26" s="2059" t="s">
        <v>3191</v>
      </c>
      <c r="F26" s="407"/>
      <c r="G26" s="2059" t="s">
        <v>3200</v>
      </c>
      <c r="H26" s="407"/>
      <c r="I26" s="406" t="s">
        <v>3191</v>
      </c>
      <c r="J26" s="407"/>
      <c r="K26" s="628"/>
      <c r="L26" s="2920"/>
      <c r="M26" s="2914"/>
      <c r="N26" s="2914"/>
      <c r="O26" s="2972"/>
      <c r="P26" s="3441"/>
      <c r="Q26" s="1505"/>
      <c r="R26" s="714"/>
      <c r="S26" s="715"/>
      <c r="T26" s="714"/>
      <c r="U26" s="715"/>
      <c r="V26" s="714"/>
      <c r="W26" s="715"/>
      <c r="X26" s="1508"/>
      <c r="Y26" s="3441"/>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98</v>
      </c>
      <c r="I27" s="413"/>
      <c r="J27" s="409">
        <f>SUMIF(100:100,I28,101:101)-SUMIF(100:100,C28,101:101)+100</f>
        <v>98</v>
      </c>
      <c r="K27" s="629">
        <v>2</v>
      </c>
      <c r="L27" s="2915"/>
      <c r="M27" s="2916"/>
      <c r="N27" s="2916"/>
      <c r="O27" s="2970"/>
      <c r="P27" s="3441"/>
      <c r="Q27" s="1496" t="str">
        <f t="shared" si="8"/>
        <v>公共配套设施</v>
      </c>
      <c r="R27" s="710" t="s">
        <v>17</v>
      </c>
      <c r="S27" s="711">
        <f>F27</f>
        <v>100</v>
      </c>
      <c r="T27" s="710" t="s">
        <v>17</v>
      </c>
      <c r="U27" s="711">
        <f>H27</f>
        <v>98</v>
      </c>
      <c r="V27" s="710" t="s">
        <v>17</v>
      </c>
      <c r="W27" s="711">
        <f>J27</f>
        <v>98</v>
      </c>
      <c r="X27" s="712"/>
      <c r="Y27" s="3441"/>
      <c r="Z27" s="55" t="str">
        <f>Q27</f>
        <v>公共配套设施</v>
      </c>
      <c r="AA27" s="1506">
        <f>D27/F27</f>
        <v>1</v>
      </c>
      <c r="AB27" s="1506">
        <f>D27/H27</f>
        <v>1.0204081632653061</v>
      </c>
      <c r="AC27" s="1506">
        <f>D27/J27</f>
        <v>1.0204081632653061</v>
      </c>
    </row>
    <row r="28" spans="1:29" s="113" customFormat="1" ht="15">
      <c r="A28" s="605"/>
      <c r="B28" s="415"/>
      <c r="C28" s="2133" t="s">
        <v>3191</v>
      </c>
      <c r="D28" s="407"/>
      <c r="E28" s="2059" t="s">
        <v>3191</v>
      </c>
      <c r="F28" s="407"/>
      <c r="G28" s="2059" t="s">
        <v>3200</v>
      </c>
      <c r="H28" s="407"/>
      <c r="I28" s="406" t="s">
        <v>3200</v>
      </c>
      <c r="J28" s="407"/>
      <c r="K28" s="628"/>
      <c r="L28" s="2915"/>
      <c r="M28" s="2916"/>
      <c r="N28" s="2916"/>
      <c r="O28" s="2970"/>
      <c r="P28" s="3441"/>
      <c r="Q28" s="1496"/>
      <c r="R28" s="710"/>
      <c r="S28" s="711"/>
      <c r="T28" s="710"/>
      <c r="U28" s="711"/>
      <c r="V28" s="710"/>
      <c r="W28" s="711"/>
      <c r="X28" s="712"/>
      <c r="Y28" s="3441"/>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15"/>
      <c r="M29" s="2916"/>
      <c r="N29" s="2916"/>
      <c r="O29" s="2970"/>
      <c r="P29" s="3441"/>
      <c r="Q29" s="1496" t="str">
        <f t="shared" ref="Q29" si="9">B29</f>
        <v>基础设施水平</v>
      </c>
      <c r="R29" s="710" t="s">
        <v>17</v>
      </c>
      <c r="S29" s="711">
        <f>F29</f>
        <v>100</v>
      </c>
      <c r="T29" s="710" t="s">
        <v>17</v>
      </c>
      <c r="U29" s="711">
        <f>H29</f>
        <v>100</v>
      </c>
      <c r="V29" s="710" t="s">
        <v>17</v>
      </c>
      <c r="W29" s="711">
        <f>J29</f>
        <v>100</v>
      </c>
      <c r="X29" s="712"/>
      <c r="Y29" s="3441"/>
      <c r="Z29" s="55" t="str">
        <f>Q29</f>
        <v>基础设施水平</v>
      </c>
      <c r="AA29" s="1506">
        <f>D29/F29</f>
        <v>1</v>
      </c>
      <c r="AB29" s="1506">
        <f>D29/H29</f>
        <v>1</v>
      </c>
      <c r="AC29" s="1506">
        <f>D29/J29</f>
        <v>1</v>
      </c>
    </row>
    <row r="30" spans="1:29" s="113" customFormat="1" ht="15">
      <c r="A30" s="605"/>
      <c r="B30" s="415"/>
      <c r="C30" s="2133" t="s">
        <v>3201</v>
      </c>
      <c r="D30" s="407"/>
      <c r="E30" s="2133" t="s">
        <v>3201</v>
      </c>
      <c r="F30" s="407"/>
      <c r="G30" s="2133" t="s">
        <v>3201</v>
      </c>
      <c r="H30" s="407"/>
      <c r="I30" s="2133" t="s">
        <v>3201</v>
      </c>
      <c r="J30" s="407"/>
      <c r="K30" s="628"/>
      <c r="L30" s="2915"/>
      <c r="M30" s="2916"/>
      <c r="N30" s="2916"/>
      <c r="O30" s="2970"/>
      <c r="P30" s="3441"/>
      <c r="Q30" s="1496"/>
      <c r="R30" s="710"/>
      <c r="S30" s="711"/>
      <c r="T30" s="710"/>
      <c r="U30" s="711"/>
      <c r="V30" s="710"/>
      <c r="W30" s="711"/>
      <c r="X30" s="712"/>
      <c r="Y30" s="3441"/>
      <c r="Z30" s="55"/>
      <c r="AA30" s="1506">
        <v>1</v>
      </c>
      <c r="AB30" s="1506">
        <v>1</v>
      </c>
      <c r="AC30" s="1506">
        <v>1</v>
      </c>
    </row>
    <row r="31" spans="1:29" ht="15">
      <c r="A31" s="387"/>
      <c r="B31" s="415" t="s">
        <v>2417</v>
      </c>
      <c r="C31" s="573" t="s">
        <v>3202</v>
      </c>
      <c r="D31" s="394">
        <v>100</v>
      </c>
      <c r="E31" s="590" t="s">
        <v>3204</v>
      </c>
      <c r="F31" s="394">
        <f>SUMIF(104:104,E31,105:105)-SUMIF(104:104,C31,105:105)+100</f>
        <v>96</v>
      </c>
      <c r="G31" s="590" t="s">
        <v>3203</v>
      </c>
      <c r="H31" s="394">
        <f>SUMIF(104:104,G31,105:105)-SUMIF(104:104,C31,105:105)+100</f>
        <v>98</v>
      </c>
      <c r="I31" s="590" t="s">
        <v>3202</v>
      </c>
      <c r="J31" s="394">
        <f>SUMIF(104:104,I31,105:105)-SUMIF(104:104,C31,105:105)+100</f>
        <v>100</v>
      </c>
      <c r="K31" s="629">
        <v>2</v>
      </c>
      <c r="L31" s="2920"/>
      <c r="M31" s="2914"/>
      <c r="N31" s="2914"/>
      <c r="O31" s="2972"/>
      <c r="P31" s="3441"/>
      <c r="Q31" s="1505" t="str">
        <f t="shared" si="8"/>
        <v>临街状况</v>
      </c>
      <c r="R31" s="714" t="s">
        <v>17</v>
      </c>
      <c r="S31" s="715">
        <f t="shared" ref="S31:S45" si="10">F31</f>
        <v>96</v>
      </c>
      <c r="T31" s="714" t="s">
        <v>17</v>
      </c>
      <c r="U31" s="715">
        <f t="shared" ref="U31:U45" si="11">H31</f>
        <v>98</v>
      </c>
      <c r="V31" s="714" t="s">
        <v>17</v>
      </c>
      <c r="W31" s="715">
        <f t="shared" ref="W31:W45" si="12">J31</f>
        <v>100</v>
      </c>
      <c r="X31" s="1508"/>
      <c r="Y31" s="3441"/>
      <c r="Z31" s="1509" t="str">
        <f t="shared" ref="Z31:Z45" si="13">Q31</f>
        <v>临街状况</v>
      </c>
      <c r="AA31" s="1506">
        <f t="shared" si="3"/>
        <v>1.0416666666666667</v>
      </c>
      <c r="AB31" s="1506">
        <f t="shared" si="4"/>
        <v>1.0204081632653061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102</v>
      </c>
      <c r="K32" s="629">
        <v>2</v>
      </c>
      <c r="L32" s="2920"/>
      <c r="M32" s="2914"/>
      <c r="N32" s="2914"/>
      <c r="O32" s="2972"/>
      <c r="P32" s="3441"/>
      <c r="Q32" s="1505" t="str">
        <f t="shared" si="8"/>
        <v>毗邻道路的类型与等级</v>
      </c>
      <c r="R32" s="714" t="s">
        <v>17</v>
      </c>
      <c r="S32" s="715">
        <f t="shared" si="10"/>
        <v>100</v>
      </c>
      <c r="T32" s="714" t="s">
        <v>17</v>
      </c>
      <c r="U32" s="715">
        <f t="shared" si="11"/>
        <v>100</v>
      </c>
      <c r="V32" s="714" t="s">
        <v>17</v>
      </c>
      <c r="W32" s="715">
        <f t="shared" si="12"/>
        <v>102</v>
      </c>
      <c r="X32" s="1508"/>
      <c r="Y32" s="3441"/>
      <c r="Z32" s="1509" t="str">
        <f t="shared" si="13"/>
        <v>毗邻道路的类型与等级</v>
      </c>
      <c r="AA32" s="1506">
        <f t="shared" si="3"/>
        <v>1</v>
      </c>
      <c r="AB32" s="1506">
        <f t="shared" si="4"/>
        <v>1</v>
      </c>
      <c r="AC32" s="1506">
        <f t="shared" si="5"/>
        <v>0.98039215686274506</v>
      </c>
    </row>
    <row r="33" spans="1:29" ht="15">
      <c r="A33" s="387"/>
      <c r="B33" s="415"/>
      <c r="C33" s="406" t="s">
        <v>3208</v>
      </c>
      <c r="D33" s="407"/>
      <c r="E33" s="406" t="s">
        <v>3208</v>
      </c>
      <c r="F33" s="407"/>
      <c r="G33" s="2059" t="s">
        <v>3208</v>
      </c>
      <c r="H33" s="407"/>
      <c r="I33" s="406" t="s">
        <v>3207</v>
      </c>
      <c r="J33" s="407"/>
      <c r="K33" s="570"/>
      <c r="L33" s="2920"/>
      <c r="M33" s="2914"/>
      <c r="N33" s="2914"/>
      <c r="O33" s="2972"/>
      <c r="P33" s="3441"/>
      <c r="Q33" s="1505"/>
      <c r="R33" s="714"/>
      <c r="S33" s="715"/>
      <c r="T33" s="714"/>
      <c r="U33" s="715"/>
      <c r="V33" s="714"/>
      <c r="W33" s="715"/>
      <c r="X33" s="1508"/>
      <c r="Y33" s="3441"/>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41"/>
      <c r="Q34" s="1505" t="str">
        <f t="shared" si="8"/>
        <v>土地级别</v>
      </c>
      <c r="R34" s="714" t="s">
        <v>17</v>
      </c>
      <c r="S34" s="715">
        <f t="shared" si="10"/>
        <v>100</v>
      </c>
      <c r="T34" s="714" t="s">
        <v>17</v>
      </c>
      <c r="U34" s="715">
        <f t="shared" si="11"/>
        <v>100</v>
      </c>
      <c r="V34" s="714" t="s">
        <v>17</v>
      </c>
      <c r="W34" s="715">
        <f t="shared" si="12"/>
        <v>100</v>
      </c>
      <c r="X34" s="1508"/>
      <c r="Y34" s="3441"/>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41"/>
      <c r="Q35" s="1505">
        <f t="shared" si="8"/>
        <v>111</v>
      </c>
      <c r="R35" s="714" t="s">
        <v>17</v>
      </c>
      <c r="S35" s="715">
        <f t="shared" si="10"/>
        <v>100</v>
      </c>
      <c r="T35" s="714" t="s">
        <v>17</v>
      </c>
      <c r="U35" s="715">
        <f t="shared" si="11"/>
        <v>100</v>
      </c>
      <c r="V35" s="714" t="s">
        <v>17</v>
      </c>
      <c r="W35" s="715">
        <f t="shared" si="12"/>
        <v>100</v>
      </c>
      <c r="X35" s="1508"/>
      <c r="Y35" s="3441"/>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96" t="s">
        <v>2326</v>
      </c>
      <c r="Q36" s="1505">
        <f t="shared" si="8"/>
        <v>111</v>
      </c>
      <c r="R36" s="714" t="s">
        <v>17</v>
      </c>
      <c r="S36" s="715">
        <f t="shared" si="10"/>
        <v>100</v>
      </c>
      <c r="T36" s="714" t="s">
        <v>17</v>
      </c>
      <c r="U36" s="715">
        <f t="shared" si="11"/>
        <v>100</v>
      </c>
      <c r="V36" s="714" t="s">
        <v>17</v>
      </c>
      <c r="W36" s="715">
        <f t="shared" si="12"/>
        <v>100</v>
      </c>
      <c r="X36" s="1508"/>
      <c r="Y36" s="3445"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45"/>
      <c r="Q37" s="1505">
        <f t="shared" si="8"/>
        <v>111</v>
      </c>
      <c r="R37" s="717" t="s">
        <v>17</v>
      </c>
      <c r="S37" s="718">
        <f t="shared" si="10"/>
        <v>100</v>
      </c>
      <c r="T37" s="717" t="s">
        <v>17</v>
      </c>
      <c r="U37" s="718">
        <f t="shared" si="11"/>
        <v>100</v>
      </c>
      <c r="V37" s="717" t="s">
        <v>17</v>
      </c>
      <c r="W37" s="718">
        <f t="shared" si="12"/>
        <v>100</v>
      </c>
      <c r="X37" s="719"/>
      <c r="Y37" s="3445"/>
      <c r="Z37" s="720">
        <f t="shared" si="13"/>
        <v>111</v>
      </c>
      <c r="AA37" s="1506">
        <f t="shared" si="3"/>
        <v>1</v>
      </c>
      <c r="AB37" s="1506">
        <f t="shared" si="4"/>
        <v>1</v>
      </c>
      <c r="AC37" s="1506">
        <f t="shared" si="5"/>
        <v>1</v>
      </c>
    </row>
    <row r="38" spans="1:29" ht="15">
      <c r="A38" s="431" t="s">
        <v>2324</v>
      </c>
      <c r="B38" s="415" t="s">
        <v>2511</v>
      </c>
      <c r="C38" s="635">
        <f>'数据-基础表'!A3</f>
        <v>55191.78</v>
      </c>
      <c r="D38" s="426">
        <v>100</v>
      </c>
      <c r="E38" s="635">
        <f>土地案例!D4</f>
        <v>15197.52</v>
      </c>
      <c r="F38" s="426">
        <f>LOOKUP(E38,117:117,118:118)-LOOKUP(C38,117:117,118:118)+100</f>
        <v>98</v>
      </c>
      <c r="G38" s="635">
        <f>土地案例!D6</f>
        <v>42276.47</v>
      </c>
      <c r="H38" s="426">
        <f>LOOKUP(G38,117:117,118:118)-LOOKUP(C38,117:117,118:118)+100</f>
        <v>100</v>
      </c>
      <c r="I38" s="487">
        <f>土地案例!D7</f>
        <v>51736.9</v>
      </c>
      <c r="J38" s="426">
        <f>LOOKUP(I38,117:117,118:118)-LOOKUP(C38,117:117,118:118)+100</f>
        <v>100</v>
      </c>
      <c r="K38" s="570"/>
      <c r="L38" s="2920"/>
      <c r="M38" s="2914"/>
      <c r="N38" s="2914"/>
      <c r="O38" s="2972"/>
      <c r="P38" s="3445"/>
      <c r="Q38" s="1505" t="str">
        <f>B38</f>
        <v>宗地面积</v>
      </c>
      <c r="R38" s="714" t="s">
        <v>17</v>
      </c>
      <c r="S38" s="715">
        <f t="shared" si="10"/>
        <v>98</v>
      </c>
      <c r="T38" s="714" t="s">
        <v>17</v>
      </c>
      <c r="U38" s="715">
        <f t="shared" si="11"/>
        <v>100</v>
      </c>
      <c r="V38" s="714" t="s">
        <v>17</v>
      </c>
      <c r="W38" s="715">
        <f t="shared" si="12"/>
        <v>100</v>
      </c>
      <c r="X38" s="1508"/>
      <c r="Y38" s="3445"/>
      <c r="Z38" s="1509" t="str">
        <f t="shared" si="13"/>
        <v>宗地面积</v>
      </c>
      <c r="AA38" s="1506">
        <f t="shared" si="3"/>
        <v>1.0204081632653061</v>
      </c>
      <c r="AB38" s="1506">
        <f t="shared" si="4"/>
        <v>1</v>
      </c>
      <c r="AC38" s="1506">
        <f t="shared" si="5"/>
        <v>1</v>
      </c>
    </row>
    <row r="39" spans="1:29" ht="15">
      <c r="A39" s="431"/>
      <c r="B39" s="381" t="s">
        <v>2512</v>
      </c>
      <c r="C39" s="2061" t="s">
        <v>3186</v>
      </c>
      <c r="D39" s="394">
        <v>100</v>
      </c>
      <c r="E39" s="2061" t="s">
        <v>3188</v>
      </c>
      <c r="F39" s="394">
        <f>SUMIF(119:119,E39,120:120)-SUMIF(119:119,C39,120:120)+100</f>
        <v>98</v>
      </c>
      <c r="G39" s="2061" t="s">
        <v>3210</v>
      </c>
      <c r="H39" s="394">
        <f>SUMIF(119:119,G39,120:120)-SUMIF(119:119,C39,120:120)+100</f>
        <v>102</v>
      </c>
      <c r="I39" s="2061" t="s">
        <v>3210</v>
      </c>
      <c r="J39" s="394">
        <f>SUMIF(119:119,I39,120:120)-SUMIF(119:119,C39,120:120)+100</f>
        <v>102</v>
      </c>
      <c r="K39" s="569">
        <v>2</v>
      </c>
      <c r="L39" s="2920"/>
      <c r="M39" s="2914"/>
      <c r="N39" s="2914"/>
      <c r="O39" s="2972"/>
      <c r="P39" s="3445"/>
      <c r="Q39" s="1505" t="str">
        <f t="shared" ref="Q39:Q45" si="14">B39</f>
        <v>宗地形状</v>
      </c>
      <c r="R39" s="714" t="s">
        <v>17</v>
      </c>
      <c r="S39" s="715">
        <f t="shared" si="10"/>
        <v>98</v>
      </c>
      <c r="T39" s="714" t="s">
        <v>17</v>
      </c>
      <c r="U39" s="715">
        <f t="shared" si="11"/>
        <v>102</v>
      </c>
      <c r="V39" s="714" t="s">
        <v>17</v>
      </c>
      <c r="W39" s="715">
        <f t="shared" si="12"/>
        <v>102</v>
      </c>
      <c r="X39" s="1508"/>
      <c r="Y39" s="3445"/>
      <c r="Z39" s="1509" t="str">
        <f t="shared" si="13"/>
        <v>宗地形状</v>
      </c>
      <c r="AA39" s="1506">
        <f t="shared" si="3"/>
        <v>1.0204081632653061</v>
      </c>
      <c r="AB39" s="1506">
        <f t="shared" si="4"/>
        <v>0.98039215686274506</v>
      </c>
      <c r="AC39" s="1506">
        <f t="shared" si="5"/>
        <v>0.98039215686274506</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v>2</v>
      </c>
      <c r="L40" s="2920"/>
      <c r="M40" s="2914"/>
      <c r="N40" s="2914"/>
      <c r="O40" s="2972"/>
      <c r="P40" s="3445"/>
      <c r="Q40" s="1505" t="str">
        <f t="shared" si="14"/>
        <v>临街宽度及深度</v>
      </c>
      <c r="R40" s="714" t="s">
        <v>17</v>
      </c>
      <c r="S40" s="715">
        <f t="shared" si="10"/>
        <v>100</v>
      </c>
      <c r="T40" s="714" t="s">
        <v>17</v>
      </c>
      <c r="U40" s="715">
        <f t="shared" si="11"/>
        <v>100</v>
      </c>
      <c r="V40" s="714" t="s">
        <v>17</v>
      </c>
      <c r="W40" s="715">
        <f t="shared" si="12"/>
        <v>100</v>
      </c>
      <c r="X40" s="1508"/>
      <c r="Y40" s="3445"/>
      <c r="Z40" s="1509" t="str">
        <f t="shared" si="13"/>
        <v>临街宽度及深度</v>
      </c>
      <c r="AA40" s="1506">
        <f t="shared" si="3"/>
        <v>1</v>
      </c>
      <c r="AB40" s="1506">
        <f t="shared" si="4"/>
        <v>1</v>
      </c>
      <c r="AC40" s="1506">
        <f t="shared" si="5"/>
        <v>1</v>
      </c>
    </row>
    <row r="41" spans="1:29" s="113" customFormat="1" ht="15">
      <c r="A41" s="432"/>
      <c r="B41" s="381" t="s">
        <v>2514</v>
      </c>
      <c r="C41" s="2135" t="s">
        <v>3211</v>
      </c>
      <c r="D41" s="132">
        <v>100</v>
      </c>
      <c r="E41" s="2135" t="s">
        <v>3212</v>
      </c>
      <c r="F41" s="394">
        <f>SUMIF(123:123,E41,124:124)-SUMIF(123:123,C41,124:124)+100</f>
        <v>97</v>
      </c>
      <c r="G41" s="2135" t="s">
        <v>3211</v>
      </c>
      <c r="H41" s="394">
        <f>SUMIF(123:123,G41,124:124)-SUMIF(123:123,C41,124:124)+100</f>
        <v>100</v>
      </c>
      <c r="I41" s="2135" t="s">
        <v>3211</v>
      </c>
      <c r="J41" s="394">
        <f>SUMIF(123:123,I41,124:124)-SUMIF(123:123,C41,124:124)+100</f>
        <v>100</v>
      </c>
      <c r="K41" s="569">
        <v>1</v>
      </c>
      <c r="L41" s="2915"/>
      <c r="M41" s="2916"/>
      <c r="N41" s="2916"/>
      <c r="O41" s="2970"/>
      <c r="P41" s="3445"/>
      <c r="Q41" s="1505" t="str">
        <f t="shared" si="14"/>
        <v>宗地开发程度</v>
      </c>
      <c r="R41" s="710" t="s">
        <v>17</v>
      </c>
      <c r="S41" s="711">
        <f t="shared" si="10"/>
        <v>97</v>
      </c>
      <c r="T41" s="710" t="s">
        <v>17</v>
      </c>
      <c r="U41" s="711">
        <f t="shared" si="11"/>
        <v>100</v>
      </c>
      <c r="V41" s="710" t="s">
        <v>17</v>
      </c>
      <c r="W41" s="711">
        <f t="shared" si="12"/>
        <v>100</v>
      </c>
      <c r="X41" s="712"/>
      <c r="Y41" s="3445"/>
      <c r="Z41" s="55" t="str">
        <f t="shared" si="13"/>
        <v>宗地开发程度</v>
      </c>
      <c r="AA41" s="713">
        <f t="shared" si="3"/>
        <v>1.0309278350515463</v>
      </c>
      <c r="AB41" s="713">
        <f t="shared" si="4"/>
        <v>1</v>
      </c>
      <c r="AC41" s="713">
        <f t="shared" si="5"/>
        <v>1</v>
      </c>
    </row>
    <row r="42" spans="1:29" ht="15">
      <c r="A42" s="431"/>
      <c r="B42" s="381" t="s">
        <v>2515</v>
      </c>
      <c r="C42" s="2061" t="s">
        <v>3191</v>
      </c>
      <c r="D42" s="394">
        <v>100</v>
      </c>
      <c r="E42" s="2061" t="s">
        <v>3191</v>
      </c>
      <c r="F42" s="394">
        <f>SUMIF(125:125,E42,126:126)-SUMIF(125:125,C42,126:126)+100</f>
        <v>100</v>
      </c>
      <c r="G42" s="2061" t="s">
        <v>3191</v>
      </c>
      <c r="H42" s="394">
        <f>SUMIF(125:125,G42,126:126)-SUMIF(125:125,C42,126:126)+100</f>
        <v>100</v>
      </c>
      <c r="I42" s="2061" t="s">
        <v>3191</v>
      </c>
      <c r="J42" s="394">
        <f>SUMIF(125:125,I42,126:126)-SUMIF(125:125,C42,126:126)+100</f>
        <v>100</v>
      </c>
      <c r="K42" s="569">
        <v>2</v>
      </c>
      <c r="L42" s="2920"/>
      <c r="M42" s="2914"/>
      <c r="N42" s="2914"/>
      <c r="O42" s="2972"/>
      <c r="P42" s="3445" t="s">
        <v>2326</v>
      </c>
      <c r="Q42" s="1505" t="str">
        <f t="shared" si="14"/>
        <v>工程地质条件</v>
      </c>
      <c r="R42" s="714" t="s">
        <v>17</v>
      </c>
      <c r="S42" s="715">
        <f t="shared" si="10"/>
        <v>100</v>
      </c>
      <c r="T42" s="714" t="s">
        <v>17</v>
      </c>
      <c r="U42" s="715">
        <f t="shared" si="11"/>
        <v>100</v>
      </c>
      <c r="V42" s="714" t="s">
        <v>17</v>
      </c>
      <c r="W42" s="715">
        <f t="shared" si="12"/>
        <v>100</v>
      </c>
      <c r="X42" s="1508"/>
      <c r="Y42" s="3445"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45"/>
      <c r="Q43" s="1505">
        <f t="shared" si="14"/>
        <v>111</v>
      </c>
      <c r="R43" s="714" t="s">
        <v>17</v>
      </c>
      <c r="S43" s="715">
        <f t="shared" si="10"/>
        <v>100</v>
      </c>
      <c r="T43" s="714" t="s">
        <v>17</v>
      </c>
      <c r="U43" s="715">
        <f t="shared" si="11"/>
        <v>100</v>
      </c>
      <c r="V43" s="714" t="s">
        <v>17</v>
      </c>
      <c r="W43" s="715">
        <f t="shared" si="12"/>
        <v>100</v>
      </c>
      <c r="X43" s="1508"/>
      <c r="Y43" s="3445"/>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45"/>
      <c r="Q44" s="1505">
        <f t="shared" si="14"/>
        <v>111</v>
      </c>
      <c r="R44" s="714" t="s">
        <v>17</v>
      </c>
      <c r="S44" s="715">
        <f t="shared" si="10"/>
        <v>100</v>
      </c>
      <c r="T44" s="714" t="s">
        <v>17</v>
      </c>
      <c r="U44" s="715">
        <f t="shared" si="11"/>
        <v>100</v>
      </c>
      <c r="V44" s="714" t="s">
        <v>17</v>
      </c>
      <c r="W44" s="715">
        <f t="shared" si="12"/>
        <v>100</v>
      </c>
      <c r="X44" s="1508"/>
      <c r="Y44" s="3445"/>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45"/>
      <c r="Q45" s="1505">
        <f t="shared" si="14"/>
        <v>111</v>
      </c>
      <c r="R45" s="717" t="s">
        <v>17</v>
      </c>
      <c r="S45" s="718">
        <f t="shared" si="10"/>
        <v>100</v>
      </c>
      <c r="T45" s="717" t="s">
        <v>17</v>
      </c>
      <c r="U45" s="718">
        <f t="shared" si="11"/>
        <v>100</v>
      </c>
      <c r="V45" s="717" t="s">
        <v>17</v>
      </c>
      <c r="W45" s="718">
        <f t="shared" si="12"/>
        <v>100</v>
      </c>
      <c r="X45" s="719"/>
      <c r="Y45" s="3445"/>
      <c r="Z45" s="720">
        <f t="shared" si="13"/>
        <v>111</v>
      </c>
      <c r="AA45" s="1506">
        <f t="shared" si="3"/>
        <v>1</v>
      </c>
      <c r="AB45" s="1506">
        <f t="shared" si="4"/>
        <v>1</v>
      </c>
      <c r="AC45" s="1506">
        <f t="shared" si="5"/>
        <v>1</v>
      </c>
    </row>
    <row r="46" spans="1:29" ht="15">
      <c r="A46" s="438" t="s">
        <v>2481</v>
      </c>
      <c r="B46" s="2137" t="s">
        <v>2516</v>
      </c>
      <c r="C46" s="638" t="s">
        <v>1</v>
      </c>
      <c r="D46" s="440"/>
      <c r="E46" s="441">
        <v>14015</v>
      </c>
      <c r="F46" s="442"/>
      <c r="G46" s="443">
        <v>11413</v>
      </c>
      <c r="H46" s="444"/>
      <c r="I46" s="441">
        <v>18382</v>
      </c>
      <c r="J46" s="444"/>
      <c r="K46" s="723"/>
      <c r="L46" s="2922"/>
      <c r="M46" s="2923"/>
      <c r="N46" s="2914"/>
      <c r="O46" s="2923"/>
      <c r="P46" s="3438" t="str">
        <f>A46</f>
        <v>成交单价</v>
      </c>
      <c r="Q46" s="3438"/>
      <c r="R46" s="3469">
        <f>E46</f>
        <v>14015</v>
      </c>
      <c r="S46" s="3469"/>
      <c r="T46" s="3469">
        <f>G46</f>
        <v>11413</v>
      </c>
      <c r="U46" s="3469"/>
      <c r="V46" s="3469">
        <f>I46</f>
        <v>18382</v>
      </c>
      <c r="W46" s="3469"/>
      <c r="X46" s="699"/>
      <c r="Y46" s="721"/>
      <c r="Z46" s="699"/>
      <c r="AA46" s="699"/>
      <c r="AB46" s="699"/>
      <c r="AC46" s="699"/>
    </row>
    <row r="47" spans="1:29" ht="15.75" thickBot="1">
      <c r="A47" s="445" t="s">
        <v>2430</v>
      </c>
      <c r="B47" s="639"/>
      <c r="C47" s="448">
        <f>R48</f>
        <v>15941</v>
      </c>
      <c r="D47" s="2507" t="s">
        <v>2819</v>
      </c>
      <c r="E47" s="448">
        <f>R47</f>
        <v>14278</v>
      </c>
      <c r="F47" s="2508"/>
      <c r="G47" s="447">
        <f>T47</f>
        <v>14084</v>
      </c>
      <c r="H47" s="2508"/>
      <c r="I47" s="448">
        <f>V47</f>
        <v>19461</v>
      </c>
      <c r="J47" s="2508"/>
      <c r="K47" s="2510">
        <f>F47+H47+J47</f>
        <v>0</v>
      </c>
      <c r="L47" s="2922"/>
      <c r="M47" s="2923"/>
      <c r="N47" s="2923"/>
      <c r="O47" s="2923"/>
      <c r="P47" s="3438" t="str">
        <f>A47</f>
        <v>比较价值（元/平方米）</v>
      </c>
      <c r="Q47" s="3438"/>
      <c r="R47" s="3498">
        <f>ROUND(PRODUCT(R46,AA7:AA45),0)</f>
        <v>14278</v>
      </c>
      <c r="S47" s="3498"/>
      <c r="T47" s="3498">
        <f>ROUND(PRODUCT(T46,AB7:AB45),0)</f>
        <v>14084</v>
      </c>
      <c r="U47" s="3498"/>
      <c r="V47" s="3498">
        <f>ROUND(PRODUCT(V46,AC7:AC45),0)</f>
        <v>19461</v>
      </c>
      <c r="W47" s="3498"/>
      <c r="X47" s="699"/>
      <c r="Y47" s="699"/>
      <c r="Z47" s="699"/>
      <c r="AA47" s="699"/>
      <c r="AB47" s="699"/>
      <c r="AC47" s="699"/>
    </row>
    <row r="48" spans="1:29" ht="15.75" thickBot="1">
      <c r="A48" s="449" t="s">
        <v>2517</v>
      </c>
      <c r="B48" s="450"/>
      <c r="C48" s="451">
        <f>R48</f>
        <v>15941</v>
      </c>
      <c r="D48" s="451"/>
      <c r="E48" s="451"/>
      <c r="F48" s="451"/>
      <c r="G48" s="451"/>
      <c r="H48" s="451"/>
      <c r="I48" s="451"/>
      <c r="J48" s="451"/>
      <c r="K48" s="724"/>
      <c r="L48" s="2922"/>
      <c r="M48" s="2923"/>
      <c r="N48" s="2923"/>
      <c r="O48" s="2923"/>
      <c r="P48" s="3435" t="str">
        <f>A48</f>
        <v>估价对象XX用房的比较价值（楼面单价，元/平方米）</v>
      </c>
      <c r="Q48" s="3436"/>
      <c r="R48" s="3499">
        <f>ROUND(IF(D47="简单平均",AVERAGE(R47:W47),R47*F47+T47*H47+V47*J47),0)</f>
        <v>15941</v>
      </c>
      <c r="S48" s="3499"/>
      <c r="T48" s="3499"/>
      <c r="U48" s="3499"/>
      <c r="V48" s="3499"/>
      <c r="W48" s="3499"/>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f>IF(E46&lt;E47,E47/E46-1,E46/E47-1)</f>
        <v>1.8765608276846146E-2</v>
      </c>
      <c r="F51" s="457" t="str">
        <f>IF(OR(E51&gt;=0.3,E51&lt;=-0.3),"超过30%","")</f>
        <v/>
      </c>
      <c r="G51" s="456">
        <f>IF(G46&lt;G47,G47/G46-1,G46/G47-1)</f>
        <v>0.23403136773854372</v>
      </c>
      <c r="H51" s="457" t="str">
        <f>IF(OR(G51&gt;=0.3,G51&lt;=-0.3),"超过30%","")</f>
        <v/>
      </c>
      <c r="I51" s="456">
        <f>IF(I46&lt;I47,I47/I46-1,I46/I47-1)</f>
        <v>5.8698727015558783E-2</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f>IF(E47&lt;G47,G47/E47-1,E47/G47-1)</f>
        <v>1.3774495881851756E-2</v>
      </c>
      <c r="F52" s="457" t="str">
        <f>IF(OR(E52&gt;=0.2,E52&lt;=-0.2),"超过20%","")</f>
        <v/>
      </c>
      <c r="G52" s="456">
        <f>IF(G47&lt;I47,I47/G47-1,G47/I47-1)</f>
        <v>0.38178074410678775</v>
      </c>
      <c r="H52" s="457" t="str">
        <f>IF(OR(G52&gt;=0.2,G52&lt;=-0.2),"超过20%","")</f>
        <v>超过20%</v>
      </c>
      <c r="I52" s="456">
        <f>IF(I47&lt;E47,E47/I47-1,I47/E47-1)</f>
        <v>0.36300602325255649</v>
      </c>
      <c r="J52" s="457" t="str">
        <f>IF(OR(I52&gt;=0.2,I52&lt;=-0.2),"超过20%","")</f>
        <v>超过20%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f>IF(E46&lt;G46,G46/E46-1,E46/G46-1)</f>
        <v>0.22798563042144915</v>
      </c>
      <c r="F53" s="457" t="str">
        <f>IF(OR(E53&gt;=0.3,E53&lt;=-0.3),"超过30%","")</f>
        <v/>
      </c>
      <c r="G53" s="456">
        <f>IF(G46&lt;I46,I46/G46-1,G46/I46-1)</f>
        <v>0.61061946902654873</v>
      </c>
      <c r="H53" s="457" t="str">
        <f>IF(OR(G53&gt;=0.3,G53&lt;=-0.3),"超过30%","")</f>
        <v>超过30%</v>
      </c>
      <c r="I53" s="456">
        <f>IF(I46&lt;E46,E46/I46-1,I46/E46-1)</f>
        <v>0.31159471994291832</v>
      </c>
      <c r="J53" s="457" t="str">
        <f>IF(OR(I53&gt;=0.3,I53&lt;=-0.3),"超过30%","")</f>
        <v>超过30%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2518</v>
      </c>
      <c r="B55" s="641" t="s">
        <v>2519</v>
      </c>
      <c r="C55" s="3555" t="s">
        <v>3213</v>
      </c>
      <c r="D55" s="2139" t="s">
        <v>2521</v>
      </c>
      <c r="E55" s="642" t="s">
        <v>2522</v>
      </c>
      <c r="F55" s="1021" t="s">
        <v>2523</v>
      </c>
      <c r="G55" s="3453" t="s">
        <v>2524</v>
      </c>
      <c r="H55" s="3500"/>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2527</v>
      </c>
      <c r="B56" s="645">
        <f>C48</f>
        <v>15941</v>
      </c>
      <c r="C56" s="646">
        <v>1</v>
      </c>
      <c r="D56" s="1075">
        <v>1</v>
      </c>
      <c r="E56" s="646">
        <f>'数据-汇总表'!E8+'数据-汇总表'!E9</f>
        <v>125418.93</v>
      </c>
      <c r="F56" s="1017">
        <f t="shared" ref="F56:F65" si="15">ROUND(B56*E56/10000,0)</f>
        <v>199930</v>
      </c>
      <c r="G56" s="3449"/>
      <c r="H56" s="3438"/>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2528</v>
      </c>
      <c r="B57" s="224">
        <f>ROUND($C$48*C57*D57,0)</f>
        <v>1993</v>
      </c>
      <c r="C57" s="176">
        <f t="shared" ref="C57:C65" si="16">IF($C$55="北京市系数",I57,J57)</f>
        <v>0.5</v>
      </c>
      <c r="D57" s="1076">
        <v>0.25</v>
      </c>
      <c r="E57" s="650">
        <f>'数据-基础表'!K13</f>
        <v>19300.580000000002</v>
      </c>
      <c r="F57" s="1017">
        <f t="shared" si="15"/>
        <v>3847</v>
      </c>
      <c r="G57" s="3501" t="s">
        <v>2529</v>
      </c>
      <c r="H57" s="1018">
        <f>项目基本情况!B37</f>
        <v>0</v>
      </c>
      <c r="I57" s="1022">
        <f>SUMIF(修正!A45:A56,H57,修正!B45:B56)</f>
        <v>0</v>
      </c>
      <c r="J57" s="1026">
        <v>0.5</v>
      </c>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2530</v>
      </c>
      <c r="B58" s="224">
        <f t="shared" ref="B58:B65" si="17">ROUND($C$48*C58*D58,0)</f>
        <v>0</v>
      </c>
      <c r="C58" s="176">
        <f t="shared" si="16"/>
        <v>0</v>
      </c>
      <c r="D58" s="1076">
        <v>0.25</v>
      </c>
      <c r="E58" s="650"/>
      <c r="F58" s="1017">
        <f t="shared" si="15"/>
        <v>0</v>
      </c>
      <c r="G58" s="3501"/>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2531</v>
      </c>
      <c r="B59" s="224">
        <f t="shared" si="17"/>
        <v>0</v>
      </c>
      <c r="C59" s="176">
        <f t="shared" si="16"/>
        <v>0</v>
      </c>
      <c r="D59" s="1076">
        <v>0.25</v>
      </c>
      <c r="E59" s="650"/>
      <c r="F59" s="1017">
        <f t="shared" si="15"/>
        <v>0</v>
      </c>
      <c r="G59" s="3501"/>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2532</v>
      </c>
      <c r="B60" s="224">
        <f t="shared" si="17"/>
        <v>0</v>
      </c>
      <c r="C60" s="176">
        <f t="shared" si="16"/>
        <v>0</v>
      </c>
      <c r="D60" s="1076">
        <v>0.25</v>
      </c>
      <c r="E60" s="650"/>
      <c r="F60" s="1017">
        <f t="shared" si="15"/>
        <v>0</v>
      </c>
      <c r="G60" s="3501"/>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2533</v>
      </c>
      <c r="B61" s="224">
        <f t="shared" si="17"/>
        <v>0</v>
      </c>
      <c r="C61" s="176">
        <f t="shared" si="16"/>
        <v>0</v>
      </c>
      <c r="D61" s="1076">
        <v>0.25</v>
      </c>
      <c r="E61" s="223">
        <f>'数据-汇总表'!E11</f>
        <v>0</v>
      </c>
      <c r="F61" s="1017">
        <f t="shared" si="15"/>
        <v>0</v>
      </c>
      <c r="G61" s="2142" t="s">
        <v>2534</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2535</v>
      </c>
      <c r="B62" s="224">
        <f t="shared" si="17"/>
        <v>0</v>
      </c>
      <c r="C62" s="176">
        <f t="shared" si="16"/>
        <v>0</v>
      </c>
      <c r="D62" s="1076">
        <v>0.25</v>
      </c>
      <c r="E62" s="223">
        <f>'数据-汇总表'!E12</f>
        <v>0</v>
      </c>
      <c r="F62" s="1017">
        <f t="shared" si="15"/>
        <v>0</v>
      </c>
      <c r="G62" s="1023" t="s">
        <v>2536</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2537</v>
      </c>
      <c r="B63" s="224">
        <f t="shared" si="17"/>
        <v>0</v>
      </c>
      <c r="C63" s="176">
        <f t="shared" si="16"/>
        <v>0</v>
      </c>
      <c r="D63" s="1076">
        <v>0.25</v>
      </c>
      <c r="E63" s="223">
        <f>'数据-汇总表'!E13</f>
        <v>48625.24</v>
      </c>
      <c r="F63" s="3554">
        <f t="shared" si="15"/>
        <v>0</v>
      </c>
      <c r="G63" s="1023" t="s">
        <v>2538</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2539</v>
      </c>
      <c r="B64" s="224">
        <f t="shared" si="17"/>
        <v>0</v>
      </c>
      <c r="C64" s="176">
        <f t="shared" si="16"/>
        <v>0</v>
      </c>
      <c r="D64" s="1076">
        <v>0.25</v>
      </c>
      <c r="E64" s="223">
        <f>'数据-汇总表'!E14</f>
        <v>0</v>
      </c>
      <c r="F64" s="1017">
        <f t="shared" si="15"/>
        <v>0</v>
      </c>
      <c r="G64" s="2142" t="s">
        <v>2529</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2540</v>
      </c>
      <c r="B65" s="224">
        <f t="shared" si="17"/>
        <v>0</v>
      </c>
      <c r="C65" s="176">
        <f t="shared" si="16"/>
        <v>0</v>
      </c>
      <c r="D65" s="1076">
        <v>0.25</v>
      </c>
      <c r="E65" s="223">
        <f>'数据-汇总表'!E15</f>
        <v>0</v>
      </c>
      <c r="F65" s="1017">
        <f t="shared" si="15"/>
        <v>0</v>
      </c>
      <c r="G65" s="2143" t="s">
        <v>2534</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2541</v>
      </c>
      <c r="B66" s="652" t="s">
        <v>28</v>
      </c>
      <c r="C66" s="652" t="s">
        <v>29</v>
      </c>
      <c r="D66" s="652" t="s">
        <v>997</v>
      </c>
      <c r="E66" s="652">
        <f>IF(B46="楼面地价",SUM(E56:E65),'数据-汇总表'!D3)</f>
        <v>193344.75</v>
      </c>
      <c r="F66" s="653">
        <f>IF(B46="楼面地价",SUM(F56:F65),ROUND(C48*E66/10000,0))</f>
        <v>203777</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2542</v>
      </c>
      <c r="B70" s="1241"/>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4"/>
      <c r="Q70" s="2939"/>
      <c r="R70" s="2939"/>
      <c r="S70" s="2939"/>
      <c r="T70" s="2939"/>
      <c r="U70" s="2939"/>
      <c r="V70" s="2939"/>
      <c r="W70" s="2939"/>
      <c r="X70" s="2939"/>
      <c r="Y70" s="2939"/>
      <c r="Z70" s="2939"/>
      <c r="AA70" s="2939"/>
      <c r="AB70" s="2939"/>
      <c r="AC70" s="2939"/>
    </row>
    <row r="71" spans="1:29" s="113" customFormat="1" ht="30" customHeight="1">
      <c r="A71" s="2145" t="s">
        <v>1283</v>
      </c>
      <c r="B71" s="294" t="str">
        <f>"北京市平均增长率"&amp;TEXT(SUMIF(基准地价修正!N21:N25,A71,基准地价修正!P21:P25),"0.00%")</f>
        <v>北京市平均增长率0.00%</v>
      </c>
      <c r="C71" s="560">
        <v>100</v>
      </c>
      <c r="D71" s="552">
        <f>C71-$C$72</f>
        <v>99</v>
      </c>
      <c r="E71" s="552">
        <f t="shared" ref="E71:O71" si="20">D71-$C$72</f>
        <v>98</v>
      </c>
      <c r="F71" s="552">
        <f t="shared" si="20"/>
        <v>97</v>
      </c>
      <c r="G71" s="552">
        <f t="shared" si="20"/>
        <v>96</v>
      </c>
      <c r="H71" s="552">
        <f t="shared" si="20"/>
        <v>95</v>
      </c>
      <c r="I71" s="552">
        <f t="shared" si="20"/>
        <v>94</v>
      </c>
      <c r="J71" s="552">
        <f t="shared" si="20"/>
        <v>93</v>
      </c>
      <c r="K71" s="552">
        <f t="shared" si="20"/>
        <v>92</v>
      </c>
      <c r="L71" s="552">
        <f t="shared" si="20"/>
        <v>91</v>
      </c>
      <c r="M71" s="552">
        <f t="shared" si="20"/>
        <v>90</v>
      </c>
      <c r="N71" s="552">
        <f>M71-$C$72</f>
        <v>89</v>
      </c>
      <c r="O71" s="552">
        <f t="shared" si="20"/>
        <v>88</v>
      </c>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v>1</v>
      </c>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3208" t="s">
        <v>3184</v>
      </c>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v>100</v>
      </c>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自持</v>
      </c>
      <c r="C82" s="3211" t="s">
        <v>3214</v>
      </c>
      <c r="D82" s="3211" t="s">
        <v>3215</v>
      </c>
      <c r="E82" s="3211" t="s">
        <v>3216</v>
      </c>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v>100</v>
      </c>
      <c r="D83" s="493">
        <v>105</v>
      </c>
      <c r="E83" s="493">
        <v>110</v>
      </c>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2543</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97</v>
      </c>
      <c r="E91" s="501">
        <f>D91-$K17</f>
        <v>94</v>
      </c>
      <c r="F91" s="501">
        <f>E91-$K17</f>
        <v>91</v>
      </c>
      <c r="G91" s="501">
        <f>F91-$K17</f>
        <v>88</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97</v>
      </c>
      <c r="E95" s="501">
        <f>D95-$K21</f>
        <v>94</v>
      </c>
      <c r="F95" s="501">
        <f>E95-$K21</f>
        <v>91</v>
      </c>
      <c r="G95" s="501">
        <f>F95-$K21</f>
        <v>88</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2544</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2545</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3215" t="s">
        <v>3205</v>
      </c>
      <c r="D106" s="3215" t="s">
        <v>3206</v>
      </c>
      <c r="E106" s="3215" t="s">
        <v>3207</v>
      </c>
      <c r="F106" s="3215" t="s">
        <v>3208</v>
      </c>
      <c r="G106" s="3215" t="s">
        <v>3209</v>
      </c>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2510</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28.5">
      <c r="A116" s="484" t="s">
        <v>2324</v>
      </c>
      <c r="B116" s="485" t="s">
        <v>2550</v>
      </c>
      <c r="C116" s="486" t="str">
        <f>C117&amp;"(含)"&amp;"-"&amp;D117</f>
        <v>0(含)-20000</v>
      </c>
      <c r="D116" s="486" t="str">
        <f t="shared" ref="D116:M116" si="26">D117&amp;"(含)"&amp;"-"&amp;E117</f>
        <v>20000(含)-40000</v>
      </c>
      <c r="E116" s="486" t="str">
        <f t="shared" si="26"/>
        <v>40000(含)-60000</v>
      </c>
      <c r="F116" s="486" t="str">
        <f t="shared" si="26"/>
        <v>60000(含)-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20000</v>
      </c>
      <c r="E117" s="552">
        <v>40000</v>
      </c>
      <c r="F117" s="552">
        <v>60000</v>
      </c>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48">
        <v>102</v>
      </c>
      <c r="F118" s="548">
        <v>103</v>
      </c>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2551</v>
      </c>
      <c r="C119" s="3210" t="s">
        <v>3185</v>
      </c>
      <c r="D119" s="3210" t="s">
        <v>3187</v>
      </c>
      <c r="E119" s="3210" t="s">
        <v>3189</v>
      </c>
      <c r="F119" s="3210" t="s">
        <v>3190</v>
      </c>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2552</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2553</v>
      </c>
      <c r="C123" s="3211" t="s">
        <v>3193</v>
      </c>
      <c r="D123" s="3211" t="s">
        <v>3194</v>
      </c>
      <c r="E123" s="3211" t="s">
        <v>3195</v>
      </c>
      <c r="F123" s="3211" t="s">
        <v>3196</v>
      </c>
      <c r="G123" s="3211" t="s">
        <v>3197</v>
      </c>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2554</v>
      </c>
      <c r="C125" s="3211" t="s">
        <v>3192</v>
      </c>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pageSetUpPr autoPageBreaks="0" fitToPage="1"/>
  </sheetPr>
  <dimension ref="A1:M9"/>
  <sheetViews>
    <sheetView topLeftCell="D1" workbookViewId="0">
      <selection activeCell="A6" sqref="A6:XFD6"/>
    </sheetView>
  </sheetViews>
  <sheetFormatPr defaultRowHeight="12.75"/>
  <cols>
    <col min="1" max="1" width="47.5" style="3207" customWidth="1"/>
    <col min="2" max="2" width="6.25" style="3207" customWidth="1"/>
    <col min="3" max="3" width="11.75" style="3207" customWidth="1"/>
    <col min="4" max="4" width="7.875" style="3207" customWidth="1"/>
    <col min="5" max="5" width="11.25" style="3207" customWidth="1"/>
    <col min="6" max="6" width="14.25" style="3207" customWidth="1"/>
    <col min="7" max="7" width="7.875" style="3207" customWidth="1"/>
    <col min="8" max="8" width="9" style="3207" customWidth="1"/>
    <col min="9" max="9" width="16.25" style="3207" customWidth="1"/>
    <col min="10" max="11" width="6.375" style="3207" customWidth="1"/>
    <col min="12" max="12" width="9.625" style="3207" customWidth="1"/>
    <col min="13" max="13" width="6.25" style="3207" customWidth="1"/>
    <col min="14" max="256" width="9" style="3207"/>
    <col min="257" max="257" width="47.5" style="3207" customWidth="1"/>
    <col min="258" max="258" width="6.25" style="3207" customWidth="1"/>
    <col min="259" max="259" width="11.75" style="3207" customWidth="1"/>
    <col min="260" max="261" width="11.25" style="3207" customWidth="1"/>
    <col min="262" max="262" width="14.25" style="3207" customWidth="1"/>
    <col min="263" max="263" width="7.875" style="3207" customWidth="1"/>
    <col min="264" max="264" width="9" style="3207" customWidth="1"/>
    <col min="265" max="265" width="27.75" style="3207" customWidth="1"/>
    <col min="266" max="267" width="6.375" style="3207" customWidth="1"/>
    <col min="268" max="268" width="9.625" style="3207" customWidth="1"/>
    <col min="269" max="269" width="6.25" style="3207" customWidth="1"/>
    <col min="270" max="512" width="9" style="3207"/>
    <col min="513" max="513" width="47.5" style="3207" customWidth="1"/>
    <col min="514" max="514" width="6.25" style="3207" customWidth="1"/>
    <col min="515" max="515" width="11.75" style="3207" customWidth="1"/>
    <col min="516" max="517" width="11.25" style="3207" customWidth="1"/>
    <col min="518" max="518" width="14.25" style="3207" customWidth="1"/>
    <col min="519" max="519" width="7.875" style="3207" customWidth="1"/>
    <col min="520" max="520" width="9" style="3207" customWidth="1"/>
    <col min="521" max="521" width="27.75" style="3207" customWidth="1"/>
    <col min="522" max="523" width="6.375" style="3207" customWidth="1"/>
    <col min="524" max="524" width="9.625" style="3207" customWidth="1"/>
    <col min="525" max="525" width="6.25" style="3207" customWidth="1"/>
    <col min="526" max="768" width="9" style="3207"/>
    <col min="769" max="769" width="47.5" style="3207" customWidth="1"/>
    <col min="770" max="770" width="6.25" style="3207" customWidth="1"/>
    <col min="771" max="771" width="11.75" style="3207" customWidth="1"/>
    <col min="772" max="773" width="11.25" style="3207" customWidth="1"/>
    <col min="774" max="774" width="14.25" style="3207" customWidth="1"/>
    <col min="775" max="775" width="7.875" style="3207" customWidth="1"/>
    <col min="776" max="776" width="9" style="3207" customWidth="1"/>
    <col min="777" max="777" width="27.75" style="3207" customWidth="1"/>
    <col min="778" max="779" width="6.375" style="3207" customWidth="1"/>
    <col min="780" max="780" width="9.625" style="3207" customWidth="1"/>
    <col min="781" max="781" width="6.25" style="3207" customWidth="1"/>
    <col min="782" max="1024" width="9" style="3207"/>
    <col min="1025" max="1025" width="47.5" style="3207" customWidth="1"/>
    <col min="1026" max="1026" width="6.25" style="3207" customWidth="1"/>
    <col min="1027" max="1027" width="11.75" style="3207" customWidth="1"/>
    <col min="1028" max="1029" width="11.25" style="3207" customWidth="1"/>
    <col min="1030" max="1030" width="14.25" style="3207" customWidth="1"/>
    <col min="1031" max="1031" width="7.875" style="3207" customWidth="1"/>
    <col min="1032" max="1032" width="9" style="3207" customWidth="1"/>
    <col min="1033" max="1033" width="27.75" style="3207" customWidth="1"/>
    <col min="1034" max="1035" width="6.375" style="3207" customWidth="1"/>
    <col min="1036" max="1036" width="9.625" style="3207" customWidth="1"/>
    <col min="1037" max="1037" width="6.25" style="3207" customWidth="1"/>
    <col min="1038" max="1280" width="9" style="3207"/>
    <col min="1281" max="1281" width="47.5" style="3207" customWidth="1"/>
    <col min="1282" max="1282" width="6.25" style="3207" customWidth="1"/>
    <col min="1283" max="1283" width="11.75" style="3207" customWidth="1"/>
    <col min="1284" max="1285" width="11.25" style="3207" customWidth="1"/>
    <col min="1286" max="1286" width="14.25" style="3207" customWidth="1"/>
    <col min="1287" max="1287" width="7.875" style="3207" customWidth="1"/>
    <col min="1288" max="1288" width="9" style="3207" customWidth="1"/>
    <col min="1289" max="1289" width="27.75" style="3207" customWidth="1"/>
    <col min="1290" max="1291" width="6.375" style="3207" customWidth="1"/>
    <col min="1292" max="1292" width="9.625" style="3207" customWidth="1"/>
    <col min="1293" max="1293" width="6.25" style="3207" customWidth="1"/>
    <col min="1294" max="1536" width="9" style="3207"/>
    <col min="1537" max="1537" width="47.5" style="3207" customWidth="1"/>
    <col min="1538" max="1538" width="6.25" style="3207" customWidth="1"/>
    <col min="1539" max="1539" width="11.75" style="3207" customWidth="1"/>
    <col min="1540" max="1541" width="11.25" style="3207" customWidth="1"/>
    <col min="1542" max="1542" width="14.25" style="3207" customWidth="1"/>
    <col min="1543" max="1543" width="7.875" style="3207" customWidth="1"/>
    <col min="1544" max="1544" width="9" style="3207" customWidth="1"/>
    <col min="1545" max="1545" width="27.75" style="3207" customWidth="1"/>
    <col min="1546" max="1547" width="6.375" style="3207" customWidth="1"/>
    <col min="1548" max="1548" width="9.625" style="3207" customWidth="1"/>
    <col min="1549" max="1549" width="6.25" style="3207" customWidth="1"/>
    <col min="1550" max="1792" width="9" style="3207"/>
    <col min="1793" max="1793" width="47.5" style="3207" customWidth="1"/>
    <col min="1794" max="1794" width="6.25" style="3207" customWidth="1"/>
    <col min="1795" max="1795" width="11.75" style="3207" customWidth="1"/>
    <col min="1796" max="1797" width="11.25" style="3207" customWidth="1"/>
    <col min="1798" max="1798" width="14.25" style="3207" customWidth="1"/>
    <col min="1799" max="1799" width="7.875" style="3207" customWidth="1"/>
    <col min="1800" max="1800" width="9" style="3207" customWidth="1"/>
    <col min="1801" max="1801" width="27.75" style="3207" customWidth="1"/>
    <col min="1802" max="1803" width="6.375" style="3207" customWidth="1"/>
    <col min="1804" max="1804" width="9.625" style="3207" customWidth="1"/>
    <col min="1805" max="1805" width="6.25" style="3207" customWidth="1"/>
    <col min="1806" max="2048" width="9" style="3207"/>
    <col min="2049" max="2049" width="47.5" style="3207" customWidth="1"/>
    <col min="2050" max="2050" width="6.25" style="3207" customWidth="1"/>
    <col min="2051" max="2051" width="11.75" style="3207" customWidth="1"/>
    <col min="2052" max="2053" width="11.25" style="3207" customWidth="1"/>
    <col min="2054" max="2054" width="14.25" style="3207" customWidth="1"/>
    <col min="2055" max="2055" width="7.875" style="3207" customWidth="1"/>
    <col min="2056" max="2056" width="9" style="3207" customWidth="1"/>
    <col min="2057" max="2057" width="27.75" style="3207" customWidth="1"/>
    <col min="2058" max="2059" width="6.375" style="3207" customWidth="1"/>
    <col min="2060" max="2060" width="9.625" style="3207" customWidth="1"/>
    <col min="2061" max="2061" width="6.25" style="3207" customWidth="1"/>
    <col min="2062" max="2304" width="9" style="3207"/>
    <col min="2305" max="2305" width="47.5" style="3207" customWidth="1"/>
    <col min="2306" max="2306" width="6.25" style="3207" customWidth="1"/>
    <col min="2307" max="2307" width="11.75" style="3207" customWidth="1"/>
    <col min="2308" max="2309" width="11.25" style="3207" customWidth="1"/>
    <col min="2310" max="2310" width="14.25" style="3207" customWidth="1"/>
    <col min="2311" max="2311" width="7.875" style="3207" customWidth="1"/>
    <col min="2312" max="2312" width="9" style="3207" customWidth="1"/>
    <col min="2313" max="2313" width="27.75" style="3207" customWidth="1"/>
    <col min="2314" max="2315" width="6.375" style="3207" customWidth="1"/>
    <col min="2316" max="2316" width="9.625" style="3207" customWidth="1"/>
    <col min="2317" max="2317" width="6.25" style="3207" customWidth="1"/>
    <col min="2318" max="2560" width="9" style="3207"/>
    <col min="2561" max="2561" width="47.5" style="3207" customWidth="1"/>
    <col min="2562" max="2562" width="6.25" style="3207" customWidth="1"/>
    <col min="2563" max="2563" width="11.75" style="3207" customWidth="1"/>
    <col min="2564" max="2565" width="11.25" style="3207" customWidth="1"/>
    <col min="2566" max="2566" width="14.25" style="3207" customWidth="1"/>
    <col min="2567" max="2567" width="7.875" style="3207" customWidth="1"/>
    <col min="2568" max="2568" width="9" style="3207" customWidth="1"/>
    <col min="2569" max="2569" width="27.75" style="3207" customWidth="1"/>
    <col min="2570" max="2571" width="6.375" style="3207" customWidth="1"/>
    <col min="2572" max="2572" width="9.625" style="3207" customWidth="1"/>
    <col min="2573" max="2573" width="6.25" style="3207" customWidth="1"/>
    <col min="2574" max="2816" width="9" style="3207"/>
    <col min="2817" max="2817" width="47.5" style="3207" customWidth="1"/>
    <col min="2818" max="2818" width="6.25" style="3207" customWidth="1"/>
    <col min="2819" max="2819" width="11.75" style="3207" customWidth="1"/>
    <col min="2820" max="2821" width="11.25" style="3207" customWidth="1"/>
    <col min="2822" max="2822" width="14.25" style="3207" customWidth="1"/>
    <col min="2823" max="2823" width="7.875" style="3207" customWidth="1"/>
    <col min="2824" max="2824" width="9" style="3207" customWidth="1"/>
    <col min="2825" max="2825" width="27.75" style="3207" customWidth="1"/>
    <col min="2826" max="2827" width="6.375" style="3207" customWidth="1"/>
    <col min="2828" max="2828" width="9.625" style="3207" customWidth="1"/>
    <col min="2829" max="2829" width="6.25" style="3207" customWidth="1"/>
    <col min="2830" max="3072" width="9" style="3207"/>
    <col min="3073" max="3073" width="47.5" style="3207" customWidth="1"/>
    <col min="3074" max="3074" width="6.25" style="3207" customWidth="1"/>
    <col min="3075" max="3075" width="11.75" style="3207" customWidth="1"/>
    <col min="3076" max="3077" width="11.25" style="3207" customWidth="1"/>
    <col min="3078" max="3078" width="14.25" style="3207" customWidth="1"/>
    <col min="3079" max="3079" width="7.875" style="3207" customWidth="1"/>
    <col min="3080" max="3080" width="9" style="3207" customWidth="1"/>
    <col min="3081" max="3081" width="27.75" style="3207" customWidth="1"/>
    <col min="3082" max="3083" width="6.375" style="3207" customWidth="1"/>
    <col min="3084" max="3084" width="9.625" style="3207" customWidth="1"/>
    <col min="3085" max="3085" width="6.25" style="3207" customWidth="1"/>
    <col min="3086" max="3328" width="9" style="3207"/>
    <col min="3329" max="3329" width="47.5" style="3207" customWidth="1"/>
    <col min="3330" max="3330" width="6.25" style="3207" customWidth="1"/>
    <col min="3331" max="3331" width="11.75" style="3207" customWidth="1"/>
    <col min="3332" max="3333" width="11.25" style="3207" customWidth="1"/>
    <col min="3334" max="3334" width="14.25" style="3207" customWidth="1"/>
    <col min="3335" max="3335" width="7.875" style="3207" customWidth="1"/>
    <col min="3336" max="3336" width="9" style="3207" customWidth="1"/>
    <col min="3337" max="3337" width="27.75" style="3207" customWidth="1"/>
    <col min="3338" max="3339" width="6.375" style="3207" customWidth="1"/>
    <col min="3340" max="3340" width="9.625" style="3207" customWidth="1"/>
    <col min="3341" max="3341" width="6.25" style="3207" customWidth="1"/>
    <col min="3342" max="3584" width="9" style="3207"/>
    <col min="3585" max="3585" width="47.5" style="3207" customWidth="1"/>
    <col min="3586" max="3586" width="6.25" style="3207" customWidth="1"/>
    <col min="3587" max="3587" width="11.75" style="3207" customWidth="1"/>
    <col min="3588" max="3589" width="11.25" style="3207" customWidth="1"/>
    <col min="3590" max="3590" width="14.25" style="3207" customWidth="1"/>
    <col min="3591" max="3591" width="7.875" style="3207" customWidth="1"/>
    <col min="3592" max="3592" width="9" style="3207" customWidth="1"/>
    <col min="3593" max="3593" width="27.75" style="3207" customWidth="1"/>
    <col min="3594" max="3595" width="6.375" style="3207" customWidth="1"/>
    <col min="3596" max="3596" width="9.625" style="3207" customWidth="1"/>
    <col min="3597" max="3597" width="6.25" style="3207" customWidth="1"/>
    <col min="3598" max="3840" width="9" style="3207"/>
    <col min="3841" max="3841" width="47.5" style="3207" customWidth="1"/>
    <col min="3842" max="3842" width="6.25" style="3207" customWidth="1"/>
    <col min="3843" max="3843" width="11.75" style="3207" customWidth="1"/>
    <col min="3844" max="3845" width="11.25" style="3207" customWidth="1"/>
    <col min="3846" max="3846" width="14.25" style="3207" customWidth="1"/>
    <col min="3847" max="3847" width="7.875" style="3207" customWidth="1"/>
    <col min="3848" max="3848" width="9" style="3207" customWidth="1"/>
    <col min="3849" max="3849" width="27.75" style="3207" customWidth="1"/>
    <col min="3850" max="3851" width="6.375" style="3207" customWidth="1"/>
    <col min="3852" max="3852" width="9.625" style="3207" customWidth="1"/>
    <col min="3853" max="3853" width="6.25" style="3207" customWidth="1"/>
    <col min="3854" max="4096" width="9" style="3207"/>
    <col min="4097" max="4097" width="47.5" style="3207" customWidth="1"/>
    <col min="4098" max="4098" width="6.25" style="3207" customWidth="1"/>
    <col min="4099" max="4099" width="11.75" style="3207" customWidth="1"/>
    <col min="4100" max="4101" width="11.25" style="3207" customWidth="1"/>
    <col min="4102" max="4102" width="14.25" style="3207" customWidth="1"/>
    <col min="4103" max="4103" width="7.875" style="3207" customWidth="1"/>
    <col min="4104" max="4104" width="9" style="3207" customWidth="1"/>
    <col min="4105" max="4105" width="27.75" style="3207" customWidth="1"/>
    <col min="4106" max="4107" width="6.375" style="3207" customWidth="1"/>
    <col min="4108" max="4108" width="9.625" style="3207" customWidth="1"/>
    <col min="4109" max="4109" width="6.25" style="3207" customWidth="1"/>
    <col min="4110" max="4352" width="9" style="3207"/>
    <col min="4353" max="4353" width="47.5" style="3207" customWidth="1"/>
    <col min="4354" max="4354" width="6.25" style="3207" customWidth="1"/>
    <col min="4355" max="4355" width="11.75" style="3207" customWidth="1"/>
    <col min="4356" max="4357" width="11.25" style="3207" customWidth="1"/>
    <col min="4358" max="4358" width="14.25" style="3207" customWidth="1"/>
    <col min="4359" max="4359" width="7.875" style="3207" customWidth="1"/>
    <col min="4360" max="4360" width="9" style="3207" customWidth="1"/>
    <col min="4361" max="4361" width="27.75" style="3207" customWidth="1"/>
    <col min="4362" max="4363" width="6.375" style="3207" customWidth="1"/>
    <col min="4364" max="4364" width="9.625" style="3207" customWidth="1"/>
    <col min="4365" max="4365" width="6.25" style="3207" customWidth="1"/>
    <col min="4366" max="4608" width="9" style="3207"/>
    <col min="4609" max="4609" width="47.5" style="3207" customWidth="1"/>
    <col min="4610" max="4610" width="6.25" style="3207" customWidth="1"/>
    <col min="4611" max="4611" width="11.75" style="3207" customWidth="1"/>
    <col min="4612" max="4613" width="11.25" style="3207" customWidth="1"/>
    <col min="4614" max="4614" width="14.25" style="3207" customWidth="1"/>
    <col min="4615" max="4615" width="7.875" style="3207" customWidth="1"/>
    <col min="4616" max="4616" width="9" style="3207" customWidth="1"/>
    <col min="4617" max="4617" width="27.75" style="3207" customWidth="1"/>
    <col min="4618" max="4619" width="6.375" style="3207" customWidth="1"/>
    <col min="4620" max="4620" width="9.625" style="3207" customWidth="1"/>
    <col min="4621" max="4621" width="6.25" style="3207" customWidth="1"/>
    <col min="4622" max="4864" width="9" style="3207"/>
    <col min="4865" max="4865" width="47.5" style="3207" customWidth="1"/>
    <col min="4866" max="4866" width="6.25" style="3207" customWidth="1"/>
    <col min="4867" max="4867" width="11.75" style="3207" customWidth="1"/>
    <col min="4868" max="4869" width="11.25" style="3207" customWidth="1"/>
    <col min="4870" max="4870" width="14.25" style="3207" customWidth="1"/>
    <col min="4871" max="4871" width="7.875" style="3207" customWidth="1"/>
    <col min="4872" max="4872" width="9" style="3207" customWidth="1"/>
    <col min="4873" max="4873" width="27.75" style="3207" customWidth="1"/>
    <col min="4874" max="4875" width="6.375" style="3207" customWidth="1"/>
    <col min="4876" max="4876" width="9.625" style="3207" customWidth="1"/>
    <col min="4877" max="4877" width="6.25" style="3207" customWidth="1"/>
    <col min="4878" max="5120" width="9" style="3207"/>
    <col min="5121" max="5121" width="47.5" style="3207" customWidth="1"/>
    <col min="5122" max="5122" width="6.25" style="3207" customWidth="1"/>
    <col min="5123" max="5123" width="11.75" style="3207" customWidth="1"/>
    <col min="5124" max="5125" width="11.25" style="3207" customWidth="1"/>
    <col min="5126" max="5126" width="14.25" style="3207" customWidth="1"/>
    <col min="5127" max="5127" width="7.875" style="3207" customWidth="1"/>
    <col min="5128" max="5128" width="9" style="3207" customWidth="1"/>
    <col min="5129" max="5129" width="27.75" style="3207" customWidth="1"/>
    <col min="5130" max="5131" width="6.375" style="3207" customWidth="1"/>
    <col min="5132" max="5132" width="9.625" style="3207" customWidth="1"/>
    <col min="5133" max="5133" width="6.25" style="3207" customWidth="1"/>
    <col min="5134" max="5376" width="9" style="3207"/>
    <col min="5377" max="5377" width="47.5" style="3207" customWidth="1"/>
    <col min="5378" max="5378" width="6.25" style="3207" customWidth="1"/>
    <col min="5379" max="5379" width="11.75" style="3207" customWidth="1"/>
    <col min="5380" max="5381" width="11.25" style="3207" customWidth="1"/>
    <col min="5382" max="5382" width="14.25" style="3207" customWidth="1"/>
    <col min="5383" max="5383" width="7.875" style="3207" customWidth="1"/>
    <col min="5384" max="5384" width="9" style="3207" customWidth="1"/>
    <col min="5385" max="5385" width="27.75" style="3207" customWidth="1"/>
    <col min="5386" max="5387" width="6.375" style="3207" customWidth="1"/>
    <col min="5388" max="5388" width="9.625" style="3207" customWidth="1"/>
    <col min="5389" max="5389" width="6.25" style="3207" customWidth="1"/>
    <col min="5390" max="5632" width="9" style="3207"/>
    <col min="5633" max="5633" width="47.5" style="3207" customWidth="1"/>
    <col min="5634" max="5634" width="6.25" style="3207" customWidth="1"/>
    <col min="5635" max="5635" width="11.75" style="3207" customWidth="1"/>
    <col min="5636" max="5637" width="11.25" style="3207" customWidth="1"/>
    <col min="5638" max="5638" width="14.25" style="3207" customWidth="1"/>
    <col min="5639" max="5639" width="7.875" style="3207" customWidth="1"/>
    <col min="5640" max="5640" width="9" style="3207" customWidth="1"/>
    <col min="5641" max="5641" width="27.75" style="3207" customWidth="1"/>
    <col min="5642" max="5643" width="6.375" style="3207" customWidth="1"/>
    <col min="5644" max="5644" width="9.625" style="3207" customWidth="1"/>
    <col min="5645" max="5645" width="6.25" style="3207" customWidth="1"/>
    <col min="5646" max="5888" width="9" style="3207"/>
    <col min="5889" max="5889" width="47.5" style="3207" customWidth="1"/>
    <col min="5890" max="5890" width="6.25" style="3207" customWidth="1"/>
    <col min="5891" max="5891" width="11.75" style="3207" customWidth="1"/>
    <col min="5892" max="5893" width="11.25" style="3207" customWidth="1"/>
    <col min="5894" max="5894" width="14.25" style="3207" customWidth="1"/>
    <col min="5895" max="5895" width="7.875" style="3207" customWidth="1"/>
    <col min="5896" max="5896" width="9" style="3207" customWidth="1"/>
    <col min="5897" max="5897" width="27.75" style="3207" customWidth="1"/>
    <col min="5898" max="5899" width="6.375" style="3207" customWidth="1"/>
    <col min="5900" max="5900" width="9.625" style="3207" customWidth="1"/>
    <col min="5901" max="5901" width="6.25" style="3207" customWidth="1"/>
    <col min="5902" max="6144" width="9" style="3207"/>
    <col min="6145" max="6145" width="47.5" style="3207" customWidth="1"/>
    <col min="6146" max="6146" width="6.25" style="3207" customWidth="1"/>
    <col min="6147" max="6147" width="11.75" style="3207" customWidth="1"/>
    <col min="6148" max="6149" width="11.25" style="3207" customWidth="1"/>
    <col min="6150" max="6150" width="14.25" style="3207" customWidth="1"/>
    <col min="6151" max="6151" width="7.875" style="3207" customWidth="1"/>
    <col min="6152" max="6152" width="9" style="3207" customWidth="1"/>
    <col min="6153" max="6153" width="27.75" style="3207" customWidth="1"/>
    <col min="6154" max="6155" width="6.375" style="3207" customWidth="1"/>
    <col min="6156" max="6156" width="9.625" style="3207" customWidth="1"/>
    <col min="6157" max="6157" width="6.25" style="3207" customWidth="1"/>
    <col min="6158" max="6400" width="9" style="3207"/>
    <col min="6401" max="6401" width="47.5" style="3207" customWidth="1"/>
    <col min="6402" max="6402" width="6.25" style="3207" customWidth="1"/>
    <col min="6403" max="6403" width="11.75" style="3207" customWidth="1"/>
    <col min="6404" max="6405" width="11.25" style="3207" customWidth="1"/>
    <col min="6406" max="6406" width="14.25" style="3207" customWidth="1"/>
    <col min="6407" max="6407" width="7.875" style="3207" customWidth="1"/>
    <col min="6408" max="6408" width="9" style="3207" customWidth="1"/>
    <col min="6409" max="6409" width="27.75" style="3207" customWidth="1"/>
    <col min="6410" max="6411" width="6.375" style="3207" customWidth="1"/>
    <col min="6412" max="6412" width="9.625" style="3207" customWidth="1"/>
    <col min="6413" max="6413" width="6.25" style="3207" customWidth="1"/>
    <col min="6414" max="6656" width="9" style="3207"/>
    <col min="6657" max="6657" width="47.5" style="3207" customWidth="1"/>
    <col min="6658" max="6658" width="6.25" style="3207" customWidth="1"/>
    <col min="6659" max="6659" width="11.75" style="3207" customWidth="1"/>
    <col min="6660" max="6661" width="11.25" style="3207" customWidth="1"/>
    <col min="6662" max="6662" width="14.25" style="3207" customWidth="1"/>
    <col min="6663" max="6663" width="7.875" style="3207" customWidth="1"/>
    <col min="6664" max="6664" width="9" style="3207" customWidth="1"/>
    <col min="6665" max="6665" width="27.75" style="3207" customWidth="1"/>
    <col min="6666" max="6667" width="6.375" style="3207" customWidth="1"/>
    <col min="6668" max="6668" width="9.625" style="3207" customWidth="1"/>
    <col min="6669" max="6669" width="6.25" style="3207" customWidth="1"/>
    <col min="6670" max="6912" width="9" style="3207"/>
    <col min="6913" max="6913" width="47.5" style="3207" customWidth="1"/>
    <col min="6914" max="6914" width="6.25" style="3207" customWidth="1"/>
    <col min="6915" max="6915" width="11.75" style="3207" customWidth="1"/>
    <col min="6916" max="6917" width="11.25" style="3207" customWidth="1"/>
    <col min="6918" max="6918" width="14.25" style="3207" customWidth="1"/>
    <col min="6919" max="6919" width="7.875" style="3207" customWidth="1"/>
    <col min="6920" max="6920" width="9" style="3207" customWidth="1"/>
    <col min="6921" max="6921" width="27.75" style="3207" customWidth="1"/>
    <col min="6922" max="6923" width="6.375" style="3207" customWidth="1"/>
    <col min="6924" max="6924" width="9.625" style="3207" customWidth="1"/>
    <col min="6925" max="6925" width="6.25" style="3207" customWidth="1"/>
    <col min="6926" max="7168" width="9" style="3207"/>
    <col min="7169" max="7169" width="47.5" style="3207" customWidth="1"/>
    <col min="7170" max="7170" width="6.25" style="3207" customWidth="1"/>
    <col min="7171" max="7171" width="11.75" style="3207" customWidth="1"/>
    <col min="7172" max="7173" width="11.25" style="3207" customWidth="1"/>
    <col min="7174" max="7174" width="14.25" style="3207" customWidth="1"/>
    <col min="7175" max="7175" width="7.875" style="3207" customWidth="1"/>
    <col min="7176" max="7176" width="9" style="3207" customWidth="1"/>
    <col min="7177" max="7177" width="27.75" style="3207" customWidth="1"/>
    <col min="7178" max="7179" width="6.375" style="3207" customWidth="1"/>
    <col min="7180" max="7180" width="9.625" style="3207" customWidth="1"/>
    <col min="7181" max="7181" width="6.25" style="3207" customWidth="1"/>
    <col min="7182" max="7424" width="9" style="3207"/>
    <col min="7425" max="7425" width="47.5" style="3207" customWidth="1"/>
    <col min="7426" max="7426" width="6.25" style="3207" customWidth="1"/>
    <col min="7427" max="7427" width="11.75" style="3207" customWidth="1"/>
    <col min="7428" max="7429" width="11.25" style="3207" customWidth="1"/>
    <col min="7430" max="7430" width="14.25" style="3207" customWidth="1"/>
    <col min="7431" max="7431" width="7.875" style="3207" customWidth="1"/>
    <col min="7432" max="7432" width="9" style="3207" customWidth="1"/>
    <col min="7433" max="7433" width="27.75" style="3207" customWidth="1"/>
    <col min="7434" max="7435" width="6.375" style="3207" customWidth="1"/>
    <col min="7436" max="7436" width="9.625" style="3207" customWidth="1"/>
    <col min="7437" max="7437" width="6.25" style="3207" customWidth="1"/>
    <col min="7438" max="7680" width="9" style="3207"/>
    <col min="7681" max="7681" width="47.5" style="3207" customWidth="1"/>
    <col min="7682" max="7682" width="6.25" style="3207" customWidth="1"/>
    <col min="7683" max="7683" width="11.75" style="3207" customWidth="1"/>
    <col min="7684" max="7685" width="11.25" style="3207" customWidth="1"/>
    <col min="7686" max="7686" width="14.25" style="3207" customWidth="1"/>
    <col min="7687" max="7687" width="7.875" style="3207" customWidth="1"/>
    <col min="7688" max="7688" width="9" style="3207" customWidth="1"/>
    <col min="7689" max="7689" width="27.75" style="3207" customWidth="1"/>
    <col min="7690" max="7691" width="6.375" style="3207" customWidth="1"/>
    <col min="7692" max="7692" width="9.625" style="3207" customWidth="1"/>
    <col min="7693" max="7693" width="6.25" style="3207" customWidth="1"/>
    <col min="7694" max="7936" width="9" style="3207"/>
    <col min="7937" max="7937" width="47.5" style="3207" customWidth="1"/>
    <col min="7938" max="7938" width="6.25" style="3207" customWidth="1"/>
    <col min="7939" max="7939" width="11.75" style="3207" customWidth="1"/>
    <col min="7940" max="7941" width="11.25" style="3207" customWidth="1"/>
    <col min="7942" max="7942" width="14.25" style="3207" customWidth="1"/>
    <col min="7943" max="7943" width="7.875" style="3207" customWidth="1"/>
    <col min="7944" max="7944" width="9" style="3207" customWidth="1"/>
    <col min="7945" max="7945" width="27.75" style="3207" customWidth="1"/>
    <col min="7946" max="7947" width="6.375" style="3207" customWidth="1"/>
    <col min="7948" max="7948" width="9.625" style="3207" customWidth="1"/>
    <col min="7949" max="7949" width="6.25" style="3207" customWidth="1"/>
    <col min="7950" max="8192" width="9" style="3207"/>
    <col min="8193" max="8193" width="47.5" style="3207" customWidth="1"/>
    <col min="8194" max="8194" width="6.25" style="3207" customWidth="1"/>
    <col min="8195" max="8195" width="11.75" style="3207" customWidth="1"/>
    <col min="8196" max="8197" width="11.25" style="3207" customWidth="1"/>
    <col min="8198" max="8198" width="14.25" style="3207" customWidth="1"/>
    <col min="8199" max="8199" width="7.875" style="3207" customWidth="1"/>
    <col min="8200" max="8200" width="9" style="3207" customWidth="1"/>
    <col min="8201" max="8201" width="27.75" style="3207" customWidth="1"/>
    <col min="8202" max="8203" width="6.375" style="3207" customWidth="1"/>
    <col min="8204" max="8204" width="9.625" style="3207" customWidth="1"/>
    <col min="8205" max="8205" width="6.25" style="3207" customWidth="1"/>
    <col min="8206" max="8448" width="9" style="3207"/>
    <col min="8449" max="8449" width="47.5" style="3207" customWidth="1"/>
    <col min="8450" max="8450" width="6.25" style="3207" customWidth="1"/>
    <col min="8451" max="8451" width="11.75" style="3207" customWidth="1"/>
    <col min="8452" max="8453" width="11.25" style="3207" customWidth="1"/>
    <col min="8454" max="8454" width="14.25" style="3207" customWidth="1"/>
    <col min="8455" max="8455" width="7.875" style="3207" customWidth="1"/>
    <col min="8456" max="8456" width="9" style="3207" customWidth="1"/>
    <col min="8457" max="8457" width="27.75" style="3207" customWidth="1"/>
    <col min="8458" max="8459" width="6.375" style="3207" customWidth="1"/>
    <col min="8460" max="8460" width="9.625" style="3207" customWidth="1"/>
    <col min="8461" max="8461" width="6.25" style="3207" customWidth="1"/>
    <col min="8462" max="8704" width="9" style="3207"/>
    <col min="8705" max="8705" width="47.5" style="3207" customWidth="1"/>
    <col min="8706" max="8706" width="6.25" style="3207" customWidth="1"/>
    <col min="8707" max="8707" width="11.75" style="3207" customWidth="1"/>
    <col min="8708" max="8709" width="11.25" style="3207" customWidth="1"/>
    <col min="8710" max="8710" width="14.25" style="3207" customWidth="1"/>
    <col min="8711" max="8711" width="7.875" style="3207" customWidth="1"/>
    <col min="8712" max="8712" width="9" style="3207" customWidth="1"/>
    <col min="8713" max="8713" width="27.75" style="3207" customWidth="1"/>
    <col min="8714" max="8715" width="6.375" style="3207" customWidth="1"/>
    <col min="8716" max="8716" width="9.625" style="3207" customWidth="1"/>
    <col min="8717" max="8717" width="6.25" style="3207" customWidth="1"/>
    <col min="8718" max="8960" width="9" style="3207"/>
    <col min="8961" max="8961" width="47.5" style="3207" customWidth="1"/>
    <col min="8962" max="8962" width="6.25" style="3207" customWidth="1"/>
    <col min="8963" max="8963" width="11.75" style="3207" customWidth="1"/>
    <col min="8964" max="8965" width="11.25" style="3207" customWidth="1"/>
    <col min="8966" max="8966" width="14.25" style="3207" customWidth="1"/>
    <col min="8967" max="8967" width="7.875" style="3207" customWidth="1"/>
    <col min="8968" max="8968" width="9" style="3207" customWidth="1"/>
    <col min="8969" max="8969" width="27.75" style="3207" customWidth="1"/>
    <col min="8970" max="8971" width="6.375" style="3207" customWidth="1"/>
    <col min="8972" max="8972" width="9.625" style="3207" customWidth="1"/>
    <col min="8973" max="8973" width="6.25" style="3207" customWidth="1"/>
    <col min="8974" max="9216" width="9" style="3207"/>
    <col min="9217" max="9217" width="47.5" style="3207" customWidth="1"/>
    <col min="9218" max="9218" width="6.25" style="3207" customWidth="1"/>
    <col min="9219" max="9219" width="11.75" style="3207" customWidth="1"/>
    <col min="9220" max="9221" width="11.25" style="3207" customWidth="1"/>
    <col min="9222" max="9222" width="14.25" style="3207" customWidth="1"/>
    <col min="9223" max="9223" width="7.875" style="3207" customWidth="1"/>
    <col min="9224" max="9224" width="9" style="3207" customWidth="1"/>
    <col min="9225" max="9225" width="27.75" style="3207" customWidth="1"/>
    <col min="9226" max="9227" width="6.375" style="3207" customWidth="1"/>
    <col min="9228" max="9228" width="9.625" style="3207" customWidth="1"/>
    <col min="9229" max="9229" width="6.25" style="3207" customWidth="1"/>
    <col min="9230" max="9472" width="9" style="3207"/>
    <col min="9473" max="9473" width="47.5" style="3207" customWidth="1"/>
    <col min="9474" max="9474" width="6.25" style="3207" customWidth="1"/>
    <col min="9475" max="9475" width="11.75" style="3207" customWidth="1"/>
    <col min="9476" max="9477" width="11.25" style="3207" customWidth="1"/>
    <col min="9478" max="9478" width="14.25" style="3207" customWidth="1"/>
    <col min="9479" max="9479" width="7.875" style="3207" customWidth="1"/>
    <col min="9480" max="9480" width="9" style="3207" customWidth="1"/>
    <col min="9481" max="9481" width="27.75" style="3207" customWidth="1"/>
    <col min="9482" max="9483" width="6.375" style="3207" customWidth="1"/>
    <col min="9484" max="9484" width="9.625" style="3207" customWidth="1"/>
    <col min="9485" max="9485" width="6.25" style="3207" customWidth="1"/>
    <col min="9486" max="9728" width="9" style="3207"/>
    <col min="9729" max="9729" width="47.5" style="3207" customWidth="1"/>
    <col min="9730" max="9730" width="6.25" style="3207" customWidth="1"/>
    <col min="9731" max="9731" width="11.75" style="3207" customWidth="1"/>
    <col min="9732" max="9733" width="11.25" style="3207" customWidth="1"/>
    <col min="9734" max="9734" width="14.25" style="3207" customWidth="1"/>
    <col min="9735" max="9735" width="7.875" style="3207" customWidth="1"/>
    <col min="9736" max="9736" width="9" style="3207" customWidth="1"/>
    <col min="9737" max="9737" width="27.75" style="3207" customWidth="1"/>
    <col min="9738" max="9739" width="6.375" style="3207" customWidth="1"/>
    <col min="9740" max="9740" width="9.625" style="3207" customWidth="1"/>
    <col min="9741" max="9741" width="6.25" style="3207" customWidth="1"/>
    <col min="9742" max="9984" width="9" style="3207"/>
    <col min="9985" max="9985" width="47.5" style="3207" customWidth="1"/>
    <col min="9986" max="9986" width="6.25" style="3207" customWidth="1"/>
    <col min="9987" max="9987" width="11.75" style="3207" customWidth="1"/>
    <col min="9988" max="9989" width="11.25" style="3207" customWidth="1"/>
    <col min="9990" max="9990" width="14.25" style="3207" customWidth="1"/>
    <col min="9991" max="9991" width="7.875" style="3207" customWidth="1"/>
    <col min="9992" max="9992" width="9" style="3207" customWidth="1"/>
    <col min="9993" max="9993" width="27.75" style="3207" customWidth="1"/>
    <col min="9994" max="9995" width="6.375" style="3207" customWidth="1"/>
    <col min="9996" max="9996" width="9.625" style="3207" customWidth="1"/>
    <col min="9997" max="9997" width="6.25" style="3207" customWidth="1"/>
    <col min="9998" max="10240" width="9" style="3207"/>
    <col min="10241" max="10241" width="47.5" style="3207" customWidth="1"/>
    <col min="10242" max="10242" width="6.25" style="3207" customWidth="1"/>
    <col min="10243" max="10243" width="11.75" style="3207" customWidth="1"/>
    <col min="10244" max="10245" width="11.25" style="3207" customWidth="1"/>
    <col min="10246" max="10246" width="14.25" style="3207" customWidth="1"/>
    <col min="10247" max="10247" width="7.875" style="3207" customWidth="1"/>
    <col min="10248" max="10248" width="9" style="3207" customWidth="1"/>
    <col min="10249" max="10249" width="27.75" style="3207" customWidth="1"/>
    <col min="10250" max="10251" width="6.375" style="3207" customWidth="1"/>
    <col min="10252" max="10252" width="9.625" style="3207" customWidth="1"/>
    <col min="10253" max="10253" width="6.25" style="3207" customWidth="1"/>
    <col min="10254" max="10496" width="9" style="3207"/>
    <col min="10497" max="10497" width="47.5" style="3207" customWidth="1"/>
    <col min="10498" max="10498" width="6.25" style="3207" customWidth="1"/>
    <col min="10499" max="10499" width="11.75" style="3207" customWidth="1"/>
    <col min="10500" max="10501" width="11.25" style="3207" customWidth="1"/>
    <col min="10502" max="10502" width="14.25" style="3207" customWidth="1"/>
    <col min="10503" max="10503" width="7.875" style="3207" customWidth="1"/>
    <col min="10504" max="10504" width="9" style="3207" customWidth="1"/>
    <col min="10505" max="10505" width="27.75" style="3207" customWidth="1"/>
    <col min="10506" max="10507" width="6.375" style="3207" customWidth="1"/>
    <col min="10508" max="10508" width="9.625" style="3207" customWidth="1"/>
    <col min="10509" max="10509" width="6.25" style="3207" customWidth="1"/>
    <col min="10510" max="10752" width="9" style="3207"/>
    <col min="10753" max="10753" width="47.5" style="3207" customWidth="1"/>
    <col min="10754" max="10754" width="6.25" style="3207" customWidth="1"/>
    <col min="10755" max="10755" width="11.75" style="3207" customWidth="1"/>
    <col min="10756" max="10757" width="11.25" style="3207" customWidth="1"/>
    <col min="10758" max="10758" width="14.25" style="3207" customWidth="1"/>
    <col min="10759" max="10759" width="7.875" style="3207" customWidth="1"/>
    <col min="10760" max="10760" width="9" style="3207" customWidth="1"/>
    <col min="10761" max="10761" width="27.75" style="3207" customWidth="1"/>
    <col min="10762" max="10763" width="6.375" style="3207" customWidth="1"/>
    <col min="10764" max="10764" width="9.625" style="3207" customWidth="1"/>
    <col min="10765" max="10765" width="6.25" style="3207" customWidth="1"/>
    <col min="10766" max="11008" width="9" style="3207"/>
    <col min="11009" max="11009" width="47.5" style="3207" customWidth="1"/>
    <col min="11010" max="11010" width="6.25" style="3207" customWidth="1"/>
    <col min="11011" max="11011" width="11.75" style="3207" customWidth="1"/>
    <col min="11012" max="11013" width="11.25" style="3207" customWidth="1"/>
    <col min="11014" max="11014" width="14.25" style="3207" customWidth="1"/>
    <col min="11015" max="11015" width="7.875" style="3207" customWidth="1"/>
    <col min="11016" max="11016" width="9" style="3207" customWidth="1"/>
    <col min="11017" max="11017" width="27.75" style="3207" customWidth="1"/>
    <col min="11018" max="11019" width="6.375" style="3207" customWidth="1"/>
    <col min="11020" max="11020" width="9.625" style="3207" customWidth="1"/>
    <col min="11021" max="11021" width="6.25" style="3207" customWidth="1"/>
    <col min="11022" max="11264" width="9" style="3207"/>
    <col min="11265" max="11265" width="47.5" style="3207" customWidth="1"/>
    <col min="11266" max="11266" width="6.25" style="3207" customWidth="1"/>
    <col min="11267" max="11267" width="11.75" style="3207" customWidth="1"/>
    <col min="11268" max="11269" width="11.25" style="3207" customWidth="1"/>
    <col min="11270" max="11270" width="14.25" style="3207" customWidth="1"/>
    <col min="11271" max="11271" width="7.875" style="3207" customWidth="1"/>
    <col min="11272" max="11272" width="9" style="3207" customWidth="1"/>
    <col min="11273" max="11273" width="27.75" style="3207" customWidth="1"/>
    <col min="11274" max="11275" width="6.375" style="3207" customWidth="1"/>
    <col min="11276" max="11276" width="9.625" style="3207" customWidth="1"/>
    <col min="11277" max="11277" width="6.25" style="3207" customWidth="1"/>
    <col min="11278" max="11520" width="9" style="3207"/>
    <col min="11521" max="11521" width="47.5" style="3207" customWidth="1"/>
    <col min="11522" max="11522" width="6.25" style="3207" customWidth="1"/>
    <col min="11523" max="11523" width="11.75" style="3207" customWidth="1"/>
    <col min="11524" max="11525" width="11.25" style="3207" customWidth="1"/>
    <col min="11526" max="11526" width="14.25" style="3207" customWidth="1"/>
    <col min="11527" max="11527" width="7.875" style="3207" customWidth="1"/>
    <col min="11528" max="11528" width="9" style="3207" customWidth="1"/>
    <col min="11529" max="11529" width="27.75" style="3207" customWidth="1"/>
    <col min="11530" max="11531" width="6.375" style="3207" customWidth="1"/>
    <col min="11532" max="11532" width="9.625" style="3207" customWidth="1"/>
    <col min="11533" max="11533" width="6.25" style="3207" customWidth="1"/>
    <col min="11534" max="11776" width="9" style="3207"/>
    <col min="11777" max="11777" width="47.5" style="3207" customWidth="1"/>
    <col min="11778" max="11778" width="6.25" style="3207" customWidth="1"/>
    <col min="11779" max="11779" width="11.75" style="3207" customWidth="1"/>
    <col min="11780" max="11781" width="11.25" style="3207" customWidth="1"/>
    <col min="11782" max="11782" width="14.25" style="3207" customWidth="1"/>
    <col min="11783" max="11783" width="7.875" style="3207" customWidth="1"/>
    <col min="11784" max="11784" width="9" style="3207" customWidth="1"/>
    <col min="11785" max="11785" width="27.75" style="3207" customWidth="1"/>
    <col min="11786" max="11787" width="6.375" style="3207" customWidth="1"/>
    <col min="11788" max="11788" width="9.625" style="3207" customWidth="1"/>
    <col min="11789" max="11789" width="6.25" style="3207" customWidth="1"/>
    <col min="11790" max="12032" width="9" style="3207"/>
    <col min="12033" max="12033" width="47.5" style="3207" customWidth="1"/>
    <col min="12034" max="12034" width="6.25" style="3207" customWidth="1"/>
    <col min="12035" max="12035" width="11.75" style="3207" customWidth="1"/>
    <col min="12036" max="12037" width="11.25" style="3207" customWidth="1"/>
    <col min="12038" max="12038" width="14.25" style="3207" customWidth="1"/>
    <col min="12039" max="12039" width="7.875" style="3207" customWidth="1"/>
    <col min="12040" max="12040" width="9" style="3207" customWidth="1"/>
    <col min="12041" max="12041" width="27.75" style="3207" customWidth="1"/>
    <col min="12042" max="12043" width="6.375" style="3207" customWidth="1"/>
    <col min="12044" max="12044" width="9.625" style="3207" customWidth="1"/>
    <col min="12045" max="12045" width="6.25" style="3207" customWidth="1"/>
    <col min="12046" max="12288" width="9" style="3207"/>
    <col min="12289" max="12289" width="47.5" style="3207" customWidth="1"/>
    <col min="12290" max="12290" width="6.25" style="3207" customWidth="1"/>
    <col min="12291" max="12291" width="11.75" style="3207" customWidth="1"/>
    <col min="12292" max="12293" width="11.25" style="3207" customWidth="1"/>
    <col min="12294" max="12294" width="14.25" style="3207" customWidth="1"/>
    <col min="12295" max="12295" width="7.875" style="3207" customWidth="1"/>
    <col min="12296" max="12296" width="9" style="3207" customWidth="1"/>
    <col min="12297" max="12297" width="27.75" style="3207" customWidth="1"/>
    <col min="12298" max="12299" width="6.375" style="3207" customWidth="1"/>
    <col min="12300" max="12300" width="9.625" style="3207" customWidth="1"/>
    <col min="12301" max="12301" width="6.25" style="3207" customWidth="1"/>
    <col min="12302" max="12544" width="9" style="3207"/>
    <col min="12545" max="12545" width="47.5" style="3207" customWidth="1"/>
    <col min="12546" max="12546" width="6.25" style="3207" customWidth="1"/>
    <col min="12547" max="12547" width="11.75" style="3207" customWidth="1"/>
    <col min="12548" max="12549" width="11.25" style="3207" customWidth="1"/>
    <col min="12550" max="12550" width="14.25" style="3207" customWidth="1"/>
    <col min="12551" max="12551" width="7.875" style="3207" customWidth="1"/>
    <col min="12552" max="12552" width="9" style="3207" customWidth="1"/>
    <col min="12553" max="12553" width="27.75" style="3207" customWidth="1"/>
    <col min="12554" max="12555" width="6.375" style="3207" customWidth="1"/>
    <col min="12556" max="12556" width="9.625" style="3207" customWidth="1"/>
    <col min="12557" max="12557" width="6.25" style="3207" customWidth="1"/>
    <col min="12558" max="12800" width="9" style="3207"/>
    <col min="12801" max="12801" width="47.5" style="3207" customWidth="1"/>
    <col min="12802" max="12802" width="6.25" style="3207" customWidth="1"/>
    <col min="12803" max="12803" width="11.75" style="3207" customWidth="1"/>
    <col min="12804" max="12805" width="11.25" style="3207" customWidth="1"/>
    <col min="12806" max="12806" width="14.25" style="3207" customWidth="1"/>
    <col min="12807" max="12807" width="7.875" style="3207" customWidth="1"/>
    <col min="12808" max="12808" width="9" style="3207" customWidth="1"/>
    <col min="12809" max="12809" width="27.75" style="3207" customWidth="1"/>
    <col min="12810" max="12811" width="6.375" style="3207" customWidth="1"/>
    <col min="12812" max="12812" width="9.625" style="3207" customWidth="1"/>
    <col min="12813" max="12813" width="6.25" style="3207" customWidth="1"/>
    <col min="12814" max="13056" width="9" style="3207"/>
    <col min="13057" max="13057" width="47.5" style="3207" customWidth="1"/>
    <col min="13058" max="13058" width="6.25" style="3207" customWidth="1"/>
    <col min="13059" max="13059" width="11.75" style="3207" customWidth="1"/>
    <col min="13060" max="13061" width="11.25" style="3207" customWidth="1"/>
    <col min="13062" max="13062" width="14.25" style="3207" customWidth="1"/>
    <col min="13063" max="13063" width="7.875" style="3207" customWidth="1"/>
    <col min="13064" max="13064" width="9" style="3207" customWidth="1"/>
    <col min="13065" max="13065" width="27.75" style="3207" customWidth="1"/>
    <col min="13066" max="13067" width="6.375" style="3207" customWidth="1"/>
    <col min="13068" max="13068" width="9.625" style="3207" customWidth="1"/>
    <col min="13069" max="13069" width="6.25" style="3207" customWidth="1"/>
    <col min="13070" max="13312" width="9" style="3207"/>
    <col min="13313" max="13313" width="47.5" style="3207" customWidth="1"/>
    <col min="13314" max="13314" width="6.25" style="3207" customWidth="1"/>
    <col min="13315" max="13315" width="11.75" style="3207" customWidth="1"/>
    <col min="13316" max="13317" width="11.25" style="3207" customWidth="1"/>
    <col min="13318" max="13318" width="14.25" style="3207" customWidth="1"/>
    <col min="13319" max="13319" width="7.875" style="3207" customWidth="1"/>
    <col min="13320" max="13320" width="9" style="3207" customWidth="1"/>
    <col min="13321" max="13321" width="27.75" style="3207" customWidth="1"/>
    <col min="13322" max="13323" width="6.375" style="3207" customWidth="1"/>
    <col min="13324" max="13324" width="9.625" style="3207" customWidth="1"/>
    <col min="13325" max="13325" width="6.25" style="3207" customWidth="1"/>
    <col min="13326" max="13568" width="9" style="3207"/>
    <col min="13569" max="13569" width="47.5" style="3207" customWidth="1"/>
    <col min="13570" max="13570" width="6.25" style="3207" customWidth="1"/>
    <col min="13571" max="13571" width="11.75" style="3207" customWidth="1"/>
    <col min="13572" max="13573" width="11.25" style="3207" customWidth="1"/>
    <col min="13574" max="13574" width="14.25" style="3207" customWidth="1"/>
    <col min="13575" max="13575" width="7.875" style="3207" customWidth="1"/>
    <col min="13576" max="13576" width="9" style="3207" customWidth="1"/>
    <col min="13577" max="13577" width="27.75" style="3207" customWidth="1"/>
    <col min="13578" max="13579" width="6.375" style="3207" customWidth="1"/>
    <col min="13580" max="13580" width="9.625" style="3207" customWidth="1"/>
    <col min="13581" max="13581" width="6.25" style="3207" customWidth="1"/>
    <col min="13582" max="13824" width="9" style="3207"/>
    <col min="13825" max="13825" width="47.5" style="3207" customWidth="1"/>
    <col min="13826" max="13826" width="6.25" style="3207" customWidth="1"/>
    <col min="13827" max="13827" width="11.75" style="3207" customWidth="1"/>
    <col min="13828" max="13829" width="11.25" style="3207" customWidth="1"/>
    <col min="13830" max="13830" width="14.25" style="3207" customWidth="1"/>
    <col min="13831" max="13831" width="7.875" style="3207" customWidth="1"/>
    <col min="13832" max="13832" width="9" style="3207" customWidth="1"/>
    <col min="13833" max="13833" width="27.75" style="3207" customWidth="1"/>
    <col min="13834" max="13835" width="6.375" style="3207" customWidth="1"/>
    <col min="13836" max="13836" width="9.625" style="3207" customWidth="1"/>
    <col min="13837" max="13837" width="6.25" style="3207" customWidth="1"/>
    <col min="13838" max="14080" width="9" style="3207"/>
    <col min="14081" max="14081" width="47.5" style="3207" customWidth="1"/>
    <col min="14082" max="14082" width="6.25" style="3207" customWidth="1"/>
    <col min="14083" max="14083" width="11.75" style="3207" customWidth="1"/>
    <col min="14084" max="14085" width="11.25" style="3207" customWidth="1"/>
    <col min="14086" max="14086" width="14.25" style="3207" customWidth="1"/>
    <col min="14087" max="14087" width="7.875" style="3207" customWidth="1"/>
    <col min="14088" max="14088" width="9" style="3207" customWidth="1"/>
    <col min="14089" max="14089" width="27.75" style="3207" customWidth="1"/>
    <col min="14090" max="14091" width="6.375" style="3207" customWidth="1"/>
    <col min="14092" max="14092" width="9.625" style="3207" customWidth="1"/>
    <col min="14093" max="14093" width="6.25" style="3207" customWidth="1"/>
    <col min="14094" max="14336" width="9" style="3207"/>
    <col min="14337" max="14337" width="47.5" style="3207" customWidth="1"/>
    <col min="14338" max="14338" width="6.25" style="3207" customWidth="1"/>
    <col min="14339" max="14339" width="11.75" style="3207" customWidth="1"/>
    <col min="14340" max="14341" width="11.25" style="3207" customWidth="1"/>
    <col min="14342" max="14342" width="14.25" style="3207" customWidth="1"/>
    <col min="14343" max="14343" width="7.875" style="3207" customWidth="1"/>
    <col min="14344" max="14344" width="9" style="3207" customWidth="1"/>
    <col min="14345" max="14345" width="27.75" style="3207" customWidth="1"/>
    <col min="14346" max="14347" width="6.375" style="3207" customWidth="1"/>
    <col min="14348" max="14348" width="9.625" style="3207" customWidth="1"/>
    <col min="14349" max="14349" width="6.25" style="3207" customWidth="1"/>
    <col min="14350" max="14592" width="9" style="3207"/>
    <col min="14593" max="14593" width="47.5" style="3207" customWidth="1"/>
    <col min="14594" max="14594" width="6.25" style="3207" customWidth="1"/>
    <col min="14595" max="14595" width="11.75" style="3207" customWidth="1"/>
    <col min="14596" max="14597" width="11.25" style="3207" customWidth="1"/>
    <col min="14598" max="14598" width="14.25" style="3207" customWidth="1"/>
    <col min="14599" max="14599" width="7.875" style="3207" customWidth="1"/>
    <col min="14600" max="14600" width="9" style="3207" customWidth="1"/>
    <col min="14601" max="14601" width="27.75" style="3207" customWidth="1"/>
    <col min="14602" max="14603" width="6.375" style="3207" customWidth="1"/>
    <col min="14604" max="14604" width="9.625" style="3207" customWidth="1"/>
    <col min="14605" max="14605" width="6.25" style="3207" customWidth="1"/>
    <col min="14606" max="14848" width="9" style="3207"/>
    <col min="14849" max="14849" width="47.5" style="3207" customWidth="1"/>
    <col min="14850" max="14850" width="6.25" style="3207" customWidth="1"/>
    <col min="14851" max="14851" width="11.75" style="3207" customWidth="1"/>
    <col min="14852" max="14853" width="11.25" style="3207" customWidth="1"/>
    <col min="14854" max="14854" width="14.25" style="3207" customWidth="1"/>
    <col min="14855" max="14855" width="7.875" style="3207" customWidth="1"/>
    <col min="14856" max="14856" width="9" style="3207" customWidth="1"/>
    <col min="14857" max="14857" width="27.75" style="3207" customWidth="1"/>
    <col min="14858" max="14859" width="6.375" style="3207" customWidth="1"/>
    <col min="14860" max="14860" width="9.625" style="3207" customWidth="1"/>
    <col min="14861" max="14861" width="6.25" style="3207" customWidth="1"/>
    <col min="14862" max="15104" width="9" style="3207"/>
    <col min="15105" max="15105" width="47.5" style="3207" customWidth="1"/>
    <col min="15106" max="15106" width="6.25" style="3207" customWidth="1"/>
    <col min="15107" max="15107" width="11.75" style="3207" customWidth="1"/>
    <col min="15108" max="15109" width="11.25" style="3207" customWidth="1"/>
    <col min="15110" max="15110" width="14.25" style="3207" customWidth="1"/>
    <col min="15111" max="15111" width="7.875" style="3207" customWidth="1"/>
    <col min="15112" max="15112" width="9" style="3207" customWidth="1"/>
    <col min="15113" max="15113" width="27.75" style="3207" customWidth="1"/>
    <col min="15114" max="15115" width="6.375" style="3207" customWidth="1"/>
    <col min="15116" max="15116" width="9.625" style="3207" customWidth="1"/>
    <col min="15117" max="15117" width="6.25" style="3207" customWidth="1"/>
    <col min="15118" max="15360" width="9" style="3207"/>
    <col min="15361" max="15361" width="47.5" style="3207" customWidth="1"/>
    <col min="15362" max="15362" width="6.25" style="3207" customWidth="1"/>
    <col min="15363" max="15363" width="11.75" style="3207" customWidth="1"/>
    <col min="15364" max="15365" width="11.25" style="3207" customWidth="1"/>
    <col min="15366" max="15366" width="14.25" style="3207" customWidth="1"/>
    <col min="15367" max="15367" width="7.875" style="3207" customWidth="1"/>
    <col min="15368" max="15368" width="9" style="3207" customWidth="1"/>
    <col min="15369" max="15369" width="27.75" style="3207" customWidth="1"/>
    <col min="15370" max="15371" width="6.375" style="3207" customWidth="1"/>
    <col min="15372" max="15372" width="9.625" style="3207" customWidth="1"/>
    <col min="15373" max="15373" width="6.25" style="3207" customWidth="1"/>
    <col min="15374" max="15616" width="9" style="3207"/>
    <col min="15617" max="15617" width="47.5" style="3207" customWidth="1"/>
    <col min="15618" max="15618" width="6.25" style="3207" customWidth="1"/>
    <col min="15619" max="15619" width="11.75" style="3207" customWidth="1"/>
    <col min="15620" max="15621" width="11.25" style="3207" customWidth="1"/>
    <col min="15622" max="15622" width="14.25" style="3207" customWidth="1"/>
    <col min="15623" max="15623" width="7.875" style="3207" customWidth="1"/>
    <col min="15624" max="15624" width="9" style="3207" customWidth="1"/>
    <col min="15625" max="15625" width="27.75" style="3207" customWidth="1"/>
    <col min="15626" max="15627" width="6.375" style="3207" customWidth="1"/>
    <col min="15628" max="15628" width="9.625" style="3207" customWidth="1"/>
    <col min="15629" max="15629" width="6.25" style="3207" customWidth="1"/>
    <col min="15630" max="15872" width="9" style="3207"/>
    <col min="15873" max="15873" width="47.5" style="3207" customWidth="1"/>
    <col min="15874" max="15874" width="6.25" style="3207" customWidth="1"/>
    <col min="15875" max="15875" width="11.75" style="3207" customWidth="1"/>
    <col min="15876" max="15877" width="11.25" style="3207" customWidth="1"/>
    <col min="15878" max="15878" width="14.25" style="3207" customWidth="1"/>
    <col min="15879" max="15879" width="7.875" style="3207" customWidth="1"/>
    <col min="15880" max="15880" width="9" style="3207" customWidth="1"/>
    <col min="15881" max="15881" width="27.75" style="3207" customWidth="1"/>
    <col min="15882" max="15883" width="6.375" style="3207" customWidth="1"/>
    <col min="15884" max="15884" width="9.625" style="3207" customWidth="1"/>
    <col min="15885" max="15885" width="6.25" style="3207" customWidth="1"/>
    <col min="15886" max="16128" width="9" style="3207"/>
    <col min="16129" max="16129" width="47.5" style="3207" customWidth="1"/>
    <col min="16130" max="16130" width="6.25" style="3207" customWidth="1"/>
    <col min="16131" max="16131" width="11.75" style="3207" customWidth="1"/>
    <col min="16132" max="16133" width="11.25" style="3207" customWidth="1"/>
    <col min="16134" max="16134" width="14.25" style="3207" customWidth="1"/>
    <col min="16135" max="16135" width="7.875" style="3207" customWidth="1"/>
    <col min="16136" max="16136" width="9" style="3207" customWidth="1"/>
    <col min="16137" max="16137" width="27.75" style="3207" customWidth="1"/>
    <col min="16138" max="16139" width="6.375" style="3207" customWidth="1"/>
    <col min="16140" max="16140" width="9.625" style="3207" customWidth="1"/>
    <col min="16141" max="16141" width="6.25" style="3207" customWidth="1"/>
    <col min="16142" max="16384" width="9" style="3207"/>
  </cols>
  <sheetData>
    <row r="1" spans="1:13">
      <c r="A1" s="3207" t="s">
        <v>3147</v>
      </c>
      <c r="B1" s="3207" t="s">
        <v>3148</v>
      </c>
      <c r="C1" s="3207" t="s">
        <v>3149</v>
      </c>
      <c r="D1" s="3207" t="s">
        <v>3150</v>
      </c>
      <c r="E1" s="3207" t="s">
        <v>3151</v>
      </c>
      <c r="F1" s="3207" t="s">
        <v>3152</v>
      </c>
      <c r="G1" s="3207" t="s">
        <v>3153</v>
      </c>
      <c r="H1" s="3207" t="s">
        <v>3154</v>
      </c>
      <c r="I1" s="3207" t="s">
        <v>3155</v>
      </c>
      <c r="J1" s="3207" t="s">
        <v>3156</v>
      </c>
      <c r="K1" s="3207" t="s">
        <v>3157</v>
      </c>
      <c r="L1" s="3207" t="s">
        <v>3158</v>
      </c>
      <c r="M1" s="3207" t="s">
        <v>3159</v>
      </c>
    </row>
    <row r="2" spans="1:13">
      <c r="A2" s="3207" t="s">
        <v>3160</v>
      </c>
      <c r="B2" s="3207" t="s">
        <v>3129</v>
      </c>
      <c r="C2" s="3207" t="s">
        <v>3161</v>
      </c>
      <c r="D2" s="3207">
        <v>12066.9</v>
      </c>
      <c r="E2" s="3207">
        <v>18100.349999999999</v>
      </c>
      <c r="F2" s="3207">
        <v>1.5</v>
      </c>
      <c r="G2" s="3207" t="s">
        <v>3162</v>
      </c>
      <c r="H2" s="3207" t="s">
        <v>3163</v>
      </c>
      <c r="I2" s="3207" t="s">
        <v>3164</v>
      </c>
      <c r="J2" s="3207">
        <v>9400</v>
      </c>
      <c r="K2" s="3207">
        <v>9400</v>
      </c>
      <c r="L2" s="3207">
        <v>5193.2700000000004</v>
      </c>
      <c r="M2" s="3207">
        <v>0</v>
      </c>
    </row>
    <row r="3" spans="1:13">
      <c r="A3" s="3207" t="s">
        <v>3165</v>
      </c>
      <c r="B3" s="3207" t="s">
        <v>3129</v>
      </c>
      <c r="C3" s="3207" t="s">
        <v>3161</v>
      </c>
      <c r="D3" s="3207">
        <v>15178.6</v>
      </c>
      <c r="E3" s="3207">
        <v>45535.8</v>
      </c>
      <c r="F3" s="3207">
        <v>3</v>
      </c>
      <c r="G3" s="3207" t="s">
        <v>3162</v>
      </c>
      <c r="H3" s="3207" t="s">
        <v>3166</v>
      </c>
      <c r="I3" s="3207" t="s">
        <v>3167</v>
      </c>
      <c r="J3" s="3207">
        <v>58400</v>
      </c>
      <c r="K3" s="3207">
        <v>58400</v>
      </c>
      <c r="L3" s="3207">
        <v>12825.07</v>
      </c>
      <c r="M3" s="3207">
        <v>0</v>
      </c>
    </row>
    <row r="4" spans="1:13" s="3209" customFormat="1">
      <c r="A4" s="3209" t="s">
        <v>3168</v>
      </c>
      <c r="B4" s="3209" t="s">
        <v>3129</v>
      </c>
      <c r="C4" s="3209" t="s">
        <v>3161</v>
      </c>
      <c r="D4" s="3209">
        <v>15197.52</v>
      </c>
      <c r="E4" s="3209">
        <v>30395.05</v>
      </c>
      <c r="F4" s="3209">
        <v>2</v>
      </c>
      <c r="G4" s="3209" t="s">
        <v>3162</v>
      </c>
      <c r="H4" s="3209" t="s">
        <v>3169</v>
      </c>
      <c r="I4" s="3209" t="s">
        <v>3170</v>
      </c>
      <c r="J4" s="3209">
        <v>42600</v>
      </c>
      <c r="K4" s="3209">
        <v>42600</v>
      </c>
      <c r="L4" s="3209">
        <v>14015.44</v>
      </c>
      <c r="M4" s="3209">
        <v>0</v>
      </c>
    </row>
    <row r="5" spans="1:13">
      <c r="A5" s="3207" t="s">
        <v>3171</v>
      </c>
      <c r="B5" s="3207" t="s">
        <v>3129</v>
      </c>
      <c r="C5" s="3207" t="s">
        <v>3161</v>
      </c>
      <c r="D5" s="3207">
        <v>265269.8</v>
      </c>
      <c r="E5" s="3207">
        <v>665975.69999999995</v>
      </c>
      <c r="F5" s="3207" t="s">
        <v>3172</v>
      </c>
      <c r="G5" s="3207" t="s">
        <v>3162</v>
      </c>
      <c r="H5" s="3207" t="s">
        <v>3173</v>
      </c>
      <c r="I5" s="3207" t="s">
        <v>3174</v>
      </c>
      <c r="J5" s="3207">
        <v>699300</v>
      </c>
      <c r="K5" s="3207">
        <v>699300</v>
      </c>
      <c r="L5" s="3207">
        <v>10500.38</v>
      </c>
      <c r="M5" s="3207">
        <v>0</v>
      </c>
    </row>
    <row r="6" spans="1:13" s="3209" customFormat="1">
      <c r="A6" s="3209" t="s">
        <v>3175</v>
      </c>
      <c r="B6" s="3209" t="s">
        <v>3129</v>
      </c>
      <c r="C6" s="3209" t="s">
        <v>3161</v>
      </c>
      <c r="D6" s="3209">
        <v>42276.47</v>
      </c>
      <c r="E6" s="3209">
        <v>84552.93</v>
      </c>
      <c r="F6" s="3209" t="s">
        <v>3176</v>
      </c>
      <c r="G6" s="3209" t="s">
        <v>3162</v>
      </c>
      <c r="H6" s="3209" t="s">
        <v>3177</v>
      </c>
      <c r="I6" s="3209" t="s">
        <v>3178</v>
      </c>
      <c r="J6" s="3209">
        <v>95000</v>
      </c>
      <c r="K6" s="3209">
        <v>96500</v>
      </c>
      <c r="L6" s="3209">
        <v>11412.97</v>
      </c>
      <c r="M6" s="3209">
        <v>1.58</v>
      </c>
    </row>
    <row r="7" spans="1:13" s="3209" customFormat="1">
      <c r="A7" s="3209" t="s">
        <v>3179</v>
      </c>
      <c r="B7" s="3209" t="s">
        <v>3129</v>
      </c>
      <c r="C7" s="3209" t="s">
        <v>3161</v>
      </c>
      <c r="D7" s="3209">
        <v>51736.9</v>
      </c>
      <c r="E7" s="3209">
        <v>81600.05</v>
      </c>
      <c r="F7" s="3209" t="s">
        <v>3180</v>
      </c>
      <c r="G7" s="3209" t="s">
        <v>3162</v>
      </c>
      <c r="H7" s="3209" t="s">
        <v>3181</v>
      </c>
      <c r="I7" s="3209" t="s">
        <v>3182</v>
      </c>
      <c r="J7" s="3209">
        <v>150000</v>
      </c>
      <c r="K7" s="3209">
        <v>150000</v>
      </c>
      <c r="L7" s="3209">
        <v>18382.34</v>
      </c>
      <c r="M7" s="3209">
        <v>0</v>
      </c>
    </row>
    <row r="9" spans="1:13">
      <c r="G9" s="3207">
        <f>E7/D7</f>
        <v>1.5772118159379476</v>
      </c>
    </row>
  </sheetData>
  <phoneticPr fontId="140" type="noConversion"/>
  <pageMargins left="0.75" right="0.75" top="1" bottom="1" header="0.5" footer="0.5"/>
  <pageSetup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2555</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3" t="s">
        <v>2407</v>
      </c>
      <c r="D4" s="3454"/>
      <c r="E4" s="3455" t="s">
        <v>2408</v>
      </c>
      <c r="F4" s="3456"/>
      <c r="G4" s="3453" t="s">
        <v>2409</v>
      </c>
      <c r="H4" s="3454"/>
      <c r="I4" s="3453" t="s">
        <v>2410</v>
      </c>
      <c r="J4" s="3454"/>
      <c r="K4" s="567" t="s">
        <v>2411</v>
      </c>
      <c r="L4" s="2913"/>
      <c r="M4" s="2914"/>
      <c r="N4" s="2914"/>
      <c r="O4" s="2914"/>
      <c r="P4" s="3457" t="s">
        <v>2412</v>
      </c>
      <c r="Q4" s="3458"/>
      <c r="R4" s="3463" t="s">
        <v>2408</v>
      </c>
      <c r="S4" s="3464"/>
      <c r="T4" s="3463" t="s">
        <v>2409</v>
      </c>
      <c r="U4" s="3464"/>
      <c r="V4" s="3469" t="s">
        <v>2410</v>
      </c>
      <c r="W4" s="3469"/>
      <c r="X4" s="1508"/>
      <c r="Y4" s="3463" t="s">
        <v>2412</v>
      </c>
      <c r="Z4" s="3464"/>
      <c r="AA4" s="3450" t="s">
        <v>2408</v>
      </c>
      <c r="AB4" s="3451" t="s">
        <v>2409</v>
      </c>
      <c r="AC4" s="3450" t="s">
        <v>2410</v>
      </c>
    </row>
    <row r="5" spans="1:29" ht="15">
      <c r="A5" s="364"/>
      <c r="B5" s="365"/>
      <c r="C5" s="3472" t="s">
        <v>2303</v>
      </c>
      <c r="D5" s="3473"/>
      <c r="E5" s="3479" t="s">
        <v>2304</v>
      </c>
      <c r="F5" s="3480"/>
      <c r="G5" s="3472" t="s">
        <v>2305</v>
      </c>
      <c r="H5" s="3473"/>
      <c r="I5" s="3472" t="s">
        <v>2306</v>
      </c>
      <c r="J5" s="3473"/>
      <c r="K5" s="567"/>
      <c r="L5" s="2913"/>
      <c r="M5" s="2914"/>
      <c r="N5" s="2914"/>
      <c r="O5" s="2914"/>
      <c r="P5" s="3459"/>
      <c r="Q5" s="3460"/>
      <c r="R5" s="3465"/>
      <c r="S5" s="3466"/>
      <c r="T5" s="3465"/>
      <c r="U5" s="3466"/>
      <c r="V5" s="3469"/>
      <c r="W5" s="3469"/>
      <c r="X5" s="1508"/>
      <c r="Y5" s="3465"/>
      <c r="Z5" s="3466"/>
      <c r="AA5" s="3451"/>
      <c r="AB5" s="3451"/>
      <c r="AC5" s="3451"/>
    </row>
    <row r="6" spans="1:29" ht="15.75" thickBot="1">
      <c r="A6" s="366"/>
      <c r="B6" s="367"/>
      <c r="C6" s="3502" t="s">
        <v>2556</v>
      </c>
      <c r="D6" s="3503"/>
      <c r="E6" s="3504" t="s">
        <v>2556</v>
      </c>
      <c r="F6" s="3505"/>
      <c r="G6" s="3502" t="s">
        <v>2556</v>
      </c>
      <c r="H6" s="3503"/>
      <c r="I6" s="3502" t="s">
        <v>2556</v>
      </c>
      <c r="J6" s="3503"/>
      <c r="K6" s="567" t="s">
        <v>2308</v>
      </c>
      <c r="L6" s="2913"/>
      <c r="M6" s="2914"/>
      <c r="N6" s="2914"/>
      <c r="O6" s="2914"/>
      <c r="P6" s="3461"/>
      <c r="Q6" s="3462"/>
      <c r="R6" s="3465"/>
      <c r="S6" s="3466"/>
      <c r="T6" s="3467"/>
      <c r="U6" s="3468"/>
      <c r="V6" s="3469"/>
      <c r="W6" s="3469"/>
      <c r="X6" s="1508"/>
      <c r="Y6" s="3467"/>
      <c r="Z6" s="3468"/>
      <c r="AA6" s="3452"/>
      <c r="AB6" s="3452"/>
      <c r="AC6" s="3452"/>
    </row>
    <row r="7" spans="1:29" s="113" customFormat="1" ht="15.75" thickBot="1">
      <c r="A7" s="368" t="s">
        <v>2309</v>
      </c>
      <c r="B7" s="369"/>
      <c r="C7" s="370">
        <f>'数据-取费表'!B2</f>
        <v>44662</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74" t="s">
        <v>2310</v>
      </c>
      <c r="Q7" s="3476"/>
      <c r="R7" s="710" t="s">
        <v>17</v>
      </c>
      <c r="S7" s="711">
        <f t="shared" ref="S7:S15" si="0">F7</f>
        <v>0</v>
      </c>
      <c r="T7" s="710" t="s">
        <v>17</v>
      </c>
      <c r="U7" s="711">
        <f t="shared" ref="U7:U15" si="1">H7</f>
        <v>0</v>
      </c>
      <c r="V7" s="710" t="s">
        <v>17</v>
      </c>
      <c r="W7" s="711">
        <f t="shared" ref="W7:W15" si="2">J7</f>
        <v>0</v>
      </c>
      <c r="X7" s="712"/>
      <c r="Y7" s="3474" t="s">
        <v>2310</v>
      </c>
      <c r="Z7" s="3475"/>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74" t="s">
        <v>2313</v>
      </c>
      <c r="Q8" s="3475"/>
      <c r="R8" s="710" t="s">
        <v>17</v>
      </c>
      <c r="S8" s="711">
        <f t="shared" si="0"/>
        <v>0</v>
      </c>
      <c r="T8" s="710" t="s">
        <v>17</v>
      </c>
      <c r="U8" s="711">
        <f t="shared" si="1"/>
        <v>0</v>
      </c>
      <c r="V8" s="710" t="s">
        <v>17</v>
      </c>
      <c r="W8" s="711">
        <f t="shared" si="2"/>
        <v>0</v>
      </c>
      <c r="X8" s="712"/>
      <c r="Y8" s="3474" t="s">
        <v>2313</v>
      </c>
      <c r="Z8" s="3475"/>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38" t="s">
        <v>2316</v>
      </c>
      <c r="Q9" s="1496"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112</v>
      </c>
      <c r="G10" s="391"/>
      <c r="H10" s="132">
        <f>ROUND(100/'数据-取费表'!G16,0)</f>
        <v>112</v>
      </c>
      <c r="I10" s="391"/>
      <c r="J10" s="132">
        <f>ROUND(100/'数据-取费表'!G16,0)</f>
        <v>112</v>
      </c>
      <c r="K10" s="628"/>
      <c r="L10" s="2917"/>
      <c r="M10" s="2918"/>
      <c r="N10" s="2918"/>
      <c r="O10" s="2971"/>
      <c r="P10" s="3438"/>
      <c r="Q10" s="1496" t="str">
        <f t="shared" si="6"/>
        <v>土地使用年限（年）</v>
      </c>
      <c r="R10" s="710" t="s">
        <v>17</v>
      </c>
      <c r="S10" s="711">
        <f t="shared" si="0"/>
        <v>112</v>
      </c>
      <c r="T10" s="710" t="s">
        <v>17</v>
      </c>
      <c r="U10" s="711">
        <f t="shared" si="1"/>
        <v>112</v>
      </c>
      <c r="V10" s="710" t="s">
        <v>17</v>
      </c>
      <c r="W10" s="711">
        <f t="shared" si="2"/>
        <v>112</v>
      </c>
      <c r="X10" s="712"/>
      <c r="Y10" s="3310"/>
      <c r="Z10" s="55" t="str">
        <f t="shared" si="7"/>
        <v>土地使用年限（年）</v>
      </c>
      <c r="AA10" s="713">
        <f t="shared" si="3"/>
        <v>0.8928571428571429</v>
      </c>
      <c r="AB10" s="713">
        <f t="shared" si="4"/>
        <v>0.8928571428571429</v>
      </c>
      <c r="AC10" s="713">
        <f t="shared" si="5"/>
        <v>0.8928571428571429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38"/>
      <c r="Q11" s="1496"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38"/>
      <c r="Q12" s="1496">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38"/>
      <c r="Q13" s="1496">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38"/>
      <c r="Q14" s="1496">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57">
      <c r="A15" s="399" t="s">
        <v>2320</v>
      </c>
      <c r="B15" s="585" t="s">
        <v>2557</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40" t="s">
        <v>2321</v>
      </c>
      <c r="Q15" s="1505" t="str">
        <f t="shared" si="6"/>
        <v>产业集聚程度</v>
      </c>
      <c r="R15" s="714" t="s">
        <v>17</v>
      </c>
      <c r="S15" s="715">
        <f t="shared" si="0"/>
        <v>100</v>
      </c>
      <c r="T15" s="714" t="s">
        <v>17</v>
      </c>
      <c r="U15" s="715">
        <f t="shared" si="1"/>
        <v>100</v>
      </c>
      <c r="V15" s="714" t="s">
        <v>17</v>
      </c>
      <c r="W15" s="715">
        <f t="shared" si="2"/>
        <v>100</v>
      </c>
      <c r="X15" s="1508"/>
      <c r="Y15" s="3440"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441"/>
      <c r="Q16" s="1505"/>
      <c r="R16" s="714"/>
      <c r="S16" s="715"/>
      <c r="T16" s="714"/>
      <c r="U16" s="715"/>
      <c r="V16" s="714"/>
      <c r="W16" s="715"/>
      <c r="X16" s="1508"/>
      <c r="Y16" s="3441"/>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41"/>
      <c r="Q17" s="1505" t="str">
        <f>B17</f>
        <v>交通便捷度</v>
      </c>
      <c r="R17" s="714" t="s">
        <v>17</v>
      </c>
      <c r="S17" s="715">
        <f>F17</f>
        <v>100</v>
      </c>
      <c r="T17" s="714" t="s">
        <v>17</v>
      </c>
      <c r="U17" s="715">
        <f>H17</f>
        <v>100</v>
      </c>
      <c r="V17" s="714" t="s">
        <v>17</v>
      </c>
      <c r="W17" s="715">
        <f>J17</f>
        <v>100</v>
      </c>
      <c r="X17" s="1508"/>
      <c r="Y17" s="3441"/>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441"/>
      <c r="Q18" s="1505"/>
      <c r="R18" s="714"/>
      <c r="S18" s="715"/>
      <c r="T18" s="714"/>
      <c r="U18" s="715"/>
      <c r="V18" s="714"/>
      <c r="W18" s="715"/>
      <c r="X18" s="1508"/>
      <c r="Y18" s="3441"/>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41"/>
      <c r="Q19" s="1505" t="str">
        <f t="shared" ref="Q19:Q33" si="8">B19</f>
        <v>区域土地利用方向</v>
      </c>
      <c r="R19" s="714" t="s">
        <v>17</v>
      </c>
      <c r="S19" s="715">
        <f>F19</f>
        <v>100</v>
      </c>
      <c r="T19" s="714" t="s">
        <v>17</v>
      </c>
      <c r="U19" s="715">
        <f>H19</f>
        <v>100</v>
      </c>
      <c r="V19" s="714" t="s">
        <v>17</v>
      </c>
      <c r="W19" s="715">
        <f>J19</f>
        <v>100</v>
      </c>
      <c r="X19" s="1508"/>
      <c r="Y19" s="3441"/>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41"/>
      <c r="Q20" s="1505"/>
      <c r="R20" s="714"/>
      <c r="S20" s="715"/>
      <c r="T20" s="714"/>
      <c r="U20" s="715"/>
      <c r="V20" s="714"/>
      <c r="W20" s="715"/>
      <c r="X20" s="1508"/>
      <c r="Y20" s="3441"/>
      <c r="Z20" s="1509"/>
      <c r="AA20" s="1506"/>
      <c r="AB20" s="1506"/>
      <c r="AC20" s="1506"/>
    </row>
    <row r="21" spans="1:29" ht="71.25">
      <c r="A21" s="364"/>
      <c r="B21" s="587" t="s">
        <v>2558</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41"/>
      <c r="Q21" s="1505" t="str">
        <f t="shared" si="8"/>
        <v>环境状况</v>
      </c>
      <c r="R21" s="714" t="s">
        <v>17</v>
      </c>
      <c r="S21" s="715">
        <f>F21</f>
        <v>100</v>
      </c>
      <c r="T21" s="714" t="s">
        <v>17</v>
      </c>
      <c r="U21" s="715">
        <f>H21</f>
        <v>100</v>
      </c>
      <c r="V21" s="714" t="s">
        <v>17</v>
      </c>
      <c r="W21" s="715">
        <f>J21</f>
        <v>100</v>
      </c>
      <c r="X21" s="1508"/>
      <c r="Y21" s="3441"/>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441"/>
      <c r="Q22" s="1505"/>
      <c r="R22" s="714"/>
      <c r="S22" s="715"/>
      <c r="T22" s="714"/>
      <c r="U22" s="715"/>
      <c r="V22" s="714"/>
      <c r="W22" s="715"/>
      <c r="X22" s="1508"/>
      <c r="Y22" s="3441"/>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41"/>
      <c r="Q23" s="1496" t="str">
        <f t="shared" si="8"/>
        <v>公共配套设施</v>
      </c>
      <c r="R23" s="710" t="s">
        <v>17</v>
      </c>
      <c r="S23" s="711">
        <f>F23</f>
        <v>100</v>
      </c>
      <c r="T23" s="710" t="s">
        <v>17</v>
      </c>
      <c r="U23" s="711">
        <f>H23</f>
        <v>100</v>
      </c>
      <c r="V23" s="710" t="s">
        <v>17</v>
      </c>
      <c r="W23" s="711">
        <f>J23</f>
        <v>100</v>
      </c>
      <c r="X23" s="712"/>
      <c r="Y23" s="3441"/>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441"/>
      <c r="Q24" s="1496"/>
      <c r="R24" s="710"/>
      <c r="S24" s="711"/>
      <c r="T24" s="710"/>
      <c r="U24" s="711"/>
      <c r="V24" s="710"/>
      <c r="W24" s="711"/>
      <c r="X24" s="712"/>
      <c r="Y24" s="3441"/>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41"/>
      <c r="Q25" s="1496" t="str">
        <f t="shared" ref="Q25" si="9">B25</f>
        <v>基础设施水平</v>
      </c>
      <c r="R25" s="710" t="s">
        <v>17</v>
      </c>
      <c r="S25" s="711">
        <f>F25</f>
        <v>100</v>
      </c>
      <c r="T25" s="710" t="s">
        <v>17</v>
      </c>
      <c r="U25" s="711">
        <f>H25</f>
        <v>100</v>
      </c>
      <c r="V25" s="710" t="s">
        <v>17</v>
      </c>
      <c r="W25" s="711">
        <f>J25</f>
        <v>100</v>
      </c>
      <c r="X25" s="712"/>
      <c r="Y25" s="3441"/>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441"/>
      <c r="Q26" s="1496"/>
      <c r="R26" s="710"/>
      <c r="S26" s="711"/>
      <c r="T26" s="710"/>
      <c r="U26" s="711"/>
      <c r="V26" s="710"/>
      <c r="W26" s="711"/>
      <c r="X26" s="712"/>
      <c r="Y26" s="3441"/>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41"/>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41"/>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41"/>
      <c r="Q28" s="1505" t="str">
        <f t="shared" si="8"/>
        <v>毗邻道路的类型与等级</v>
      </c>
      <c r="R28" s="714" t="s">
        <v>17</v>
      </c>
      <c r="S28" s="715">
        <f t="shared" si="10"/>
        <v>100</v>
      </c>
      <c r="T28" s="714" t="s">
        <v>17</v>
      </c>
      <c r="U28" s="715">
        <f t="shared" si="11"/>
        <v>100</v>
      </c>
      <c r="V28" s="714" t="s">
        <v>17</v>
      </c>
      <c r="W28" s="715">
        <f t="shared" si="12"/>
        <v>100</v>
      </c>
      <c r="X28" s="1508"/>
      <c r="Y28" s="3441"/>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41"/>
      <c r="Q29" s="1505"/>
      <c r="R29" s="714"/>
      <c r="S29" s="715"/>
      <c r="T29" s="714"/>
      <c r="U29" s="715"/>
      <c r="V29" s="714"/>
      <c r="W29" s="715"/>
      <c r="X29" s="1508"/>
      <c r="Y29" s="3441"/>
      <c r="Z29" s="1509"/>
      <c r="AA29" s="1506">
        <v>1</v>
      </c>
      <c r="AB29" s="1506">
        <v>1</v>
      </c>
      <c r="AC29" s="1506">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41"/>
      <c r="Q30" s="1505" t="str">
        <f t="shared" si="8"/>
        <v>土地级别</v>
      </c>
      <c r="R30" s="714" t="s">
        <v>17</v>
      </c>
      <c r="S30" s="715">
        <f t="shared" si="10"/>
        <v>100</v>
      </c>
      <c r="T30" s="714" t="s">
        <v>17</v>
      </c>
      <c r="U30" s="715">
        <f t="shared" si="11"/>
        <v>100</v>
      </c>
      <c r="V30" s="714" t="s">
        <v>17</v>
      </c>
      <c r="W30" s="715">
        <f t="shared" si="12"/>
        <v>100</v>
      </c>
      <c r="X30" s="1508"/>
      <c r="Y30" s="3441"/>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41"/>
      <c r="Q31" s="1505">
        <f t="shared" si="8"/>
        <v>111</v>
      </c>
      <c r="R31" s="714" t="s">
        <v>17</v>
      </c>
      <c r="S31" s="715">
        <f t="shared" si="10"/>
        <v>100</v>
      </c>
      <c r="T31" s="714" t="s">
        <v>17</v>
      </c>
      <c r="U31" s="715">
        <f t="shared" si="11"/>
        <v>100</v>
      </c>
      <c r="V31" s="714" t="s">
        <v>17</v>
      </c>
      <c r="W31" s="715">
        <f t="shared" si="12"/>
        <v>100</v>
      </c>
      <c r="X31" s="1508"/>
      <c r="Y31" s="3441"/>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96" t="s">
        <v>2326</v>
      </c>
      <c r="Q32" s="1505">
        <f t="shared" si="8"/>
        <v>111</v>
      </c>
      <c r="R32" s="714" t="s">
        <v>17</v>
      </c>
      <c r="S32" s="715">
        <f t="shared" si="10"/>
        <v>100</v>
      </c>
      <c r="T32" s="714" t="s">
        <v>17</v>
      </c>
      <c r="U32" s="715">
        <f t="shared" si="11"/>
        <v>100</v>
      </c>
      <c r="V32" s="714" t="s">
        <v>17</v>
      </c>
      <c r="W32" s="715">
        <f t="shared" si="12"/>
        <v>100</v>
      </c>
      <c r="X32" s="1508"/>
      <c r="Y32" s="3445"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45"/>
      <c r="Q33" s="1505">
        <f t="shared" si="8"/>
        <v>111</v>
      </c>
      <c r="R33" s="717" t="s">
        <v>17</v>
      </c>
      <c r="S33" s="718">
        <f t="shared" si="10"/>
        <v>100</v>
      </c>
      <c r="T33" s="717" t="s">
        <v>17</v>
      </c>
      <c r="U33" s="718">
        <f t="shared" si="11"/>
        <v>100</v>
      </c>
      <c r="V33" s="717" t="s">
        <v>17</v>
      </c>
      <c r="W33" s="718">
        <f t="shared" si="12"/>
        <v>100</v>
      </c>
      <c r="X33" s="719"/>
      <c r="Y33" s="3445"/>
      <c r="Z33" s="720">
        <f t="shared" si="13"/>
        <v>111</v>
      </c>
      <c r="AA33" s="1506">
        <f t="shared" si="3"/>
        <v>1</v>
      </c>
      <c r="AB33" s="1506">
        <f t="shared" si="4"/>
        <v>1</v>
      </c>
      <c r="AC33" s="1506">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45"/>
      <c r="Q34" s="1505" t="str">
        <f>B34</f>
        <v>宗地面积</v>
      </c>
      <c r="R34" s="714" t="s">
        <v>17</v>
      </c>
      <c r="S34" s="715" t="e">
        <f t="shared" si="10"/>
        <v>#N/A</v>
      </c>
      <c r="T34" s="714" t="s">
        <v>17</v>
      </c>
      <c r="U34" s="715" t="e">
        <f t="shared" si="11"/>
        <v>#N/A</v>
      </c>
      <c r="V34" s="714" t="s">
        <v>17</v>
      </c>
      <c r="W34" s="715" t="e">
        <f t="shared" si="12"/>
        <v>#N/A</v>
      </c>
      <c r="X34" s="1508"/>
      <c r="Y34" s="3445"/>
      <c r="Z34" s="1509" t="str">
        <f t="shared" si="13"/>
        <v>宗地面积</v>
      </c>
      <c r="AA34" s="1506" t="e">
        <f t="shared" si="3"/>
        <v>#N/A</v>
      </c>
      <c r="AB34" s="1506" t="e">
        <f t="shared" si="4"/>
        <v>#N/A</v>
      </c>
      <c r="AC34" s="1506"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45"/>
      <c r="Q35" s="1505" t="str">
        <f t="shared" ref="Q35:Q40" si="14">B35</f>
        <v>宗地形状</v>
      </c>
      <c r="R35" s="714" t="s">
        <v>17</v>
      </c>
      <c r="S35" s="715">
        <f t="shared" si="10"/>
        <v>100</v>
      </c>
      <c r="T35" s="714" t="s">
        <v>17</v>
      </c>
      <c r="U35" s="715">
        <f t="shared" si="11"/>
        <v>100</v>
      </c>
      <c r="V35" s="714" t="s">
        <v>17</v>
      </c>
      <c r="W35" s="715">
        <f t="shared" si="12"/>
        <v>100</v>
      </c>
      <c r="X35" s="1508"/>
      <c r="Y35" s="3445"/>
      <c r="Z35" s="1509" t="str">
        <f t="shared" si="13"/>
        <v>宗地形状</v>
      </c>
      <c r="AA35" s="1506">
        <f t="shared" si="3"/>
        <v>1</v>
      </c>
      <c r="AB35" s="1506">
        <f t="shared" si="4"/>
        <v>1</v>
      </c>
      <c r="AC35" s="1506">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45"/>
      <c r="Q36" s="1505" t="str">
        <f t="shared" si="14"/>
        <v>宗地开发程度</v>
      </c>
      <c r="R36" s="710" t="s">
        <v>17</v>
      </c>
      <c r="S36" s="711">
        <f t="shared" si="10"/>
        <v>100</v>
      </c>
      <c r="T36" s="710" t="s">
        <v>17</v>
      </c>
      <c r="U36" s="711">
        <f t="shared" si="11"/>
        <v>100</v>
      </c>
      <c r="V36" s="710" t="s">
        <v>17</v>
      </c>
      <c r="W36" s="711">
        <f t="shared" si="12"/>
        <v>100</v>
      </c>
      <c r="X36" s="712"/>
      <c r="Y36" s="3445"/>
      <c r="Z36" s="55" t="str">
        <f t="shared" si="13"/>
        <v>宗地开发程度</v>
      </c>
      <c r="AA36" s="713">
        <f t="shared" si="3"/>
        <v>1</v>
      </c>
      <c r="AB36" s="713">
        <f t="shared" si="4"/>
        <v>1</v>
      </c>
      <c r="AC36" s="713">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45" t="s">
        <v>2326</v>
      </c>
      <c r="Q37" s="1505" t="str">
        <f t="shared" si="14"/>
        <v>工程地质条件</v>
      </c>
      <c r="R37" s="714" t="s">
        <v>17</v>
      </c>
      <c r="S37" s="715">
        <f t="shared" si="10"/>
        <v>100</v>
      </c>
      <c r="T37" s="714" t="s">
        <v>17</v>
      </c>
      <c r="U37" s="715">
        <f t="shared" si="11"/>
        <v>100</v>
      </c>
      <c r="V37" s="714" t="s">
        <v>17</v>
      </c>
      <c r="W37" s="715">
        <f t="shared" si="12"/>
        <v>100</v>
      </c>
      <c r="X37" s="1508"/>
      <c r="Y37" s="3445"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45"/>
      <c r="Q38" s="1505">
        <f t="shared" si="14"/>
        <v>111</v>
      </c>
      <c r="R38" s="714" t="s">
        <v>17</v>
      </c>
      <c r="S38" s="715">
        <f t="shared" si="10"/>
        <v>100</v>
      </c>
      <c r="T38" s="714" t="s">
        <v>17</v>
      </c>
      <c r="U38" s="715">
        <f t="shared" si="11"/>
        <v>100</v>
      </c>
      <c r="V38" s="714" t="s">
        <v>17</v>
      </c>
      <c r="W38" s="715">
        <f t="shared" si="12"/>
        <v>100</v>
      </c>
      <c r="X38" s="1508"/>
      <c r="Y38" s="3445"/>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45"/>
      <c r="Q39" s="1505">
        <f t="shared" si="14"/>
        <v>111</v>
      </c>
      <c r="R39" s="714" t="s">
        <v>17</v>
      </c>
      <c r="S39" s="715">
        <f t="shared" si="10"/>
        <v>100</v>
      </c>
      <c r="T39" s="714" t="s">
        <v>17</v>
      </c>
      <c r="U39" s="715">
        <f t="shared" si="11"/>
        <v>100</v>
      </c>
      <c r="V39" s="714" t="s">
        <v>17</v>
      </c>
      <c r="W39" s="715">
        <f t="shared" si="12"/>
        <v>100</v>
      </c>
      <c r="X39" s="1508"/>
      <c r="Y39" s="3445"/>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45"/>
      <c r="Q40" s="1505">
        <f t="shared" si="14"/>
        <v>111</v>
      </c>
      <c r="R40" s="717" t="s">
        <v>17</v>
      </c>
      <c r="S40" s="718">
        <f t="shared" si="10"/>
        <v>100</v>
      </c>
      <c r="T40" s="717" t="s">
        <v>17</v>
      </c>
      <c r="U40" s="718">
        <f t="shared" si="11"/>
        <v>100</v>
      </c>
      <c r="V40" s="717" t="s">
        <v>17</v>
      </c>
      <c r="W40" s="718">
        <f t="shared" si="12"/>
        <v>100</v>
      </c>
      <c r="X40" s="719"/>
      <c r="Y40" s="3445"/>
      <c r="Z40" s="720">
        <f t="shared" si="13"/>
        <v>111</v>
      </c>
      <c r="AA40" s="1506">
        <f t="shared" si="3"/>
        <v>1</v>
      </c>
      <c r="AB40" s="1506">
        <f t="shared" si="4"/>
        <v>1</v>
      </c>
      <c r="AC40" s="1506">
        <f t="shared" si="5"/>
        <v>1</v>
      </c>
    </row>
    <row r="41" spans="1:31" ht="15">
      <c r="A41" s="438" t="s">
        <v>2481</v>
      </c>
      <c r="B41" s="2137" t="s">
        <v>2559</v>
      </c>
      <c r="C41" s="638" t="s">
        <v>1</v>
      </c>
      <c r="D41" s="440"/>
      <c r="E41" s="441"/>
      <c r="F41" s="442"/>
      <c r="G41" s="443"/>
      <c r="H41" s="444"/>
      <c r="I41" s="441"/>
      <c r="J41" s="444"/>
      <c r="K41" s="723"/>
      <c r="L41" s="2922"/>
      <c r="M41" s="2914"/>
      <c r="N41" s="2914"/>
      <c r="O41" s="2923"/>
      <c r="P41" s="3438" t="str">
        <f>A41</f>
        <v>成交单价</v>
      </c>
      <c r="Q41" s="3438"/>
      <c r="R41" s="3469">
        <f>E41</f>
        <v>0</v>
      </c>
      <c r="S41" s="3469"/>
      <c r="T41" s="3469">
        <f>G41</f>
        <v>0</v>
      </c>
      <c r="U41" s="3469"/>
      <c r="V41" s="3469">
        <f>I41</f>
        <v>0</v>
      </c>
      <c r="W41" s="3469"/>
      <c r="X41" s="699"/>
      <c r="Y41" s="721"/>
      <c r="Z41" s="699"/>
      <c r="AA41" s="699"/>
      <c r="AB41" s="699"/>
      <c r="AC41" s="699"/>
    </row>
    <row r="42" spans="1:31" ht="15.75" thickBot="1">
      <c r="A42" s="445" t="s">
        <v>2430</v>
      </c>
      <c r="B42" s="639"/>
      <c r="C42" s="448" t="e">
        <f>R43</f>
        <v>#DIV/0!</v>
      </c>
      <c r="D42" s="2507" t="s">
        <v>2819</v>
      </c>
      <c r="E42" s="448" t="e">
        <f>R42</f>
        <v>#DIV/0!</v>
      </c>
      <c r="F42" s="2508"/>
      <c r="G42" s="447" t="e">
        <f>T42</f>
        <v>#DIV/0!</v>
      </c>
      <c r="H42" s="2508"/>
      <c r="I42" s="448" t="e">
        <f>V42</f>
        <v>#DIV/0!</v>
      </c>
      <c r="J42" s="2508"/>
      <c r="K42" s="2510">
        <f>F42+H42+J42</f>
        <v>0</v>
      </c>
      <c r="L42" s="2922"/>
      <c r="M42" s="2914"/>
      <c r="N42" s="2914"/>
      <c r="O42" s="2923"/>
      <c r="P42" s="3438" t="str">
        <f>A42</f>
        <v>比较价值（元/平方米）</v>
      </c>
      <c r="Q42" s="3438"/>
      <c r="R42" s="3498" t="e">
        <f>ROUND(PRODUCT(R41,AA7:AA40),0)</f>
        <v>#DIV/0!</v>
      </c>
      <c r="S42" s="3498"/>
      <c r="T42" s="3498" t="e">
        <f>ROUND(PRODUCT(T41,AB7:AB40),0)</f>
        <v>#DIV/0!</v>
      </c>
      <c r="U42" s="3498"/>
      <c r="V42" s="3498" t="e">
        <f>ROUND(PRODUCT(V41,AC7:AC40),0)</f>
        <v>#DIV/0!</v>
      </c>
      <c r="W42" s="349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35" t="str">
        <f>A43</f>
        <v>估价对象XX用房的比较价值（楼面单价，元/平方米）</v>
      </c>
      <c r="Q43" s="3436"/>
      <c r="R43" s="3499" t="e">
        <f>ROUND(IF(D42="简单平均",AVERAGE(R42:W42),R42*F42+T42*H42+V42*J42),0)</f>
        <v>#DIV/0!</v>
      </c>
      <c r="S43" s="3499"/>
      <c r="T43" s="3499"/>
      <c r="U43" s="3499"/>
      <c r="V43" s="3499"/>
      <c r="W43" s="3499"/>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2518</v>
      </c>
      <c r="B50" s="641" t="s">
        <v>2519</v>
      </c>
      <c r="C50" s="2138" t="s">
        <v>2520</v>
      </c>
      <c r="D50" s="2139" t="s">
        <v>2521</v>
      </c>
      <c r="E50" s="642" t="s">
        <v>2522</v>
      </c>
      <c r="F50" s="643" t="s">
        <v>2523</v>
      </c>
      <c r="G50" s="3453" t="s">
        <v>2524</v>
      </c>
      <c r="H50" s="3500"/>
      <c r="I50" s="1509" t="s">
        <v>2560</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2527</v>
      </c>
      <c r="B51" s="645" t="e">
        <f>C43</f>
        <v>#DIV/0!</v>
      </c>
      <c r="C51" s="646">
        <v>1</v>
      </c>
      <c r="D51" s="1075">
        <v>1</v>
      </c>
      <c r="E51" s="646">
        <f>'数据-汇总表'!E8+'数据-汇总表'!E9</f>
        <v>125418.93</v>
      </c>
      <c r="F51" s="647" t="e">
        <f t="shared" ref="F51:F60" si="15">ROUND(B51*E51/10000,0)</f>
        <v>#DIV/0!</v>
      </c>
      <c r="G51" s="3449"/>
      <c r="H51" s="3438"/>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2528</v>
      </c>
      <c r="B52" s="224" t="e">
        <f>ROUND($C$43*C52*D52,0)</f>
        <v>#DIV/0!</v>
      </c>
      <c r="C52" s="176">
        <f t="shared" ref="C52:C60" si="16">IF($C$50="北京市系数",I52,J52)</f>
        <v>0</v>
      </c>
      <c r="D52" s="1076">
        <v>0.25</v>
      </c>
      <c r="E52" s="650"/>
      <c r="F52" s="647" t="e">
        <f t="shared" si="15"/>
        <v>#DIV/0!</v>
      </c>
      <c r="G52" s="3501" t="s">
        <v>2529</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2530</v>
      </c>
      <c r="B53" s="224" t="e">
        <f t="shared" ref="B53:B60" si="17">ROUND($C$43*C53*D53,0)</f>
        <v>#DIV/0!</v>
      </c>
      <c r="C53" s="176">
        <f t="shared" si="16"/>
        <v>0</v>
      </c>
      <c r="D53" s="1076">
        <v>0.25</v>
      </c>
      <c r="E53" s="650"/>
      <c r="F53" s="647" t="e">
        <f t="shared" si="15"/>
        <v>#DIV/0!</v>
      </c>
      <c r="G53" s="3501"/>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2531</v>
      </c>
      <c r="B54" s="224" t="e">
        <f t="shared" si="17"/>
        <v>#DIV/0!</v>
      </c>
      <c r="C54" s="176">
        <f t="shared" si="16"/>
        <v>0</v>
      </c>
      <c r="D54" s="1076">
        <v>0.25</v>
      </c>
      <c r="E54" s="650"/>
      <c r="F54" s="647" t="e">
        <f t="shared" si="15"/>
        <v>#DIV/0!</v>
      </c>
      <c r="G54" s="3501"/>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2532</v>
      </c>
      <c r="B55" s="224" t="e">
        <f t="shared" si="17"/>
        <v>#DIV/0!</v>
      </c>
      <c r="C55" s="176">
        <f t="shared" si="16"/>
        <v>0</v>
      </c>
      <c r="D55" s="1076">
        <v>0.25</v>
      </c>
      <c r="E55" s="650"/>
      <c r="F55" s="647" t="e">
        <f t="shared" si="15"/>
        <v>#DIV/0!</v>
      </c>
      <c r="G55" s="3501"/>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2537</v>
      </c>
      <c r="B58" s="224" t="e">
        <f t="shared" si="17"/>
        <v>#DIV/0!</v>
      </c>
      <c r="C58" s="176">
        <f t="shared" si="16"/>
        <v>0</v>
      </c>
      <c r="D58" s="1076">
        <v>0.25</v>
      </c>
      <c r="E58" s="223">
        <f>'数据-汇总表'!E13</f>
        <v>48625.24</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2541</v>
      </c>
      <c r="B61" s="652" t="s">
        <v>28</v>
      </c>
      <c r="C61" s="652" t="s">
        <v>29</v>
      </c>
      <c r="D61" s="652" t="s">
        <v>997</v>
      </c>
      <c r="E61" s="652">
        <f>IF(B41="楼面地价",SUM(E51:E60),'数据-汇总表'!D3)</f>
        <v>55191.78</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2542</v>
      </c>
      <c r="B65" s="1241"/>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2561</v>
      </c>
      <c r="B66" s="294" t="str">
        <f>"北京市平均增长率"&amp;TEXT(基准地价修正!P24,"0.00%")</f>
        <v>北京市平均增长率0.00%</v>
      </c>
      <c r="C66" s="560">
        <v>100</v>
      </c>
      <c r="D66" s="552"/>
      <c r="E66" s="552"/>
      <c r="F66" s="552"/>
      <c r="G66" s="552"/>
      <c r="H66" s="552"/>
      <c r="I66" s="552"/>
      <c r="J66" s="552"/>
      <c r="K66" s="552"/>
      <c r="L66" s="552"/>
      <c r="M66" s="1312"/>
      <c r="N66" s="1312"/>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2544</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2545</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2562</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2510</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2551</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2553</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2554</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0</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t="e">
        <f>C26</f>
        <v>#DIV/0!</v>
      </c>
      <c r="C2" s="2154" t="s">
        <v>2572</v>
      </c>
      <c r="D2" s="2155" t="s">
        <v>2573</v>
      </c>
      <c r="E2" s="2156"/>
      <c r="F2" s="2155" t="s">
        <v>2574</v>
      </c>
      <c r="G2" s="2157">
        <f>IF(E2="商业",项目基本情况!B37,IF(E2="办公",项目基本情况!C37,IF(E2="住宅",项目基本情况!D37,项目基本情况!E37)))</f>
        <v>0</v>
      </c>
      <c r="H2" s="2155" t="s">
        <v>2575</v>
      </c>
      <c r="I2" s="2157">
        <f>IF(E2="商业",项目基本情况!B38,IF(E2="办公",项目基本情况!C38,IF(E2="住宅",项目基本情况!D38,项目基本情况!E38)))</f>
        <v>0</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2577</v>
      </c>
      <c r="B3" s="210" t="e">
        <f>ROUND(B2*10000/D1,0)</f>
        <v>#DIV/0!</v>
      </c>
      <c r="C3" s="2154" t="s">
        <v>2578</v>
      </c>
      <c r="D3" s="2155" t="s">
        <v>2579</v>
      </c>
      <c r="E3" s="2160"/>
      <c r="F3" s="2161" t="s">
        <v>2580</v>
      </c>
      <c r="G3" s="855">
        <f>IF(F3="宗地容积率",'数据-汇总表'!I4,IF(F3="估价对象容积率",'数据-汇总表'!I6,'数据-汇总表'!I7))</f>
        <v>2.59</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09"/>
      <c r="B4" s="3510"/>
      <c r="C4" s="3510"/>
      <c r="D4" s="3511"/>
      <c r="E4" s="3511"/>
      <c r="F4" s="3511"/>
      <c r="G4" s="3511"/>
      <c r="H4" s="3511"/>
      <c r="I4" s="3511"/>
      <c r="J4" s="3512"/>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6" t="e">
        <f>ROUND(IF(E2="商业",C6*C7+C16,(IF(E2="住宅",C6*C12+C16,C6+C16))),0)</f>
        <v>#DIV/0!</v>
      </c>
      <c r="D5" s="1492" t="e">
        <f>ROUND(C6+C16,0)</f>
        <v>#DIV/0!</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2587</v>
      </c>
      <c r="B6" s="2173" t="s">
        <v>2588</v>
      </c>
      <c r="C6" s="857">
        <f>SUMIF(L1:L12,G2,M1:M12)</f>
        <v>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13" t="str">
        <f>IF(E2="商业",IF(C8="不临58条商业街","",2),"")</f>
        <v/>
      </c>
      <c r="B7" s="2178" t="s">
        <v>2591</v>
      </c>
      <c r="C7" s="858" t="e">
        <f>IF(C8="不临58条商业街",1,ROUND(1+(1.6*E8+1.2*E9+0.8*E10+0.4*E11)*C9,4))</f>
        <v>#DIV/0!</v>
      </c>
      <c r="D7" s="2179" t="s">
        <v>2592</v>
      </c>
      <c r="E7" s="882"/>
      <c r="F7" s="2180"/>
      <c r="G7" s="2181"/>
      <c r="H7" s="2181"/>
      <c r="I7" s="2181"/>
      <c r="J7" s="2182"/>
      <c r="K7" s="1537"/>
      <c r="L7" s="2159" t="s">
        <v>2593</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2594</v>
      </c>
      <c r="X7" s="1347">
        <f>G2</f>
        <v>0</v>
      </c>
      <c r="Y7" s="1347" t="s">
        <v>2595</v>
      </c>
      <c r="Z7" s="1348">
        <f>G3</f>
        <v>2.59</v>
      </c>
      <c r="AA7" s="1349"/>
      <c r="AB7" s="1349"/>
      <c r="AC7" s="1350"/>
      <c r="AD7" s="1351"/>
      <c r="AE7" s="1351"/>
      <c r="AF7" s="1351"/>
      <c r="AG7" s="1351"/>
      <c r="AH7" s="1351"/>
      <c r="AI7" s="1351"/>
      <c r="AJ7" s="1352"/>
    </row>
    <row r="8" spans="1:36" ht="15">
      <c r="A8" s="3514"/>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506" t="s">
        <v>2599</v>
      </c>
      <c r="X8" s="3507"/>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14"/>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08"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14"/>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08"/>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14"/>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08" t="s">
        <v>2623</v>
      </c>
      <c r="X11" s="1357" t="s">
        <v>2624</v>
      </c>
      <c r="Y11" s="1358">
        <f>$G$3</f>
        <v>2.59</v>
      </c>
      <c r="Z11" s="1358">
        <f t="shared" ref="Z11:AJ11" si="3">$G$3</f>
        <v>2.59</v>
      </c>
      <c r="AA11" s="1358">
        <f t="shared" si="3"/>
        <v>2.59</v>
      </c>
      <c r="AB11" s="1358">
        <f t="shared" si="3"/>
        <v>2.59</v>
      </c>
      <c r="AC11" s="1358">
        <f t="shared" si="3"/>
        <v>2.59</v>
      </c>
      <c r="AD11" s="1358">
        <f t="shared" si="3"/>
        <v>2.59</v>
      </c>
      <c r="AE11" s="1358">
        <f t="shared" si="3"/>
        <v>2.59</v>
      </c>
      <c r="AF11" s="1358">
        <f t="shared" si="3"/>
        <v>2.59</v>
      </c>
      <c r="AG11" s="1358">
        <f t="shared" si="3"/>
        <v>2.59</v>
      </c>
      <c r="AH11" s="1358">
        <f t="shared" si="3"/>
        <v>2.59</v>
      </c>
      <c r="AI11" s="1358">
        <f t="shared" si="3"/>
        <v>2.59</v>
      </c>
      <c r="AJ11" s="1358">
        <f t="shared" si="3"/>
        <v>2.59</v>
      </c>
    </row>
    <row r="12" spans="1:36" ht="25.5" thickBot="1">
      <c r="A12" s="3513"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08"/>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15"/>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t="e">
        <f t="shared" si="0"/>
        <v>#DIV/0!</v>
      </c>
      <c r="U13" s="1346"/>
      <c r="V13" s="1345" t="e">
        <f t="shared" si="1"/>
        <v>#DIV/0!</v>
      </c>
      <c r="W13" s="3508"/>
      <c r="X13" s="1359"/>
      <c r="Y13" s="1356">
        <f>(-0.163*(Y12^2)-0.59*Y12+7617)*(10^(-4))/Y11</f>
        <v>0.2940926640926641</v>
      </c>
      <c r="Z13" s="1356">
        <f t="shared" ref="Z13:AJ13" si="5">(-0.163*(Z12^2)-0.59*Z12+7617)*(10^(-4))/Z11</f>
        <v>0.2940926640926641</v>
      </c>
      <c r="AA13" s="1356">
        <f t="shared" si="5"/>
        <v>0.2940926640926641</v>
      </c>
      <c r="AB13" s="1356">
        <f t="shared" si="5"/>
        <v>0.2940926640926641</v>
      </c>
      <c r="AC13" s="1356">
        <f t="shared" si="5"/>
        <v>0.2940926640926641</v>
      </c>
      <c r="AD13" s="1356">
        <f t="shared" si="5"/>
        <v>0.2940926640926641</v>
      </c>
      <c r="AE13" s="1356">
        <f t="shared" si="5"/>
        <v>0.2940926640926641</v>
      </c>
      <c r="AF13" s="1356">
        <f t="shared" si="5"/>
        <v>0.2940926640926641</v>
      </c>
      <c r="AG13" s="1356">
        <f t="shared" si="5"/>
        <v>0.2940926640926641</v>
      </c>
      <c r="AH13" s="1356">
        <f t="shared" si="5"/>
        <v>0.2940926640926641</v>
      </c>
      <c r="AI13" s="1356">
        <f t="shared" si="5"/>
        <v>0.2940926640926641</v>
      </c>
      <c r="AJ13" s="1356">
        <f t="shared" si="5"/>
        <v>0.2940926640926641</v>
      </c>
    </row>
    <row r="14" spans="1:36" ht="15">
      <c r="A14" s="3515"/>
      <c r="B14" s="2201"/>
      <c r="C14" s="2202"/>
      <c r="D14" s="2203"/>
      <c r="E14" s="2203"/>
      <c r="F14" s="2204"/>
      <c r="G14" s="2205" t="s">
        <v>2636</v>
      </c>
      <c r="H14" s="2206"/>
      <c r="I14" s="2207"/>
      <c r="J14" s="2208"/>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9"/>
      <c r="AE14" s="2989"/>
      <c r="AF14" s="2989"/>
      <c r="AG14" s="2989"/>
      <c r="AH14" s="2989"/>
      <c r="AI14" s="2989"/>
      <c r="AJ14" s="2990"/>
    </row>
    <row r="15" spans="1:36" ht="15.75" thickBot="1">
      <c r="A15" s="3516"/>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t="e">
        <f t="shared" si="0"/>
        <v>#DIV/0!</v>
      </c>
      <c r="U15" s="1346"/>
      <c r="V15" s="1345" t="e">
        <f t="shared" si="1"/>
        <v>#DIV/0!</v>
      </c>
      <c r="W15" s="1349"/>
      <c r="X15" s="1349"/>
      <c r="Y15" s="1349"/>
      <c r="Z15" s="1349"/>
      <c r="AA15" s="1349"/>
      <c r="AB15" s="1349"/>
      <c r="AC15" s="1350"/>
      <c r="AD15" s="2989"/>
      <c r="AE15" s="2989"/>
      <c r="AF15" s="2989"/>
      <c r="AG15" s="2989"/>
      <c r="AH15" s="2989"/>
      <c r="AI15" s="2989"/>
      <c r="AJ15" s="2990"/>
    </row>
    <row r="16" spans="1:36" ht="24.6" customHeight="1">
      <c r="A16" s="3513" t="s">
        <v>2642</v>
      </c>
      <c r="B16" s="2178" t="s">
        <v>2643</v>
      </c>
      <c r="C16" s="2340" t="e">
        <f>ROUND(IF(F17="与级别开发程度一致",0,(G17-E17)/C17),0)</f>
        <v>#DIV/0!</v>
      </c>
      <c r="D16" s="3529" t="s">
        <v>2647</v>
      </c>
      <c r="E16" s="3530"/>
      <c r="F16" s="3529" t="s">
        <v>2644</v>
      </c>
      <c r="G16" s="3530"/>
      <c r="H16" s="2210"/>
      <c r="I16" s="2210"/>
      <c r="J16" s="2344"/>
      <c r="K16" s="2210"/>
      <c r="L16" s="2210"/>
      <c r="M16" s="2210"/>
      <c r="N16" s="2210"/>
      <c r="O16" s="2211"/>
      <c r="P16" s="2152"/>
      <c r="Q16" s="1252"/>
      <c r="R16" s="1345">
        <v>15</v>
      </c>
      <c r="S16" s="1346"/>
      <c r="T16" s="1345" t="e">
        <f t="shared" si="0"/>
        <v>#DIV/0!</v>
      </c>
      <c r="U16" s="1346"/>
      <c r="V16" s="1345" t="e">
        <f t="shared" si="1"/>
        <v>#DIV/0!</v>
      </c>
      <c r="W16" s="1349"/>
      <c r="X16" s="1349"/>
      <c r="Y16" s="1349"/>
      <c r="Z16" s="1349"/>
      <c r="AA16" s="1349"/>
      <c r="AB16" s="1349"/>
      <c r="AC16" s="1350"/>
      <c r="AD16" s="2989"/>
      <c r="AE16" s="2989"/>
      <c r="AF16" s="2989"/>
      <c r="AG16" s="2989"/>
      <c r="AH16" s="2989"/>
      <c r="AI16" s="2989"/>
      <c r="AJ16" s="2990"/>
    </row>
    <row r="17" spans="1:37" ht="13.5" thickBot="1">
      <c r="A17" s="3517"/>
      <c r="B17" s="2351" t="s">
        <v>2646</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2650</v>
      </c>
      <c r="C19" s="863" t="e">
        <f>ROUND(IF(H19="按公示增长率计算",SUMPRODUCT((地价!A3:A37=YEAR(G19)&amp;"-"&amp;ROUNDUP(MONTH(G19)/3,0))*(地价!X2:AB2=E2)*(地价!X3:AB37)),IF(H19="地价指数",M20/M19,(1+I19)^O19)),4)</f>
        <v>#VALUE!</v>
      </c>
      <c r="D19" s="2220" t="s">
        <v>2651</v>
      </c>
      <c r="E19" s="864">
        <v>41640</v>
      </c>
      <c r="F19" s="2220" t="s">
        <v>2652</v>
      </c>
      <c r="G19" s="865">
        <f>'数据-取费表'!B2</f>
        <v>44662</v>
      </c>
      <c r="H19" s="2221"/>
      <c r="I19" s="866" t="str">
        <f>IF(H19="季度增幅（自定义）",SUMIF(N21:N24,E2,O21:O24),"")</f>
        <v/>
      </c>
      <c r="J19" s="2218"/>
      <c r="K19" s="1259"/>
      <c r="L19" s="2222" t="s">
        <v>2653</v>
      </c>
      <c r="M19" s="1467">
        <f>ROUND(SUMIF(地价!B2:F2,E2,地价!B37:F37),0)</f>
        <v>0</v>
      </c>
      <c r="N19" s="2223" t="s">
        <v>2654</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t="e">
        <f>ROUND(POWER(1+G20,J20-I20)*(POWER(1+G20,I20)-1)/(POWER(1+G20,J20)-1),4)</f>
        <v>#DIV/0!</v>
      </c>
      <c r="D20" s="2227" t="s">
        <v>2656</v>
      </c>
      <c r="E20" s="1474">
        <f>存贷款利率!E20/100</f>
        <v>4.3499999999999997E-2</v>
      </c>
      <c r="F20" s="2227" t="s">
        <v>2648</v>
      </c>
      <c r="G20" s="873">
        <f>SUMIF(M26:P26,E2,M28:P28)</f>
        <v>0</v>
      </c>
      <c r="H20" s="2227" t="s">
        <v>2657</v>
      </c>
      <c r="I20" s="874" t="e">
        <f>SUMIF('数据-取费表'!C6:C15,E2,'数据-取费表'!F6:F15)/COUNTIF('数据-取费表'!C6:C15,E2)</f>
        <v>#DIV/0!</v>
      </c>
      <c r="J20" s="875">
        <f>IF(E2="住宅",70,IF(E2="商业",40,50))</f>
        <v>50</v>
      </c>
      <c r="K20" s="1259"/>
      <c r="L20" s="2228" t="s">
        <v>2658</v>
      </c>
      <c r="M20" s="1468">
        <f>ROUND(SUMPRODUCT((地价!A4:A37=YEAR(G19)&amp;"-"&amp;ROUNDUP(MONTH(G19)/3,0))*(地价!B2:F2=E2)*(地价!B4:F37)),0)</f>
        <v>0</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2662</v>
      </c>
      <c r="C21" s="876">
        <f>IF(B21="容积率修正",IF(G3&lt;=10,D22,J22),C23)</f>
        <v>0</v>
      </c>
      <c r="D21" s="2234"/>
      <c r="E21" s="2234"/>
      <c r="F21" s="2234"/>
      <c r="G21" s="2234"/>
      <c r="H21" s="2234"/>
      <c r="I21" s="2234"/>
      <c r="J21" s="2235"/>
      <c r="K21" s="1259"/>
      <c r="L21" s="2988"/>
      <c r="M21" s="2988"/>
      <c r="N21" s="2236" t="s">
        <v>2663</v>
      </c>
      <c r="O21" s="1307"/>
      <c r="P21" s="1308">
        <f>SUMPRODUCT((地价!A3:A37=YEAR(G19)&amp;"-"&amp;ROUNDUP(MONTH(G19)/3,0))*(地价!AD2:AH2=N21)*(地价!AD3:AH37))</f>
        <v>0</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0</v>
      </c>
      <c r="E22" s="855">
        <f>ROUNDDOWN(G3,1)</f>
        <v>2.5</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2.6</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7" t="str">
        <f>IF(G3&gt;10,D113,"——")</f>
        <v>——</v>
      </c>
      <c r="K22" s="1259"/>
      <c r="L22" s="2988"/>
      <c r="M22" s="2988"/>
      <c r="N22" s="2236" t="s">
        <v>2667</v>
      </c>
      <c r="O22" s="1307"/>
      <c r="P22" s="1308">
        <f>SUMPRODUCT((地价!A3:A37=YEAR(G19)&amp;"-"&amp;ROUNDUP(MONTH(G19)/3,0))*(地价!AD2:AH2=N22)*(地价!AD3:AH37))</f>
        <v>0</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0</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0</v>
      </c>
      <c r="D24" s="2217"/>
      <c r="E24" s="2244"/>
      <c r="F24" s="2244"/>
      <c r="G24" s="2244"/>
      <c r="H24" s="2244"/>
      <c r="I24" s="2244"/>
      <c r="J24" s="2245"/>
      <c r="K24" s="1259"/>
      <c r="L24" s="2988"/>
      <c r="M24" s="2988"/>
      <c r="N24" s="2246" t="s">
        <v>2672</v>
      </c>
      <c r="O24" s="1309"/>
      <c r="P24" s="1310">
        <f>SUMPRODUCT((地价!A3:A37=YEAR(G19)&amp;"-"&amp;ROUNDUP(MONTH(G19)/3,0))*(地价!AD2:AH2=N24)*(地价!AD3:AH37))</f>
        <v>0</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0</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t="e">
        <f>IF(B21="容积率修正",E29+SUM(E33:E39),SUM(V2:V16)+SUM(E33:E39))</f>
        <v>#DIV/0!</v>
      </c>
      <c r="D26" s="2250"/>
      <c r="E26" s="2206"/>
      <c r="F26" s="2251"/>
      <c r="G26" s="2206"/>
      <c r="H26" s="2206"/>
      <c r="I26" s="2206"/>
      <c r="J26" s="2252"/>
      <c r="K26" s="1252"/>
      <c r="L26" s="2986" t="s">
        <v>2573</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t="e">
        <f>ROUND(C5*C18*C19*C20*C21*C24,0)</f>
        <v>#DIV/0!</v>
      </c>
      <c r="D29" s="2265"/>
      <c r="E29" s="879" t="e">
        <f>ROUND(C29*D29/10000,0)</f>
        <v>#DIV/0!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t="e">
        <f>ROUND(IF(E2="工业",C29*M39,C29*M38),0)</f>
        <v>#DIV/0!</v>
      </c>
      <c r="D30" s="2271"/>
      <c r="E30" s="879" t="e">
        <f>ROUND(C30*D30/10000,0)</f>
        <v>#DIV/0!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26"/>
      <c r="B33" s="2281" t="s">
        <v>2689</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31"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27"/>
      <c r="B34" s="2198" t="s">
        <v>2690</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2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27"/>
      <c r="B35" s="2198" t="s">
        <v>2691</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2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28"/>
      <c r="B36" s="2198" t="s">
        <v>2692</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28"/>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t="e">
        <f>ROUND(POWER(1+E41,H41-G41)*(POWER(1+E41,G41)-1)/(POWER(1+E41,H41)-1),4)</f>
        <v>#DIV/0!</v>
      </c>
      <c r="D41" s="176" t="s">
        <v>2648</v>
      </c>
      <c r="E41" s="2338">
        <f>G20</f>
        <v>0</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18" t="s">
        <v>2730</v>
      </c>
      <c r="B90" s="3518"/>
      <c r="C90" s="3518"/>
      <c r="D90" s="3518"/>
      <c r="E90" s="3518"/>
      <c r="F90" s="3518"/>
      <c r="G90" s="3518"/>
      <c r="H90" s="3518"/>
      <c r="I90" s="3518"/>
      <c r="J90" s="3518"/>
      <c r="K90" s="2312"/>
      <c r="L90" s="2312"/>
      <c r="M90" s="2312"/>
      <c r="N90" s="2312"/>
    </row>
    <row r="91" spans="1:37">
      <c r="A91" s="3520" t="s">
        <v>2731</v>
      </c>
      <c r="B91" s="3520" t="s">
        <v>2732</v>
      </c>
      <c r="C91" s="2266" t="s">
        <v>2733</v>
      </c>
      <c r="D91" s="2267"/>
      <c r="E91" s="2267"/>
      <c r="F91" s="2267"/>
      <c r="G91" s="2267"/>
      <c r="H91" s="2267"/>
      <c r="I91" s="2267"/>
      <c r="J91" s="2313"/>
      <c r="K91" s="2314"/>
      <c r="L91" s="2314"/>
      <c r="M91" s="2314"/>
      <c r="N91" s="2314"/>
    </row>
    <row r="92" spans="1:37">
      <c r="A92" s="3520"/>
      <c r="B92" s="3520"/>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21"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22"/>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22"/>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22"/>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22"/>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22"/>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22"/>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23"/>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21" t="s">
        <v>2735</v>
      </c>
      <c r="B101" s="2319" t="s">
        <v>2736</v>
      </c>
      <c r="C101" s="2320">
        <f>$G$3</f>
        <v>2.59</v>
      </c>
      <c r="D101" s="2320">
        <f t="shared" ref="D101:N101" si="31">$G$3</f>
        <v>2.59</v>
      </c>
      <c r="E101" s="2320">
        <f t="shared" si="31"/>
        <v>2.59</v>
      </c>
      <c r="F101" s="2320">
        <f t="shared" si="31"/>
        <v>2.59</v>
      </c>
      <c r="G101" s="2320">
        <f t="shared" si="31"/>
        <v>2.59</v>
      </c>
      <c r="H101" s="2320">
        <f t="shared" si="31"/>
        <v>2.59</v>
      </c>
      <c r="I101" s="2320">
        <f t="shared" si="31"/>
        <v>2.59</v>
      </c>
      <c r="J101" s="2320">
        <f t="shared" si="31"/>
        <v>2.59</v>
      </c>
      <c r="K101" s="2320">
        <f t="shared" si="31"/>
        <v>2.59</v>
      </c>
      <c r="L101" s="2320">
        <f t="shared" si="31"/>
        <v>2.59</v>
      </c>
      <c r="M101" s="2320">
        <f t="shared" si="31"/>
        <v>2.59</v>
      </c>
      <c r="N101" s="2320">
        <f t="shared" si="31"/>
        <v>2.59</v>
      </c>
    </row>
    <row r="102" spans="1:14">
      <c r="A102" s="3522"/>
      <c r="B102" s="2315">
        <v>1</v>
      </c>
      <c r="C102" s="2316">
        <f>1.9362/C101</f>
        <v>0.74756756756756759</v>
      </c>
      <c r="D102" s="2316">
        <f>1.9362/D101</f>
        <v>0.74756756756756759</v>
      </c>
      <c r="E102" s="2316">
        <f>1.8629/E101</f>
        <v>0.71926640926640928</v>
      </c>
      <c r="F102" s="2316">
        <f>1.8629/F101</f>
        <v>0.71926640926640928</v>
      </c>
      <c r="G102" s="2316">
        <f>1.8629/G101</f>
        <v>0.71926640926640928</v>
      </c>
      <c r="H102" s="2316">
        <f>1.8629/H101</f>
        <v>0.71926640926640928</v>
      </c>
      <c r="I102" s="2316">
        <f>1.8629/I101</f>
        <v>0.71926640926640928</v>
      </c>
      <c r="J102" s="2316">
        <f>1.942/J101</f>
        <v>0.74980694980694984</v>
      </c>
      <c r="K102" s="2316">
        <f>1.942/K101</f>
        <v>0.74980694980694984</v>
      </c>
      <c r="L102" s="2316">
        <f>1.942/L101</f>
        <v>0.74980694980694984</v>
      </c>
      <c r="M102" s="2316">
        <f>1.942/M101</f>
        <v>0.74980694980694984</v>
      </c>
      <c r="N102" s="2316">
        <f>1.942/N101</f>
        <v>0.74980694980694984</v>
      </c>
    </row>
    <row r="103" spans="1:14">
      <c r="A103" s="3522"/>
      <c r="B103" s="2315">
        <v>2</v>
      </c>
      <c r="C103" s="2316">
        <f>1.4198/C101</f>
        <v>0.54818532818532817</v>
      </c>
      <c r="D103" s="2316">
        <f>1.4198/D101</f>
        <v>0.54818532818532817</v>
      </c>
      <c r="E103" s="2316">
        <f>1.3372/E101</f>
        <v>0.51629343629343627</v>
      </c>
      <c r="F103" s="2316">
        <f>1.3372/F101</f>
        <v>0.51629343629343627</v>
      </c>
      <c r="G103" s="2316">
        <f>1.3372/G101</f>
        <v>0.51629343629343627</v>
      </c>
      <c r="H103" s="2316">
        <f>1.3372/H101</f>
        <v>0.51629343629343627</v>
      </c>
      <c r="I103" s="2316">
        <f>1.3372/I101</f>
        <v>0.51629343629343627</v>
      </c>
      <c r="J103" s="2316">
        <f>1.2799/J101</f>
        <v>0.49416988416988422</v>
      </c>
      <c r="K103" s="2316">
        <f>1.2799/K101</f>
        <v>0.49416988416988422</v>
      </c>
      <c r="L103" s="2316">
        <f>1.2799/L101</f>
        <v>0.49416988416988422</v>
      </c>
      <c r="M103" s="2316">
        <f>1.2799/M101</f>
        <v>0.49416988416988422</v>
      </c>
      <c r="N103" s="2316">
        <f>1.2799/N101</f>
        <v>0.49416988416988422</v>
      </c>
    </row>
    <row r="104" spans="1:14">
      <c r="A104" s="3522"/>
      <c r="B104" s="2315">
        <v>3</v>
      </c>
      <c r="C104" s="2316">
        <f>1.1594/C101</f>
        <v>0.44764478764478766</v>
      </c>
      <c r="D104" s="2316">
        <f>1.1594/D101</f>
        <v>0.44764478764478766</v>
      </c>
      <c r="E104" s="2316">
        <f>1.0788/E101</f>
        <v>0.41652509652509656</v>
      </c>
      <c r="F104" s="2316">
        <f>1.0788/F101</f>
        <v>0.41652509652509656</v>
      </c>
      <c r="G104" s="2316">
        <f>1.0788/G101</f>
        <v>0.41652509652509656</v>
      </c>
      <c r="H104" s="2316">
        <f>1.0788/H101</f>
        <v>0.41652509652509656</v>
      </c>
      <c r="I104" s="2316">
        <f>1.0788/I101</f>
        <v>0.41652509652509656</v>
      </c>
      <c r="J104" s="2316">
        <f>1.0072/J101</f>
        <v>0.38888030888030894</v>
      </c>
      <c r="K104" s="2316">
        <f>1.0072/K101</f>
        <v>0.38888030888030894</v>
      </c>
      <c r="L104" s="2316">
        <f>1.0072/L101</f>
        <v>0.38888030888030894</v>
      </c>
      <c r="M104" s="2316">
        <f>1.0072/M101</f>
        <v>0.38888030888030894</v>
      </c>
      <c r="N104" s="2316">
        <f>1.0072/N101</f>
        <v>0.38888030888030894</v>
      </c>
    </row>
    <row r="105" spans="1:14">
      <c r="A105" s="3522"/>
      <c r="B105" s="2315">
        <v>4</v>
      </c>
      <c r="C105" s="2316">
        <f>0.9622/C101</f>
        <v>0.37150579150579155</v>
      </c>
      <c r="D105" s="2316">
        <f>0.9622/D101</f>
        <v>0.37150579150579155</v>
      </c>
      <c r="E105" s="2316">
        <f>0.8656/E101</f>
        <v>0.33420849420849424</v>
      </c>
      <c r="F105" s="2316">
        <f>0.8656/F101</f>
        <v>0.33420849420849424</v>
      </c>
      <c r="G105" s="2316">
        <f>0.8656/G101</f>
        <v>0.33420849420849424</v>
      </c>
      <c r="H105" s="2316">
        <f>0.8656/H101</f>
        <v>0.33420849420849424</v>
      </c>
      <c r="I105" s="2316">
        <f>0.8656/I101</f>
        <v>0.33420849420849424</v>
      </c>
      <c r="J105" s="2316">
        <f>0.7525/J101</f>
        <v>0.29054054054054052</v>
      </c>
      <c r="K105" s="2316">
        <f>0.7525/K101</f>
        <v>0.29054054054054052</v>
      </c>
      <c r="L105" s="2316">
        <f>0.7525/L101</f>
        <v>0.29054054054054052</v>
      </c>
      <c r="M105" s="2316">
        <f>0.7525/M101</f>
        <v>0.29054054054054052</v>
      </c>
      <c r="N105" s="2316">
        <f>0.7525/N101</f>
        <v>0.29054054054054052</v>
      </c>
    </row>
    <row r="106" spans="1:14">
      <c r="A106" s="3522"/>
      <c r="B106" s="2315">
        <v>5</v>
      </c>
      <c r="C106" s="2316">
        <f>0.8417/C101</f>
        <v>0.32498069498069498</v>
      </c>
      <c r="D106" s="2316">
        <f>0.8417/D101</f>
        <v>0.32498069498069498</v>
      </c>
      <c r="E106" s="2316">
        <f>0.7371/E101</f>
        <v>0.28459459459459457</v>
      </c>
      <c r="F106" s="2316">
        <f>0.7371/F101</f>
        <v>0.28459459459459457</v>
      </c>
      <c r="G106" s="2316">
        <f>0.7371/G101</f>
        <v>0.28459459459459457</v>
      </c>
      <c r="H106" s="2316">
        <f>0.7371/H101</f>
        <v>0.28459459459459457</v>
      </c>
      <c r="I106" s="2316">
        <f>0.7371/I101</f>
        <v>0.28459459459459457</v>
      </c>
      <c r="J106" s="2316">
        <f>0.5659/J101</f>
        <v>0.2184942084942085</v>
      </c>
      <c r="K106" s="2316">
        <f>0.5659/K101</f>
        <v>0.2184942084942085</v>
      </c>
      <c r="L106" s="2316">
        <f>0.5659/L101</f>
        <v>0.2184942084942085</v>
      </c>
      <c r="M106" s="2316">
        <f>0.5659/M101</f>
        <v>0.2184942084942085</v>
      </c>
      <c r="N106" s="2316">
        <f>0.5659/N101</f>
        <v>0.2184942084942085</v>
      </c>
    </row>
    <row r="107" spans="1:14">
      <c r="A107" s="3522"/>
      <c r="B107" s="2315">
        <v>6</v>
      </c>
      <c r="C107" s="2316">
        <f>0.7608/C101</f>
        <v>0.29374517374517378</v>
      </c>
      <c r="D107" s="2316">
        <f>0.7608/D101</f>
        <v>0.29374517374517378</v>
      </c>
      <c r="E107" s="2316">
        <f>0.6482/E101</f>
        <v>0.25027027027027027</v>
      </c>
      <c r="F107" s="2316">
        <f>0.6482/F101</f>
        <v>0.25027027027027027</v>
      </c>
      <c r="G107" s="2316">
        <f>0.6482/G101</f>
        <v>0.25027027027027027</v>
      </c>
      <c r="H107" s="2316">
        <f>0.6482/H101</f>
        <v>0.25027027027027027</v>
      </c>
      <c r="I107" s="2316">
        <f>0.6482/I101</f>
        <v>0.25027027027027027</v>
      </c>
      <c r="J107" s="2316">
        <f>0.4525/J101</f>
        <v>0.17471042471042472</v>
      </c>
      <c r="K107" s="2316">
        <f>0.4525/K101</f>
        <v>0.17471042471042472</v>
      </c>
      <c r="L107" s="2316">
        <f>0.4525/L101</f>
        <v>0.17471042471042472</v>
      </c>
      <c r="M107" s="2316">
        <f>0.4525/M101</f>
        <v>0.17471042471042472</v>
      </c>
      <c r="N107" s="2316">
        <f>0.4525/N101</f>
        <v>0.17471042471042472</v>
      </c>
    </row>
    <row r="108" spans="1:14">
      <c r="A108" s="3522"/>
      <c r="B108" s="3524"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23"/>
      <c r="B109" s="3525"/>
      <c r="C109" s="2318">
        <f>(-0.163*(C108^2)-0.59*C108+7617)*(10^(-4))/C101</f>
        <v>0.2940926640926641</v>
      </c>
      <c r="D109" s="2318">
        <f>(-0.163*(D108^2)-0.59*D108+7617)*(10^(-4))/D101</f>
        <v>0.2940926640926641</v>
      </c>
      <c r="E109" s="2318">
        <f>(-0.161*(E108^2)-7.509*E108+6533)*(10^(-4))/E101</f>
        <v>0.25223938223938225</v>
      </c>
      <c r="F109" s="2318">
        <f>(-0.161*(F108^2)-7.509*F108+6533)*(10^(-4))/F101</f>
        <v>0.25223938223938225</v>
      </c>
      <c r="G109" s="2318">
        <f>(-0.161*(G108^2)-7.509*G108+6533)*(10^(-4))/G101</f>
        <v>0.25223938223938225</v>
      </c>
      <c r="H109" s="2318">
        <f>(-0.161*(H108^2)-7.509*H108+6533)*(10^(-4))/H101</f>
        <v>0.25223938223938225</v>
      </c>
      <c r="I109" s="2318">
        <f>(-0.161*(I108^2)-7.509*I108+6533)*(10^(-4))/I101</f>
        <v>0.25223938223938225</v>
      </c>
      <c r="J109" s="2318">
        <f>(-0.214*(J108^2)-21.991*J108+4665)*(10^(-4))/J101</f>
        <v>0.18011583011583013</v>
      </c>
      <c r="K109" s="2318">
        <f>(-0.214*(K108^2)-21.991*K108+4665)*(10^(-4))/K101</f>
        <v>0.18011583011583013</v>
      </c>
      <c r="L109" s="2318">
        <f>(-0.214*(L108^2)-21.991*L108+4665)*(10^(-4))/L101</f>
        <v>0.18011583011583013</v>
      </c>
      <c r="M109" s="2318">
        <f>(-0.214*(M108^2)-21.991*M108+4665)*(10^(-4))/M101</f>
        <v>0.18011583011583013</v>
      </c>
      <c r="N109" s="2318">
        <f>(-0.214*(N108^2)-21.991*N108+4665)*(10^(-4))/N101</f>
        <v>0.18011583011583013</v>
      </c>
    </row>
    <row r="110" spans="1:14">
      <c r="A110" s="3519" t="s">
        <v>2738</v>
      </c>
      <c r="B110" s="3519"/>
      <c r="C110" s="3519"/>
      <c r="D110" s="3519"/>
      <c r="E110" s="3519"/>
      <c r="F110" s="3519"/>
      <c r="G110" s="3519"/>
      <c r="H110" s="3519"/>
      <c r="I110" s="3519"/>
      <c r="J110" s="3519"/>
      <c r="K110" s="2321"/>
      <c r="L110" s="2321"/>
      <c r="M110" s="2321"/>
      <c r="N110" s="2321"/>
    </row>
    <row r="112" spans="1:14" ht="13.5" thickBot="1"/>
    <row r="113" spans="1:13" ht="25.5" thickBot="1">
      <c r="A113" s="842" t="s">
        <v>2739</v>
      </c>
      <c r="B113" s="1197">
        <f>G3</f>
        <v>2.59</v>
      </c>
      <c r="C113" s="843" t="s">
        <v>2740</v>
      </c>
      <c r="D113" s="844">
        <f>SUMPRODUCT((A115:A118=F113)*(B114:M114=H113)*B115:M118)</f>
        <v>0</v>
      </c>
      <c r="E113" s="2157" t="s">
        <v>2573</v>
      </c>
      <c r="F113" s="2323">
        <f>E2</f>
        <v>0</v>
      </c>
      <c r="G113" s="2157" t="s">
        <v>2574</v>
      </c>
      <c r="H113" s="2323">
        <f>G2</f>
        <v>0</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2638</v>
      </c>
      <c r="B115" s="849">
        <f>ROUND(0.9335-0.0094*B113,4)</f>
        <v>0.90920000000000001</v>
      </c>
      <c r="C115" s="849">
        <f>B115</f>
        <v>0.90920000000000001</v>
      </c>
      <c r="D115" s="849">
        <f>ROUND(0.8331-0.0109*B113,4)</f>
        <v>0.80489999999999995</v>
      </c>
      <c r="E115" s="849">
        <f>D115</f>
        <v>0.80489999999999995</v>
      </c>
      <c r="F115" s="849">
        <f>E115</f>
        <v>0.80489999999999995</v>
      </c>
      <c r="G115" s="849">
        <f>F115</f>
        <v>0.80489999999999995</v>
      </c>
      <c r="H115" s="849">
        <f>G115</f>
        <v>0.80489999999999995</v>
      </c>
      <c r="I115" s="849">
        <f>ROUND(0.689-0.0155*B113,4)</f>
        <v>0.64890000000000003</v>
      </c>
      <c r="J115" s="849">
        <f t="shared" ref="J115:M118" si="33">I115</f>
        <v>0.64890000000000003</v>
      </c>
      <c r="K115" s="849">
        <f t="shared" si="33"/>
        <v>0.64890000000000003</v>
      </c>
      <c r="L115" s="849">
        <f t="shared" si="33"/>
        <v>0.64890000000000003</v>
      </c>
      <c r="M115" s="850">
        <f t="shared" si="33"/>
        <v>0.64890000000000003</v>
      </c>
    </row>
    <row r="116" spans="1:13">
      <c r="A116" s="848" t="s">
        <v>2639</v>
      </c>
      <c r="B116" s="849">
        <f>ROUND(0.949-0.012*B113,4)</f>
        <v>0.91790000000000005</v>
      </c>
      <c r="C116" s="849">
        <f>B116</f>
        <v>0.91790000000000005</v>
      </c>
      <c r="D116" s="849">
        <f>ROUND(0.8567-0.013*B113,4)</f>
        <v>0.82299999999999995</v>
      </c>
      <c r="E116" s="849">
        <f t="shared" ref="E116:H117" si="34">D116</f>
        <v>0.82299999999999995</v>
      </c>
      <c r="F116" s="849">
        <f t="shared" si="34"/>
        <v>0.82299999999999995</v>
      </c>
      <c r="G116" s="849">
        <f t="shared" si="34"/>
        <v>0.82299999999999995</v>
      </c>
      <c r="H116" s="849">
        <f t="shared" si="34"/>
        <v>0.82299999999999995</v>
      </c>
      <c r="I116" s="849">
        <f>ROUND(0.7694-0.014*B113,4)</f>
        <v>0.73309999999999997</v>
      </c>
      <c r="J116" s="849">
        <f t="shared" si="33"/>
        <v>0.73309999999999997</v>
      </c>
      <c r="K116" s="849">
        <f t="shared" si="33"/>
        <v>0.73309999999999997</v>
      </c>
      <c r="L116" s="849">
        <f t="shared" si="33"/>
        <v>0.73309999999999997</v>
      </c>
      <c r="M116" s="850">
        <f t="shared" si="33"/>
        <v>0.73309999999999997</v>
      </c>
    </row>
    <row r="117" spans="1:13">
      <c r="A117" s="848" t="s">
        <v>2640</v>
      </c>
      <c r="B117" s="849">
        <f>ROUND(0.8808-0.006*B113,4)</f>
        <v>0.86529999999999996</v>
      </c>
      <c r="C117" s="849">
        <f>B117</f>
        <v>0.86529999999999996</v>
      </c>
      <c r="D117" s="849">
        <f>ROUND(0.8748-0.008*B113,4)</f>
        <v>0.85409999999999997</v>
      </c>
      <c r="E117" s="849">
        <f t="shared" si="34"/>
        <v>0.85409999999999997</v>
      </c>
      <c r="F117" s="849">
        <f t="shared" si="34"/>
        <v>0.85409999999999997</v>
      </c>
      <c r="G117" s="849">
        <f t="shared" si="34"/>
        <v>0.85409999999999997</v>
      </c>
      <c r="H117" s="849">
        <f t="shared" si="34"/>
        <v>0.85409999999999997</v>
      </c>
      <c r="I117" s="849">
        <f>ROUND(0.7412-0.0095*B113,4)</f>
        <v>0.71660000000000001</v>
      </c>
      <c r="J117" s="849">
        <f t="shared" si="33"/>
        <v>0.71660000000000001</v>
      </c>
      <c r="K117" s="849">
        <f t="shared" si="33"/>
        <v>0.71660000000000001</v>
      </c>
      <c r="L117" s="849">
        <f t="shared" si="33"/>
        <v>0.71660000000000001</v>
      </c>
      <c r="M117" s="850">
        <f t="shared" si="33"/>
        <v>0.71660000000000001</v>
      </c>
    </row>
    <row r="118" spans="1:13" ht="13.5" thickBot="1">
      <c r="A118" s="670" t="s">
        <v>2641</v>
      </c>
      <c r="B118" s="851">
        <f>ROUND(0.7275-0.01*B113,4)</f>
        <v>0.7016</v>
      </c>
      <c r="C118" s="851">
        <f>B118</f>
        <v>0.7016</v>
      </c>
      <c r="D118" s="851">
        <f>ROUND(0.7043-0.012*B113,4)</f>
        <v>0.67320000000000002</v>
      </c>
      <c r="E118" s="851">
        <f>D118</f>
        <v>0.67320000000000002</v>
      </c>
      <c r="F118" s="851">
        <f>E118</f>
        <v>0.67320000000000002</v>
      </c>
      <c r="G118" s="851">
        <f>ROUND(0.6299-0.0122*B113,4)</f>
        <v>0.59830000000000005</v>
      </c>
      <c r="H118" s="851">
        <f>G118</f>
        <v>0.59830000000000005</v>
      </c>
      <c r="I118" s="851">
        <f>ROUND(0.5667-0.0136*B113,4)</f>
        <v>0.53149999999999997</v>
      </c>
      <c r="J118" s="851">
        <f t="shared" si="33"/>
        <v>0.53149999999999997</v>
      </c>
      <c r="K118" s="851">
        <f t="shared" si="33"/>
        <v>0.53149999999999997</v>
      </c>
      <c r="L118" s="851">
        <f t="shared" si="33"/>
        <v>0.53149999999999997</v>
      </c>
      <c r="M118" s="852">
        <f t="shared" si="33"/>
        <v>0.53149999999999997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2" t="s">
        <v>183</v>
      </c>
      <c r="B18" s="821" t="s">
        <v>560</v>
      </c>
      <c r="C18" s="822" t="s">
        <v>561</v>
      </c>
      <c r="D18" s="823"/>
      <c r="E18" s="821">
        <v>1</v>
      </c>
      <c r="F18" s="824" t="s">
        <v>562</v>
      </c>
      <c r="G18" s="825"/>
      <c r="H18" s="817"/>
      <c r="I18" s="817"/>
    </row>
    <row r="19" spans="1:9" s="826" customFormat="1" ht="19.5" customHeight="1">
      <c r="A19" s="3532"/>
      <c r="B19" s="3532" t="s">
        <v>563</v>
      </c>
      <c r="C19" s="822" t="s">
        <v>564</v>
      </c>
      <c r="D19" s="823"/>
      <c r="E19" s="821">
        <v>0.9</v>
      </c>
      <c r="F19" s="824" t="s">
        <v>565</v>
      </c>
      <c r="G19" s="825"/>
      <c r="H19" s="817"/>
      <c r="I19" s="817"/>
    </row>
    <row r="20" spans="1:9" s="826" customFormat="1" ht="19.5" customHeight="1">
      <c r="A20" s="3532"/>
      <c r="B20" s="3532"/>
      <c r="C20" s="822" t="s">
        <v>566</v>
      </c>
      <c r="D20" s="823"/>
      <c r="E20" s="821">
        <v>1.1000000000000001</v>
      </c>
      <c r="F20" s="824" t="s">
        <v>567</v>
      </c>
      <c r="G20" s="825"/>
      <c r="H20" s="817"/>
      <c r="I20" s="817"/>
    </row>
    <row r="21" spans="1:9" s="826" customFormat="1" ht="19.5" customHeight="1">
      <c r="A21" s="3532"/>
      <c r="B21" s="3532"/>
      <c r="C21" s="822" t="s">
        <v>568</v>
      </c>
      <c r="D21" s="823"/>
      <c r="E21" s="821">
        <v>0.8</v>
      </c>
      <c r="F21" s="824" t="s">
        <v>569</v>
      </c>
      <c r="G21" s="825"/>
      <c r="H21" s="817"/>
      <c r="I21" s="817"/>
    </row>
    <row r="22" spans="1:9" s="826" customFormat="1" ht="19.5" customHeight="1">
      <c r="A22" s="3532"/>
      <c r="B22" s="3532"/>
      <c r="C22" s="822" t="s">
        <v>570</v>
      </c>
      <c r="D22" s="823"/>
      <c r="E22" s="821">
        <v>0.5</v>
      </c>
      <c r="F22" s="824"/>
      <c r="G22" s="825"/>
      <c r="H22" s="817"/>
      <c r="I22" s="817"/>
    </row>
    <row r="23" spans="1:9" s="826" customFormat="1" ht="19.5" customHeight="1">
      <c r="A23" s="3532" t="s">
        <v>184</v>
      </c>
      <c r="B23" s="821" t="s">
        <v>560</v>
      </c>
      <c r="C23" s="822" t="s">
        <v>571</v>
      </c>
      <c r="D23" s="823"/>
      <c r="E23" s="821">
        <v>1</v>
      </c>
      <c r="F23" s="824" t="s">
        <v>572</v>
      </c>
      <c r="G23" s="825"/>
      <c r="H23" s="817"/>
      <c r="I23" s="817"/>
    </row>
    <row r="24" spans="1:9" s="826" customFormat="1" ht="19.5" customHeight="1">
      <c r="A24" s="3532"/>
      <c r="B24" s="3532" t="s">
        <v>563</v>
      </c>
      <c r="C24" s="822" t="s">
        <v>573</v>
      </c>
      <c r="D24" s="823"/>
      <c r="E24" s="821">
        <v>0.5</v>
      </c>
      <c r="F24" s="824"/>
      <c r="G24" s="825"/>
      <c r="H24" s="817"/>
      <c r="I24" s="817"/>
    </row>
    <row r="25" spans="1:9" s="826" customFormat="1" ht="19.5" customHeight="1">
      <c r="A25" s="3532"/>
      <c r="B25" s="3532"/>
      <c r="C25" s="822" t="s">
        <v>574</v>
      </c>
      <c r="D25" s="823"/>
      <c r="E25" s="821">
        <v>1.1000000000000001</v>
      </c>
      <c r="F25" s="824"/>
      <c r="G25" s="825"/>
      <c r="H25" s="817"/>
      <c r="I25" s="817"/>
    </row>
    <row r="26" spans="1:9" s="826" customFormat="1" ht="19.5" customHeight="1">
      <c r="A26" s="3532"/>
      <c r="B26" s="3532"/>
      <c r="C26" s="822" t="s">
        <v>575</v>
      </c>
      <c r="D26" s="823"/>
      <c r="E26" s="821">
        <v>1.1000000000000001</v>
      </c>
      <c r="F26" s="824"/>
      <c r="G26" s="825"/>
      <c r="H26" s="817"/>
      <c r="I26" s="817"/>
    </row>
    <row r="27" spans="1:9" s="826" customFormat="1" ht="19.5" customHeight="1">
      <c r="A27" s="3532"/>
      <c r="B27" s="3532"/>
      <c r="C27" s="822" t="s">
        <v>576</v>
      </c>
      <c r="D27" s="823"/>
      <c r="E27" s="821">
        <v>0.9</v>
      </c>
      <c r="F27" s="824" t="s">
        <v>577</v>
      </c>
      <c r="G27" s="825"/>
      <c r="H27" s="817"/>
      <c r="I27" s="817"/>
    </row>
    <row r="28" spans="1:9" s="826" customFormat="1" ht="19.5" customHeight="1">
      <c r="A28" s="3532"/>
      <c r="B28" s="3532"/>
      <c r="C28" s="822" t="s">
        <v>578</v>
      </c>
      <c r="D28" s="823"/>
      <c r="E28" s="821">
        <v>0.9</v>
      </c>
      <c r="F28" s="824" t="s">
        <v>579</v>
      </c>
      <c r="G28" s="825"/>
      <c r="H28" s="817"/>
      <c r="I28" s="817"/>
    </row>
    <row r="29" spans="1:9" s="826" customFormat="1" ht="19.5" customHeight="1">
      <c r="A29" s="3532"/>
      <c r="B29" s="3532"/>
      <c r="C29" s="822" t="s">
        <v>580</v>
      </c>
      <c r="D29" s="823"/>
      <c r="E29" s="821">
        <v>0.9</v>
      </c>
      <c r="F29" s="824" t="s">
        <v>581</v>
      </c>
      <c r="G29" s="825"/>
      <c r="H29" s="817"/>
      <c r="I29" s="817"/>
    </row>
    <row r="30" spans="1:9" s="826" customFormat="1" ht="19.5" customHeight="1">
      <c r="A30" s="3532"/>
      <c r="B30" s="3532"/>
      <c r="C30" s="822" t="s">
        <v>582</v>
      </c>
      <c r="D30" s="823"/>
      <c r="E30" s="821">
        <v>0.9</v>
      </c>
      <c r="F30" s="824" t="s">
        <v>583</v>
      </c>
      <c r="G30" s="825"/>
      <c r="H30" s="817"/>
      <c r="I30" s="817"/>
    </row>
    <row r="31" spans="1:9" s="826" customFormat="1" ht="19.5" customHeight="1">
      <c r="A31" s="3532"/>
      <c r="B31" s="3532"/>
      <c r="C31" s="822" t="s">
        <v>584</v>
      </c>
      <c r="D31" s="823"/>
      <c r="E31" s="821">
        <v>0.8</v>
      </c>
      <c r="F31" s="824" t="s">
        <v>585</v>
      </c>
      <c r="G31" s="825"/>
      <c r="H31" s="817"/>
      <c r="I31" s="817"/>
    </row>
    <row r="32" spans="1:9" s="826" customFormat="1" ht="19.5" customHeight="1">
      <c r="A32" s="3532"/>
      <c r="B32" s="3532"/>
      <c r="C32" s="822" t="s">
        <v>586</v>
      </c>
      <c r="D32" s="823"/>
      <c r="E32" s="821">
        <v>0.8</v>
      </c>
      <c r="F32" s="824" t="s">
        <v>587</v>
      </c>
      <c r="G32" s="825"/>
      <c r="H32" s="817"/>
      <c r="I32" s="817"/>
    </row>
    <row r="33" spans="1:9" s="826" customFormat="1" ht="19.5" customHeight="1">
      <c r="A33" s="3532" t="s">
        <v>185</v>
      </c>
      <c r="B33" s="821" t="s">
        <v>560</v>
      </c>
      <c r="C33" s="822" t="s">
        <v>588</v>
      </c>
      <c r="D33" s="823"/>
      <c r="E33" s="821">
        <v>1</v>
      </c>
      <c r="F33" s="824" t="s">
        <v>589</v>
      </c>
      <c r="G33" s="825"/>
      <c r="H33" s="817"/>
      <c r="I33" s="817"/>
    </row>
    <row r="34" spans="1:9" s="826" customFormat="1" ht="19.5" customHeight="1">
      <c r="A34" s="3532"/>
      <c r="B34" s="821" t="s">
        <v>563</v>
      </c>
      <c r="C34" s="822" t="s">
        <v>590</v>
      </c>
      <c r="D34" s="823"/>
      <c r="E34" s="821">
        <v>1.5</v>
      </c>
      <c r="F34" s="824" t="s">
        <v>591</v>
      </c>
      <c r="G34" s="825"/>
      <c r="H34" s="817"/>
      <c r="I34" s="817"/>
    </row>
    <row r="35" spans="1:9" s="826" customFormat="1" ht="19.5" customHeight="1">
      <c r="A35" s="3532" t="s">
        <v>186</v>
      </c>
      <c r="B35" s="821" t="s">
        <v>560</v>
      </c>
      <c r="C35" s="822" t="s">
        <v>592</v>
      </c>
      <c r="D35" s="823"/>
      <c r="E35" s="821">
        <v>1</v>
      </c>
      <c r="F35" s="824" t="s">
        <v>593</v>
      </c>
      <c r="G35" s="825"/>
      <c r="H35" s="817"/>
      <c r="I35" s="817"/>
    </row>
    <row r="36" spans="1:9" s="826" customFormat="1" ht="19.5" customHeight="1">
      <c r="A36" s="3532"/>
      <c r="B36" s="3532" t="s">
        <v>563</v>
      </c>
      <c r="C36" s="822" t="s">
        <v>594</v>
      </c>
      <c r="D36" s="823"/>
      <c r="E36" s="821">
        <v>1</v>
      </c>
      <c r="F36" s="824" t="s">
        <v>595</v>
      </c>
      <c r="G36" s="825"/>
      <c r="H36" s="817"/>
      <c r="I36" s="817"/>
    </row>
    <row r="37" spans="1:9" s="826" customFormat="1" ht="19.5" customHeight="1">
      <c r="A37" s="3532"/>
      <c r="B37" s="3532"/>
      <c r="C37" s="822" t="s">
        <v>596</v>
      </c>
      <c r="D37" s="823"/>
      <c r="E37" s="821">
        <v>1.5</v>
      </c>
      <c r="F37" s="824" t="s">
        <v>597</v>
      </c>
      <c r="G37" s="825"/>
      <c r="H37" s="817"/>
      <c r="I37" s="817"/>
    </row>
    <row r="38" spans="1:9" s="826" customFormat="1" ht="19.5" customHeight="1">
      <c r="A38" s="3532"/>
      <c r="B38" s="3532"/>
      <c r="C38" s="822" t="s">
        <v>598</v>
      </c>
      <c r="D38" s="823"/>
      <c r="E38" s="821">
        <v>1</v>
      </c>
      <c r="F38" s="824" t="s">
        <v>599</v>
      </c>
      <c r="G38" s="825"/>
      <c r="H38" s="817"/>
      <c r="I38" s="817"/>
    </row>
    <row r="39" spans="1:9" s="826" customFormat="1" ht="19.5" customHeight="1">
      <c r="A39" s="3532"/>
      <c r="B39" s="353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2" t="s">
        <v>614</v>
      </c>
      <c r="C61" s="757" t="s">
        <v>615</v>
      </c>
      <c r="D61" s="757" t="s">
        <v>616</v>
      </c>
      <c r="E61" s="834">
        <v>0.5</v>
      </c>
      <c r="F61" s="821">
        <v>80</v>
      </c>
    </row>
    <row r="62" spans="1:8" s="817" customFormat="1" ht="24">
      <c r="A62" s="821">
        <v>2</v>
      </c>
      <c r="B62" s="3532"/>
      <c r="C62" s="757" t="s">
        <v>617</v>
      </c>
      <c r="D62" s="757" t="s">
        <v>618</v>
      </c>
      <c r="E62" s="834">
        <v>0.5</v>
      </c>
      <c r="F62" s="821">
        <v>80</v>
      </c>
    </row>
    <row r="63" spans="1:8" s="817" customFormat="1" ht="36">
      <c r="A63" s="821">
        <v>3</v>
      </c>
      <c r="B63" s="3532"/>
      <c r="C63" s="757" t="s">
        <v>619</v>
      </c>
      <c r="D63" s="757" t="s">
        <v>620</v>
      </c>
      <c r="E63" s="834">
        <v>0.5</v>
      </c>
      <c r="F63" s="821">
        <v>80</v>
      </c>
    </row>
    <row r="64" spans="1:8" s="817" customFormat="1" ht="36">
      <c r="A64" s="821">
        <v>4</v>
      </c>
      <c r="B64" s="3532"/>
      <c r="C64" s="757" t="s">
        <v>621</v>
      </c>
      <c r="D64" s="757" t="s">
        <v>622</v>
      </c>
      <c r="E64" s="834">
        <v>0.4</v>
      </c>
      <c r="F64" s="821">
        <v>60</v>
      </c>
    </row>
    <row r="65" spans="1:6" s="817" customFormat="1" ht="36">
      <c r="A65" s="821">
        <v>5</v>
      </c>
      <c r="B65" s="3532"/>
      <c r="C65" s="757" t="s">
        <v>623</v>
      </c>
      <c r="D65" s="757" t="s">
        <v>624</v>
      </c>
      <c r="E65" s="834">
        <v>0.2</v>
      </c>
      <c r="F65" s="821">
        <v>30</v>
      </c>
    </row>
    <row r="66" spans="1:6" s="817" customFormat="1" ht="36">
      <c r="A66" s="821">
        <v>6</v>
      </c>
      <c r="B66" s="3532"/>
      <c r="C66" s="757" t="s">
        <v>625</v>
      </c>
      <c r="D66" s="757" t="s">
        <v>626</v>
      </c>
      <c r="E66" s="834">
        <v>0.3</v>
      </c>
      <c r="F66" s="821">
        <v>50</v>
      </c>
    </row>
    <row r="67" spans="1:6" s="817" customFormat="1" ht="36">
      <c r="A67" s="821">
        <v>7</v>
      </c>
      <c r="B67" s="3532"/>
      <c r="C67" s="757" t="s">
        <v>627</v>
      </c>
      <c r="D67" s="757" t="s">
        <v>628</v>
      </c>
      <c r="E67" s="834">
        <v>0.2</v>
      </c>
      <c r="F67" s="821">
        <v>30</v>
      </c>
    </row>
    <row r="68" spans="1:6" s="817" customFormat="1" ht="36">
      <c r="A68" s="821">
        <v>8</v>
      </c>
      <c r="B68" s="3532"/>
      <c r="C68" s="757" t="s">
        <v>629</v>
      </c>
      <c r="D68" s="757" t="s">
        <v>630</v>
      </c>
      <c r="E68" s="834">
        <v>0.2</v>
      </c>
      <c r="F68" s="821">
        <v>30</v>
      </c>
    </row>
    <row r="69" spans="1:6" s="817" customFormat="1" ht="36">
      <c r="A69" s="821">
        <v>9</v>
      </c>
      <c r="B69" s="3532"/>
      <c r="C69" s="757" t="s">
        <v>631</v>
      </c>
      <c r="D69" s="757" t="s">
        <v>632</v>
      </c>
      <c r="E69" s="834">
        <v>0.2</v>
      </c>
      <c r="F69" s="821">
        <v>30</v>
      </c>
    </row>
    <row r="70" spans="1:6" s="817" customFormat="1" ht="48">
      <c r="A70" s="821">
        <v>10</v>
      </c>
      <c r="B70" s="3532"/>
      <c r="C70" s="757" t="s">
        <v>633</v>
      </c>
      <c r="D70" s="757" t="s">
        <v>634</v>
      </c>
      <c r="E70" s="834">
        <v>0.2</v>
      </c>
      <c r="F70" s="821">
        <v>30</v>
      </c>
    </row>
    <row r="71" spans="1:6" s="817" customFormat="1" ht="48">
      <c r="A71" s="821">
        <v>11</v>
      </c>
      <c r="B71" s="3532"/>
      <c r="C71" s="757" t="s">
        <v>635</v>
      </c>
      <c r="D71" s="757" t="s">
        <v>636</v>
      </c>
      <c r="E71" s="834">
        <v>0.2</v>
      </c>
      <c r="F71" s="821">
        <v>30</v>
      </c>
    </row>
    <row r="72" spans="1:6" s="817" customFormat="1" ht="36">
      <c r="A72" s="821">
        <v>12</v>
      </c>
      <c r="B72" s="3532"/>
      <c r="C72" s="757" t="s">
        <v>637</v>
      </c>
      <c r="D72" s="757" t="s">
        <v>638</v>
      </c>
      <c r="E72" s="834">
        <v>0.5</v>
      </c>
      <c r="F72" s="821">
        <v>80</v>
      </c>
    </row>
    <row r="73" spans="1:6" s="817" customFormat="1" ht="24">
      <c r="A73" s="821">
        <v>13</v>
      </c>
      <c r="B73" s="3532"/>
      <c r="C73" s="757" t="s">
        <v>639</v>
      </c>
      <c r="D73" s="757" t="s">
        <v>640</v>
      </c>
      <c r="E73" s="834">
        <v>0.4</v>
      </c>
      <c r="F73" s="821">
        <v>60</v>
      </c>
    </row>
    <row r="74" spans="1:6" s="817" customFormat="1" ht="24">
      <c r="A74" s="821">
        <v>14</v>
      </c>
      <c r="B74" s="3532"/>
      <c r="C74" s="757" t="s">
        <v>641</v>
      </c>
      <c r="D74" s="757" t="s">
        <v>642</v>
      </c>
      <c r="E74" s="834">
        <v>0.2</v>
      </c>
      <c r="F74" s="821">
        <v>30</v>
      </c>
    </row>
    <row r="75" spans="1:6" s="817" customFormat="1" ht="24">
      <c r="A75" s="821">
        <v>15</v>
      </c>
      <c r="B75" s="3532"/>
      <c r="C75" s="757" t="s">
        <v>643</v>
      </c>
      <c r="D75" s="757" t="s">
        <v>644</v>
      </c>
      <c r="E75" s="834">
        <v>0.2</v>
      </c>
      <c r="F75" s="821">
        <v>30</v>
      </c>
    </row>
    <row r="76" spans="1:6" s="817" customFormat="1" ht="24">
      <c r="A76" s="821">
        <v>16</v>
      </c>
      <c r="B76" s="3532" t="s">
        <v>645</v>
      </c>
      <c r="C76" s="757" t="s">
        <v>646</v>
      </c>
      <c r="D76" s="757" t="s">
        <v>647</v>
      </c>
      <c r="E76" s="834">
        <v>0.5</v>
      </c>
      <c r="F76" s="821">
        <v>80</v>
      </c>
    </row>
    <row r="77" spans="1:6" s="817" customFormat="1" ht="24">
      <c r="A77" s="821">
        <v>17</v>
      </c>
      <c r="B77" s="3532"/>
      <c r="C77" s="757" t="s">
        <v>648</v>
      </c>
      <c r="D77" s="757" t="s">
        <v>649</v>
      </c>
      <c r="E77" s="834">
        <v>0.5</v>
      </c>
      <c r="F77" s="821">
        <v>80</v>
      </c>
    </row>
    <row r="78" spans="1:6" s="817" customFormat="1" ht="24">
      <c r="A78" s="821">
        <v>18</v>
      </c>
      <c r="B78" s="3532"/>
      <c r="C78" s="757" t="s">
        <v>650</v>
      </c>
      <c r="D78" s="757" t="s">
        <v>651</v>
      </c>
      <c r="E78" s="834">
        <v>0.2</v>
      </c>
      <c r="F78" s="821">
        <v>30</v>
      </c>
    </row>
    <row r="79" spans="1:6" s="817" customFormat="1" ht="24">
      <c r="A79" s="821">
        <v>19</v>
      </c>
      <c r="B79" s="3532"/>
      <c r="C79" s="757" t="s">
        <v>652</v>
      </c>
      <c r="D79" s="757" t="s">
        <v>653</v>
      </c>
      <c r="E79" s="834">
        <v>0.5</v>
      </c>
      <c r="F79" s="821">
        <v>80</v>
      </c>
    </row>
    <row r="80" spans="1:6" s="817" customFormat="1" ht="36">
      <c r="A80" s="821">
        <v>20</v>
      </c>
      <c r="B80" s="3532"/>
      <c r="C80" s="757" t="s">
        <v>654</v>
      </c>
      <c r="D80" s="757" t="s">
        <v>655</v>
      </c>
      <c r="E80" s="834">
        <v>0.2</v>
      </c>
      <c r="F80" s="821">
        <v>30</v>
      </c>
    </row>
    <row r="81" spans="1:6" s="817" customFormat="1" ht="36">
      <c r="A81" s="821">
        <v>21</v>
      </c>
      <c r="B81" s="3532"/>
      <c r="C81" s="757" t="s">
        <v>656</v>
      </c>
      <c r="D81" s="757" t="s">
        <v>657</v>
      </c>
      <c r="E81" s="834">
        <v>0.2</v>
      </c>
      <c r="F81" s="821">
        <v>30</v>
      </c>
    </row>
    <row r="82" spans="1:6" s="817" customFormat="1" ht="48">
      <c r="A82" s="821">
        <v>22</v>
      </c>
      <c r="B82" s="3532"/>
      <c r="C82" s="757" t="s">
        <v>658</v>
      </c>
      <c r="D82" s="757" t="s">
        <v>659</v>
      </c>
      <c r="E82" s="834">
        <v>0.2</v>
      </c>
      <c r="F82" s="821">
        <v>30</v>
      </c>
    </row>
    <row r="83" spans="1:6" s="817" customFormat="1" ht="48">
      <c r="A83" s="821">
        <v>23</v>
      </c>
      <c r="B83" s="3532"/>
      <c r="C83" s="757" t="s">
        <v>660</v>
      </c>
      <c r="D83" s="757" t="s">
        <v>661</v>
      </c>
      <c r="E83" s="834">
        <v>0.2</v>
      </c>
      <c r="F83" s="821">
        <v>30</v>
      </c>
    </row>
    <row r="84" spans="1:6" s="817" customFormat="1" ht="36">
      <c r="A84" s="821">
        <v>24</v>
      </c>
      <c r="B84" s="3532"/>
      <c r="C84" s="757" t="s">
        <v>662</v>
      </c>
      <c r="D84" s="757" t="s">
        <v>663</v>
      </c>
      <c r="E84" s="834">
        <v>0.2</v>
      </c>
      <c r="F84" s="821">
        <v>30</v>
      </c>
    </row>
    <row r="85" spans="1:6" s="817" customFormat="1" ht="36">
      <c r="A85" s="821">
        <v>25</v>
      </c>
      <c r="B85" s="3532"/>
      <c r="C85" s="757" t="s">
        <v>664</v>
      </c>
      <c r="D85" s="757" t="s">
        <v>665</v>
      </c>
      <c r="E85" s="834">
        <v>0.5</v>
      </c>
      <c r="F85" s="821">
        <v>80</v>
      </c>
    </row>
    <row r="86" spans="1:6" s="817" customFormat="1" ht="36">
      <c r="A86" s="821">
        <v>26</v>
      </c>
      <c r="B86" s="3532"/>
      <c r="C86" s="757" t="s">
        <v>666</v>
      </c>
      <c r="D86" s="757" t="s">
        <v>667</v>
      </c>
      <c r="E86" s="834">
        <v>0.2</v>
      </c>
      <c r="F86" s="821">
        <v>30</v>
      </c>
    </row>
    <row r="87" spans="1:6" s="817" customFormat="1" ht="36">
      <c r="A87" s="821">
        <v>27</v>
      </c>
      <c r="B87" s="3532"/>
      <c r="C87" s="757" t="s">
        <v>668</v>
      </c>
      <c r="D87" s="757" t="s">
        <v>669</v>
      </c>
      <c r="E87" s="834">
        <v>0.2</v>
      </c>
      <c r="F87" s="821">
        <v>30</v>
      </c>
    </row>
    <row r="88" spans="1:6" s="817" customFormat="1" ht="36">
      <c r="A88" s="821">
        <v>28</v>
      </c>
      <c r="B88" s="3532"/>
      <c r="C88" s="757" t="s">
        <v>670</v>
      </c>
      <c r="D88" s="757" t="s">
        <v>671</v>
      </c>
      <c r="E88" s="834">
        <v>0.2</v>
      </c>
      <c r="F88" s="821">
        <v>30</v>
      </c>
    </row>
    <row r="89" spans="1:6" s="817" customFormat="1" ht="24">
      <c r="A89" s="821">
        <v>29</v>
      </c>
      <c r="B89" s="3532"/>
      <c r="C89" s="757" t="s">
        <v>672</v>
      </c>
      <c r="D89" s="757" t="s">
        <v>673</v>
      </c>
      <c r="E89" s="834">
        <v>0.2</v>
      </c>
      <c r="F89" s="821">
        <v>30</v>
      </c>
    </row>
    <row r="90" spans="1:6" s="817" customFormat="1" ht="24">
      <c r="A90" s="821">
        <v>30</v>
      </c>
      <c r="B90" s="3532"/>
      <c r="C90" s="757" t="s">
        <v>674</v>
      </c>
      <c r="D90" s="757" t="s">
        <v>675</v>
      </c>
      <c r="E90" s="834">
        <v>0.2</v>
      </c>
      <c r="F90" s="821">
        <v>30</v>
      </c>
    </row>
    <row r="91" spans="1:6" s="817" customFormat="1" ht="36">
      <c r="A91" s="821">
        <v>31</v>
      </c>
      <c r="B91" s="3532"/>
      <c r="C91" s="757" t="s">
        <v>676</v>
      </c>
      <c r="D91" s="757" t="s">
        <v>677</v>
      </c>
      <c r="E91" s="834">
        <v>0.2</v>
      </c>
      <c r="F91" s="821">
        <v>30</v>
      </c>
    </row>
    <row r="92" spans="1:6" s="817" customFormat="1" ht="24">
      <c r="A92" s="821">
        <v>32</v>
      </c>
      <c r="B92" s="3532" t="s">
        <v>678</v>
      </c>
      <c r="C92" s="821" t="s">
        <v>679</v>
      </c>
      <c r="D92" s="757" t="s">
        <v>680</v>
      </c>
      <c r="E92" s="834">
        <v>0.2</v>
      </c>
      <c r="F92" s="821">
        <v>30</v>
      </c>
    </row>
    <row r="93" spans="1:6" s="817" customFormat="1" ht="36">
      <c r="A93" s="821">
        <v>33</v>
      </c>
      <c r="B93" s="3532"/>
      <c r="C93" s="821" t="s">
        <v>681</v>
      </c>
      <c r="D93" s="757" t="s">
        <v>682</v>
      </c>
      <c r="E93" s="834">
        <v>0.2</v>
      </c>
      <c r="F93" s="821">
        <v>30</v>
      </c>
    </row>
    <row r="94" spans="1:6" s="817" customFormat="1" ht="48">
      <c r="A94" s="821">
        <v>34</v>
      </c>
      <c r="B94" s="3532"/>
      <c r="C94" s="821" t="s">
        <v>683</v>
      </c>
      <c r="D94" s="757" t="s">
        <v>684</v>
      </c>
      <c r="E94" s="834">
        <v>0.2</v>
      </c>
      <c r="F94" s="821">
        <v>30</v>
      </c>
    </row>
    <row r="95" spans="1:6" s="817" customFormat="1" ht="36">
      <c r="A95" s="821">
        <v>35</v>
      </c>
      <c r="B95" s="3532"/>
      <c r="C95" s="821" t="s">
        <v>685</v>
      </c>
      <c r="D95" s="757" t="s">
        <v>686</v>
      </c>
      <c r="E95" s="834">
        <v>0.2</v>
      </c>
      <c r="F95" s="821">
        <v>30</v>
      </c>
    </row>
    <row r="96" spans="1:6" s="817" customFormat="1" ht="48">
      <c r="A96" s="821">
        <v>36</v>
      </c>
      <c r="B96" s="3532"/>
      <c r="C96" s="757" t="s">
        <v>687</v>
      </c>
      <c r="D96" s="757" t="s">
        <v>688</v>
      </c>
      <c r="E96" s="834">
        <v>0.2</v>
      </c>
      <c r="F96" s="821">
        <v>30</v>
      </c>
    </row>
    <row r="97" spans="1:6" s="817" customFormat="1" ht="36">
      <c r="A97" s="821">
        <v>37</v>
      </c>
      <c r="B97" s="3532"/>
      <c r="C97" s="821" t="s">
        <v>689</v>
      </c>
      <c r="D97" s="757" t="s">
        <v>690</v>
      </c>
      <c r="E97" s="834">
        <v>0.2</v>
      </c>
      <c r="F97" s="821">
        <v>30</v>
      </c>
    </row>
    <row r="98" spans="1:6" s="817" customFormat="1" ht="36">
      <c r="A98" s="821">
        <v>38</v>
      </c>
      <c r="B98" s="3532"/>
      <c r="C98" s="821" t="s">
        <v>691</v>
      </c>
      <c r="D98" s="757" t="s">
        <v>692</v>
      </c>
      <c r="E98" s="834">
        <v>0.2</v>
      </c>
      <c r="F98" s="821">
        <v>30</v>
      </c>
    </row>
    <row r="99" spans="1:6" s="817" customFormat="1" ht="36">
      <c r="A99" s="821">
        <v>39</v>
      </c>
      <c r="B99" s="3532" t="s">
        <v>693</v>
      </c>
      <c r="C99" s="821" t="s">
        <v>694</v>
      </c>
      <c r="D99" s="757" t="s">
        <v>695</v>
      </c>
      <c r="E99" s="834">
        <v>0.3</v>
      </c>
      <c r="F99" s="821">
        <v>50</v>
      </c>
    </row>
    <row r="100" spans="1:6" s="817" customFormat="1" ht="24">
      <c r="A100" s="821">
        <v>40</v>
      </c>
      <c r="B100" s="3532"/>
      <c r="C100" s="821" t="s">
        <v>696</v>
      </c>
      <c r="D100" s="757" t="s">
        <v>697</v>
      </c>
      <c r="E100" s="834">
        <v>0.2</v>
      </c>
      <c r="F100" s="821">
        <v>30</v>
      </c>
    </row>
    <row r="101" spans="1:6" s="817" customFormat="1" ht="36">
      <c r="A101" s="821">
        <v>41</v>
      </c>
      <c r="B101" s="353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2" t="s">
        <v>708</v>
      </c>
      <c r="C105" s="821" t="s">
        <v>709</v>
      </c>
      <c r="D105" s="757" t="s">
        <v>710</v>
      </c>
      <c r="E105" s="834">
        <v>0.2</v>
      </c>
      <c r="F105" s="821">
        <v>30</v>
      </c>
    </row>
    <row r="106" spans="1:6" s="817" customFormat="1" ht="36">
      <c r="A106" s="821">
        <v>46</v>
      </c>
      <c r="B106" s="3532"/>
      <c r="C106" s="821" t="s">
        <v>711</v>
      </c>
      <c r="D106" s="757" t="s">
        <v>712</v>
      </c>
      <c r="E106" s="834">
        <v>0.2</v>
      </c>
      <c r="F106" s="821">
        <v>30</v>
      </c>
    </row>
    <row r="107" spans="1:6" s="817" customFormat="1" ht="36">
      <c r="A107" s="821">
        <v>47</v>
      </c>
      <c r="B107" s="3532" t="s">
        <v>713</v>
      </c>
      <c r="C107" s="821" t="s">
        <v>714</v>
      </c>
      <c r="D107" s="757" t="s">
        <v>715</v>
      </c>
      <c r="E107" s="834">
        <v>0.3</v>
      </c>
      <c r="F107" s="821">
        <v>50</v>
      </c>
    </row>
    <row r="108" spans="1:6" s="817" customFormat="1" ht="36">
      <c r="A108" s="821">
        <v>48</v>
      </c>
      <c r="B108" s="353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2" t="s">
        <v>724</v>
      </c>
      <c r="C111" s="821" t="s">
        <v>725</v>
      </c>
      <c r="D111" s="757" t="s">
        <v>726</v>
      </c>
      <c r="E111" s="834">
        <v>0.2</v>
      </c>
      <c r="F111" s="821">
        <v>30</v>
      </c>
    </row>
    <row r="112" spans="1:6" s="817" customFormat="1" ht="24">
      <c r="A112" s="821">
        <v>52</v>
      </c>
      <c r="B112" s="3532"/>
      <c r="C112" s="821" t="s">
        <v>727</v>
      </c>
      <c r="D112" s="757" t="s">
        <v>728</v>
      </c>
      <c r="E112" s="834">
        <v>0.2</v>
      </c>
      <c r="F112" s="821">
        <v>30</v>
      </c>
    </row>
    <row r="113" spans="1:6" s="817" customFormat="1" ht="24">
      <c r="A113" s="821">
        <v>53</v>
      </c>
      <c r="B113" s="353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2" t="s">
        <v>737</v>
      </c>
      <c r="C116" s="821" t="s">
        <v>738</v>
      </c>
      <c r="D116" s="757" t="s">
        <v>739</v>
      </c>
      <c r="E116" s="834">
        <v>0.2</v>
      </c>
      <c r="F116" s="821">
        <v>30</v>
      </c>
    </row>
    <row r="117" spans="1:6" ht="36">
      <c r="A117" s="821">
        <v>57</v>
      </c>
      <c r="B117" s="353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t="e">
        <f ca="1">SUMIF(B6:B13,"&lt;&gt;#ref!",B6:B13)</f>
        <v>#DIV/0!</v>
      </c>
      <c r="C2" s="2330" t="s">
        <v>2754</v>
      </c>
      <c r="D2" s="2330" t="s">
        <v>2755</v>
      </c>
      <c r="E2" s="2807">
        <f ca="1">SUMIF(E6:E13,"&lt;&gt;#ref!",E6:E13)</f>
        <v>0</v>
      </c>
      <c r="F2" s="2993"/>
      <c r="G2" s="2993"/>
      <c r="H2" s="2993"/>
      <c r="I2" s="2993"/>
      <c r="J2" s="2993"/>
      <c r="K2" s="2993"/>
      <c r="L2" s="2993"/>
      <c r="M2" s="2993"/>
      <c r="N2" s="2993"/>
      <c r="O2" s="2993"/>
      <c r="P2" s="2993"/>
    </row>
    <row r="3" spans="1:16" ht="15.75">
      <c r="A3" s="2330" t="s">
        <v>2756</v>
      </c>
      <c r="B3" s="2797" t="e">
        <f ca="1">ROUND(B2*10000/E2,0)</f>
        <v>#DIV/0!</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t="e">
        <f ca="1">SUMIF(INDIRECT("'"&amp;A6&amp;"'"&amp;"!A:A"),"总价",INDIRECT("'"&amp;A6&amp;"'"&amp;"!B:B"))</f>
        <v>#DIV/0!</v>
      </c>
      <c r="C6" s="2330" t="s">
        <v>2754</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I6" sqref="I6:L6"/>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38" t="s">
        <v>1058</v>
      </c>
      <c r="C1" s="3538"/>
      <c r="D1" s="3538"/>
      <c r="E1" s="3538"/>
      <c r="F1" s="3538"/>
      <c r="G1" s="3537" t="s">
        <v>1059</v>
      </c>
      <c r="H1" s="3537"/>
      <c r="I1" s="3537"/>
      <c r="J1" s="3537"/>
      <c r="K1" s="3537"/>
      <c r="L1" s="3537"/>
      <c r="N1" s="3537" t="s">
        <v>1060</v>
      </c>
      <c r="O1" s="3537"/>
      <c r="P1" s="3537"/>
      <c r="Q1" s="3537"/>
      <c r="S1" s="3537" t="s">
        <v>1061</v>
      </c>
      <c r="T1" s="3537"/>
      <c r="U1" s="3537"/>
      <c r="V1" s="3537"/>
      <c r="X1" s="3536" t="s">
        <v>1062</v>
      </c>
      <c r="Y1" s="3537"/>
      <c r="Z1" s="3537"/>
      <c r="AA1" s="3537"/>
      <c r="AB1" s="3537"/>
      <c r="AD1" s="3536" t="s">
        <v>1063</v>
      </c>
      <c r="AE1" s="3537"/>
      <c r="AF1" s="3537"/>
      <c r="AG1" s="3537"/>
      <c r="AH1" s="3537"/>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34">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34"/>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34"/>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43"/>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39">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34"/>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34"/>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43"/>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39">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34"/>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34"/>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35"/>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33">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34"/>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34"/>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35"/>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33">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34"/>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34"/>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35"/>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0">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1"/>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1"/>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2"/>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33">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34"/>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34"/>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35"/>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33">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34">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34">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35">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33">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34">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34">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35">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33">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34">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34">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35">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33">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34">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34">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35">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33">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34">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34">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35">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33">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34">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34">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35">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33">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34">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34">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35">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33">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34">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34">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35">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33">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34">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34">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35">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33">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34">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34">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35">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647"/>
      <c r="B4" s="3221" t="s">
        <v>1535</v>
      </c>
      <c r="C4" s="3221"/>
      <c r="D4" s="3221"/>
      <c r="E4" s="1647"/>
    </row>
    <row r="5" spans="1:5" ht="16.5" thickTop="1">
      <c r="A5" s="1645"/>
      <c r="B5" s="3219" t="s">
        <v>1527</v>
      </c>
      <c r="C5" s="1648" t="s">
        <v>1528</v>
      </c>
      <c r="D5" s="959">
        <f ca="1">结果表!H101</f>
        <v>305869</v>
      </c>
      <c r="E5" s="1645"/>
    </row>
    <row r="6" spans="1:5" ht="15.75">
      <c r="A6" s="1645"/>
      <c r="B6" s="3219"/>
      <c r="C6" s="1648" t="s">
        <v>1529</v>
      </c>
      <c r="D6" s="959" t="str">
        <f ca="1">NUMBERSTRING(INT(D5*10000),2)&amp;"元整"</f>
        <v>叁拾亿伍仟捌佰陆拾玖万元整</v>
      </c>
      <c r="E6" s="1645"/>
    </row>
    <row r="7" spans="1:5" ht="15.75">
      <c r="A7" s="1645"/>
      <c r="B7" s="3224"/>
      <c r="C7" s="1649" t="s">
        <v>1530</v>
      </c>
      <c r="D7" s="960">
        <f ca="1">结果表!H102</f>
        <v>15820</v>
      </c>
      <c r="E7" s="1645"/>
    </row>
    <row r="8" spans="1:5" ht="15.75">
      <c r="A8" s="1645"/>
      <c r="B8" s="3225" t="str">
        <f>结果表!E103</f>
        <v>2.估价师知悉的法定优先受偿款</v>
      </c>
      <c r="C8" s="1650" t="s">
        <v>1531</v>
      </c>
      <c r="D8" s="960">
        <f>结果表!H103</f>
        <v>0</v>
      </c>
      <c r="E8" s="1645"/>
    </row>
    <row r="9" spans="1:5" ht="15.75">
      <c r="A9" s="1645"/>
      <c r="B9" s="3227"/>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18" t="str">
        <f>结果表!E107</f>
        <v>3.房地产抵押价值</v>
      </c>
      <c r="C13" s="1653" t="s">
        <v>1528</v>
      </c>
      <c r="D13" s="962">
        <f ca="1">结果表!H107</f>
        <v>305869</v>
      </c>
      <c r="E13" s="1645"/>
    </row>
    <row r="14" spans="1:5" ht="15.75">
      <c r="A14" s="1645"/>
      <c r="B14" s="3219"/>
      <c r="C14" s="1648" t="s">
        <v>1529</v>
      </c>
      <c r="D14" s="959" t="str">
        <f ca="1">NUMBERSTRING(INT(D13*10000),2)&amp;"元整"</f>
        <v>叁拾亿伍仟捌佰陆拾玖万元整</v>
      </c>
      <c r="E14" s="1645"/>
    </row>
    <row r="15" spans="1:5" ht="15">
      <c r="A15" s="1645"/>
      <c r="B15" s="3224"/>
      <c r="C15" s="1649" t="s">
        <v>1539</v>
      </c>
      <c r="D15" s="968">
        <f ca="1">结果表!H108</f>
        <v>14499</v>
      </c>
      <c r="E15" s="1645"/>
    </row>
    <row r="16" spans="1:5" ht="15">
      <c r="A16" s="1645"/>
      <c r="B16" s="3225" t="str">
        <f>结果表!E109</f>
        <v>——</v>
      </c>
      <c r="C16" s="1653" t="s">
        <v>1540</v>
      </c>
      <c r="D16" s="1654" t="str">
        <f>结果表!H109</f>
        <v>——</v>
      </c>
      <c r="E16" s="1645"/>
    </row>
    <row r="17" spans="1:5" ht="15.75">
      <c r="A17" s="1645"/>
      <c r="B17" s="3226"/>
      <c r="C17" s="1648" t="s">
        <v>1541</v>
      </c>
      <c r="D17" s="959" t="e">
        <f>NUMBERSTRING(INT(D16*10000),2)&amp;"元整"</f>
        <v>#VALUE!</v>
      </c>
      <c r="E17" s="1645"/>
    </row>
    <row r="18" spans="1:5" ht="15">
      <c r="A18" s="1645"/>
      <c r="B18" s="3227"/>
      <c r="C18" s="1649" t="s">
        <v>1530</v>
      </c>
      <c r="D18" s="968" t="str">
        <f>结果表!H110</f>
        <v>——</v>
      </c>
      <c r="E18" s="1645"/>
    </row>
    <row r="19" spans="1:5" ht="15.75">
      <c r="A19" s="1645"/>
      <c r="B19" s="3218" t="str">
        <f>结果表!E111</f>
        <v>——</v>
      </c>
      <c r="C19" s="1653" t="s">
        <v>1528</v>
      </c>
      <c r="D19" s="960" t="str">
        <f>结果表!H111</f>
        <v>——</v>
      </c>
      <c r="E19" s="1645"/>
    </row>
    <row r="20" spans="1:5" ht="15.75">
      <c r="A20" s="1645"/>
      <c r="B20" s="3219"/>
      <c r="C20" s="1648" t="s">
        <v>1541</v>
      </c>
      <c r="D20" s="959" t="e">
        <f>NUMBERSTRING(INT(D19*10000),2)&amp;"元整"</f>
        <v>#VALUE!</v>
      </c>
      <c r="E20" s="1645"/>
    </row>
    <row r="21" spans="1:5" ht="15.75" thickBot="1">
      <c r="A21" s="1645"/>
      <c r="B21" s="3220"/>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47" t="s">
        <v>2764</v>
      </c>
      <c r="D1" s="3548"/>
      <c r="E1" s="3548"/>
      <c r="F1" s="3548"/>
      <c r="G1" s="3548"/>
      <c r="H1" s="3548"/>
      <c r="I1" s="3548"/>
      <c r="J1" s="3548"/>
      <c r="K1" s="3548"/>
      <c r="L1" s="3548"/>
      <c r="M1" s="3548"/>
      <c r="N1" s="3548"/>
      <c r="O1" s="3548"/>
      <c r="P1" s="3548"/>
      <c r="Q1" s="3548"/>
      <c r="R1" s="3548"/>
      <c r="S1" s="3549"/>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44" t="s">
        <v>33</v>
      </c>
      <c r="D22" s="3545"/>
      <c r="E22" s="3545"/>
      <c r="F22" s="3545"/>
      <c r="G22" s="3545"/>
      <c r="H22" s="3545"/>
      <c r="I22" s="3545"/>
      <c r="J22" s="3545"/>
      <c r="K22" s="3545"/>
      <c r="L22" s="3545"/>
      <c r="M22" s="3545"/>
      <c r="N22" s="3545"/>
      <c r="O22" s="3545"/>
      <c r="P22" s="3545"/>
      <c r="Q22" s="3546"/>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128527</v>
      </c>
      <c r="C2" s="2" t="s">
        <v>133</v>
      </c>
      <c r="D2" s="205"/>
      <c r="E2" s="205"/>
      <c r="F2" s="205"/>
      <c r="G2" s="205"/>
    </row>
    <row r="3" spans="1:7" s="206" customFormat="1" ht="18" customHeight="1" thickBot="1">
      <c r="A3" s="209" t="s">
        <v>85</v>
      </c>
      <c r="B3" s="210">
        <f ca="1">ROUND(B2*10000/'数据-汇总表'!E3,0)</f>
        <v>6093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4008</v>
      </c>
      <c r="D10" s="954">
        <f>'数据-汇总表'!E6</f>
        <v>210956.06</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4219</v>
      </c>
      <c r="D19" s="958">
        <f>'数据-汇总表'!E3</f>
        <v>210956.06</v>
      </c>
      <c r="E19" s="217">
        <f>'数据-取费表'!B31</f>
        <v>200</v>
      </c>
      <c r="F19" s="237"/>
      <c r="G19" s="1" t="s">
        <v>1042</v>
      </c>
    </row>
    <row r="20" spans="1:7" s="220" customFormat="1" ht="13.5" customHeight="1">
      <c r="A20" s="885" t="s">
        <v>1025</v>
      </c>
      <c r="B20" s="216" t="s">
        <v>104</v>
      </c>
      <c r="C20" s="238">
        <f>ROUND((C5+C19)*F20,0)</f>
        <v>497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2151</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362</v>
      </c>
      <c r="D24" s="244"/>
      <c r="E24" s="244"/>
      <c r="F24" s="245"/>
      <c r="G24" s="246" t="s">
        <v>109</v>
      </c>
    </row>
    <row r="25" spans="1:7" s="220" customFormat="1" ht="24">
      <c r="A25" s="888" t="s">
        <v>793</v>
      </c>
      <c r="B25" s="221" t="s">
        <v>1026</v>
      </c>
      <c r="C25" s="1237">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4305</v>
      </c>
      <c r="D27" s="241">
        <f>C29</f>
        <v>3.3999999999999998E-3</v>
      </c>
      <c r="E27" s="242" t="s">
        <v>126</v>
      </c>
      <c r="F27" s="252">
        <f>'数据-取费表'!Q16</f>
        <v>0.17</v>
      </c>
      <c r="G27" s="253" t="s">
        <v>1037</v>
      </c>
    </row>
    <row r="28" spans="1:7" s="220" customFormat="1" ht="13.5" customHeight="1">
      <c r="A28" s="888" t="s">
        <v>794</v>
      </c>
      <c r="B28" s="254" t="s">
        <v>1030</v>
      </c>
      <c r="C28" s="255">
        <f>ROUND((C5+C19+C20)*F27*'数据-取费表'!B21/'数据-取费表'!B20,0)</f>
        <v>4305</v>
      </c>
      <c r="D28" s="241"/>
      <c r="E28" s="242"/>
      <c r="F28" s="252"/>
      <c r="G28" s="253"/>
    </row>
    <row r="29" spans="1:7" s="220" customFormat="1" ht="13.5" customHeight="1">
      <c r="A29" s="888" t="s">
        <v>792</v>
      </c>
      <c r="B29" s="254" t="s">
        <v>1031</v>
      </c>
      <c r="C29" s="244">
        <f>ROUND(C21*F27*'数据-取费表'!B21/'数据-取费表'!B20,4)</f>
        <v>3.3999999999999998E-3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34418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78983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71545</v>
      </c>
      <c r="D34" s="223"/>
      <c r="E34" s="226"/>
      <c r="F34" s="263">
        <f>IF('数据-取费表'!B24=0,1,'数据-取费表'!N16)</f>
        <v>1</v>
      </c>
      <c r="G34" s="225" t="s">
        <v>116</v>
      </c>
    </row>
    <row r="35" spans="1:7" ht="13.5" customHeight="1">
      <c r="A35" s="888" t="s">
        <v>796</v>
      </c>
      <c r="B35" s="221" t="s">
        <v>60</v>
      </c>
      <c r="C35" s="226">
        <f>ROUND(C34*F35,0)</f>
        <v>2146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4219</v>
      </c>
      <c r="D37" s="223">
        <f>'数据-汇总表'!E3</f>
        <v>210956.06</v>
      </c>
      <c r="E37" s="255">
        <f>'数据-取费表'!B35</f>
        <v>200</v>
      </c>
      <c r="F37" s="265"/>
      <c r="G37" s="267" t="s">
        <v>119</v>
      </c>
    </row>
    <row r="38" spans="1:7" ht="13.5" customHeight="1">
      <c r="A38" s="888" t="s">
        <v>799</v>
      </c>
      <c r="B38" s="221" t="s">
        <v>63</v>
      </c>
      <c r="C38" s="226">
        <f>ROUND(C34*F38,0)</f>
        <v>1073</v>
      </c>
      <c r="D38" s="226"/>
      <c r="E38" s="226"/>
      <c r="F38" s="265">
        <f>'数据-取费表'!B36</f>
        <v>1.4999999999999999E-2</v>
      </c>
      <c r="G38" s="225" t="s">
        <v>117</v>
      </c>
    </row>
    <row r="39" spans="1:7" s="220" customFormat="1" ht="13.5" customHeight="1">
      <c r="A39" s="885" t="s">
        <v>783</v>
      </c>
      <c r="B39" s="216" t="s">
        <v>104</v>
      </c>
      <c r="C39" s="238">
        <f>ROUND(C33*F20,0)</f>
        <v>1580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3383</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3317</v>
      </c>
      <c r="D42" s="244"/>
      <c r="E42" s="244"/>
      <c r="F42" s="245"/>
      <c r="G42" s="3411" t="s">
        <v>121</v>
      </c>
    </row>
    <row r="43" spans="1:7" ht="13.5" customHeight="1">
      <c r="A43" s="888" t="s">
        <v>792</v>
      </c>
      <c r="B43" s="221" t="s">
        <v>1032</v>
      </c>
      <c r="C43" s="244">
        <f ca="1">ROUND(IF('数据-取费表'!B22&lt;=1,C39*F22*'数据-取费表'!B21/2,C39*(POWER((1+F22),'数据-取费表'!B21/2)-1)),0)</f>
        <v>66</v>
      </c>
      <c r="D43" s="244"/>
      <c r="E43" s="244"/>
      <c r="F43" s="245"/>
      <c r="G43" s="3412"/>
    </row>
    <row r="44" spans="1:7" ht="13.5" customHeight="1">
      <c r="A44" s="888" t="s">
        <v>793</v>
      </c>
      <c r="B44" s="221" t="s">
        <v>1034</v>
      </c>
      <c r="C44" s="244">
        <f ca="1">ROUND(IF('数据-取费表'!B22&lt;=1,C40*F22*'数据-取费表'!B21/2,C40*(POWER((1+F22),'数据-取费表'!B21/2)-1)),4)</f>
        <v>8.0000000000000004E-4</v>
      </c>
      <c r="D44" s="244"/>
      <c r="E44" s="244"/>
      <c r="F44" s="245"/>
      <c r="G44" s="3413"/>
    </row>
    <row r="45" spans="1:7" s="220" customFormat="1" ht="13.5" customHeight="1">
      <c r="A45" s="885" t="s">
        <v>786</v>
      </c>
      <c r="B45" s="250" t="s">
        <v>112</v>
      </c>
      <c r="C45" s="251">
        <f>C46</f>
        <v>13696</v>
      </c>
      <c r="D45" s="241">
        <f>C47</f>
        <v>3.3999999999999998E-3</v>
      </c>
      <c r="E45" s="242" t="s">
        <v>129</v>
      </c>
      <c r="F45" s="252"/>
      <c r="G45" s="253" t="s">
        <v>1040</v>
      </c>
    </row>
    <row r="46" spans="1:7" s="220" customFormat="1" ht="13.5" customHeight="1">
      <c r="A46" s="888" t="s">
        <v>794</v>
      </c>
      <c r="B46" s="254" t="s">
        <v>1033</v>
      </c>
      <c r="C46" s="255">
        <f>ROUND((C33+C39)*F27,0)</f>
        <v>13696</v>
      </c>
      <c r="D46" s="269"/>
      <c r="E46" s="242"/>
      <c r="F46" s="252"/>
      <c r="G46" s="253"/>
    </row>
    <row r="47" spans="1:7" s="220" customFormat="1" ht="13.5" customHeight="1">
      <c r="A47" s="888" t="s">
        <v>792</v>
      </c>
      <c r="B47" s="254" t="s">
        <v>1035</v>
      </c>
      <c r="C47" s="244">
        <f>ROUND(C40*F27,4)</f>
        <v>3.3999999999999998E-3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105740</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94109</v>
      </c>
      <c r="D51" s="238"/>
      <c r="E51" s="238"/>
      <c r="F51" s="270"/>
      <c r="G51" s="240" t="s">
        <v>64</v>
      </c>
    </row>
    <row r="52" spans="1:7" s="214" customFormat="1" ht="16.5" thickBot="1">
      <c r="A52" s="271" t="s">
        <v>65</v>
      </c>
      <c r="B52" s="272"/>
      <c r="C52" s="273">
        <f ca="1">C31+C51</f>
        <v>128527</v>
      </c>
      <c r="D52" s="272"/>
      <c r="E52" s="272"/>
      <c r="F52" s="272"/>
      <c r="G52" s="274"/>
    </row>
    <row r="55" spans="1:7" ht="15">
      <c r="B55" s="276" t="s">
        <v>66</v>
      </c>
      <c r="C55" s="277"/>
    </row>
    <row r="56" spans="1:7">
      <c r="B56" s="279" t="s">
        <v>67</v>
      </c>
      <c r="C56" s="280">
        <f ca="1">ROUND(C51/C52,3)</f>
        <v>0.73199999999999998</v>
      </c>
    </row>
    <row r="57" spans="1:7">
      <c r="B57" s="279" t="s">
        <v>68</v>
      </c>
      <c r="C57" s="281">
        <f ca="1">1-C56</f>
        <v>0.26800000000000002</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0" t="s">
        <v>156</v>
      </c>
      <c r="B1" s="3550"/>
      <c r="C1" s="3550"/>
      <c r="D1" s="3550"/>
      <c r="E1" s="3550"/>
      <c r="F1" s="355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1" t="s">
        <v>169</v>
      </c>
      <c r="B2" s="3551"/>
      <c r="C2" s="3551"/>
      <c r="D2" s="3551"/>
      <c r="E2" s="3551"/>
      <c r="F2" s="355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0" t="s">
        <v>839</v>
      </c>
      <c r="B1" s="355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44662</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37" t="str">
        <f>IF(项目基本情况!B9="房地产市场价值","估价结果一览表","结果表-2")</f>
        <v>结果表-2</v>
      </c>
      <c r="B1" s="3237"/>
      <c r="C1" s="3237"/>
      <c r="D1" s="3237"/>
      <c r="E1" s="3237"/>
      <c r="F1" s="3237"/>
      <c r="G1" s="3237"/>
      <c r="H1" s="3237"/>
      <c r="I1" s="3237"/>
    </row>
    <row r="2" spans="1:9" ht="30" customHeight="1" thickTop="1">
      <c r="A2" s="3238" t="s">
        <v>1546</v>
      </c>
      <c r="B2" s="3238" t="s">
        <v>1547</v>
      </c>
      <c r="C2" s="3238" t="s">
        <v>1548</v>
      </c>
      <c r="D2" s="3238" t="str">
        <f>结果表!D116</f>
        <v>出让国有建设用地使用权价值</v>
      </c>
      <c r="E2" s="3238"/>
      <c r="F2" s="3238" t="str">
        <f>结果表!F116</f>
        <v>在建建筑物价值</v>
      </c>
      <c r="G2" s="3238"/>
      <c r="H2" s="3238" t="str">
        <f>IF(项目基本情况!B9="房地产市场价值","房地产市场价值","房地产价值")</f>
        <v>房地产价值</v>
      </c>
      <c r="I2" s="3238"/>
    </row>
    <row r="3" spans="1:9" ht="15">
      <c r="A3" s="3232"/>
      <c r="B3" s="3232"/>
      <c r="C3" s="3232"/>
      <c r="D3" s="963" t="s">
        <v>1543</v>
      </c>
      <c r="E3" s="963" t="s">
        <v>1549</v>
      </c>
      <c r="F3" s="963" t="s">
        <v>1543</v>
      </c>
      <c r="G3" s="963" t="s">
        <v>1544</v>
      </c>
      <c r="H3" s="963" t="s">
        <v>1543</v>
      </c>
      <c r="I3" s="963" t="s">
        <v>1544</v>
      </c>
    </row>
    <row r="4" spans="1:9" ht="15">
      <c r="A4" s="1659" t="str">
        <f>项目基本情况!S2</f>
        <v>北京市房地产</v>
      </c>
      <c r="B4" s="963">
        <f>项目基本情况!C17</f>
        <v>210956.06</v>
      </c>
      <c r="C4" s="963">
        <f>项目基本情况!C18</f>
        <v>55191.78</v>
      </c>
      <c r="D4" s="963">
        <f ca="1">结果表!D118</f>
        <v>232155</v>
      </c>
      <c r="E4" s="963">
        <f ca="1">结果表!E118</f>
        <v>12007</v>
      </c>
      <c r="F4" s="963">
        <f ca="1">结果表!F118</f>
        <v>73714</v>
      </c>
      <c r="G4" s="963">
        <f ca="1">结果表!G118</f>
        <v>3813</v>
      </c>
      <c r="H4" s="963">
        <f ca="1">结果表!H118</f>
        <v>305869</v>
      </c>
      <c r="I4" s="963">
        <f ca="1">结果表!I118</f>
        <v>15820</v>
      </c>
    </row>
    <row r="5" spans="1:9" ht="30" customHeight="1">
      <c r="A5" s="3232" t="s">
        <v>1545</v>
      </c>
      <c r="B5" s="3232"/>
      <c r="C5" s="3232"/>
      <c r="D5" s="3233" t="str">
        <f ca="1">结果表!D119</f>
        <v>贰拾叁亿贰仟壹佰伍拾伍万元整</v>
      </c>
      <c r="E5" s="3233"/>
      <c r="F5" s="3233" t="str">
        <f ca="1">结果表!F119</f>
        <v>柒亿叁仟柒佰壹拾肆万元整</v>
      </c>
      <c r="G5" s="3233"/>
      <c r="H5" s="3233" t="str">
        <f ca="1">结果表!H119</f>
        <v>叁拾亿伍仟捌佰陆拾玖万元整</v>
      </c>
      <c r="I5" s="3233"/>
    </row>
    <row r="6" spans="1:9" ht="15.75">
      <c r="A6" s="3231" t="str">
        <f>结果表!A120</f>
        <v>估价师知悉的法定优先受偿款</v>
      </c>
      <c r="B6" s="3231"/>
      <c r="C6" s="3231"/>
      <c r="D6" s="3231">
        <f>结果表!D120</f>
        <v>0</v>
      </c>
      <c r="E6" s="3231"/>
      <c r="F6" s="3231"/>
      <c r="G6" s="3231"/>
      <c r="H6" s="3231"/>
      <c r="I6" s="3231"/>
    </row>
    <row r="7" spans="1:9" ht="15">
      <c r="A7" s="3232" t="s">
        <v>1545</v>
      </c>
      <c r="B7" s="3232"/>
      <c r="C7" s="3232"/>
      <c r="D7" s="3234" t="str">
        <f>结果表!D121</f>
        <v>零元整</v>
      </c>
      <c r="E7" s="3235"/>
      <c r="F7" s="3235"/>
      <c r="G7" s="3235"/>
      <c r="H7" s="3235"/>
      <c r="I7" s="3236"/>
    </row>
    <row r="8" spans="1:9" ht="15.75">
      <c r="A8" s="3231" t="str">
        <f>结果表!A122</f>
        <v>房地产抵押价值</v>
      </c>
      <c r="B8" s="3231"/>
      <c r="C8" s="3231"/>
      <c r="D8" s="3231">
        <f ca="1">结果表!D122</f>
        <v>305869</v>
      </c>
      <c r="E8" s="3231"/>
      <c r="F8" s="3231"/>
      <c r="G8" s="3231"/>
      <c r="H8" s="3231"/>
      <c r="I8" s="3231"/>
    </row>
    <row r="9" spans="1:9" ht="15">
      <c r="A9" s="3232" t="s">
        <v>1545</v>
      </c>
      <c r="B9" s="3232"/>
      <c r="C9" s="3232"/>
      <c r="D9" s="3233" t="str">
        <f ca="1">结果表!D123</f>
        <v>叁拾亿伍仟捌佰陆拾玖万元整</v>
      </c>
      <c r="E9" s="3233"/>
      <c r="F9" s="3233"/>
      <c r="G9" s="3233"/>
      <c r="H9" s="3233"/>
      <c r="I9" s="3233"/>
    </row>
    <row r="10" spans="1:9" ht="15.75">
      <c r="A10" s="3231" t="str">
        <f>结果表!A124</f>
        <v/>
      </c>
      <c r="B10" s="3231"/>
      <c r="C10" s="3231"/>
      <c r="D10" s="3231" t="str">
        <f>结果表!D124</f>
        <v>——</v>
      </c>
      <c r="E10" s="3231"/>
      <c r="F10" s="3231"/>
      <c r="G10" s="3231"/>
      <c r="H10" s="3231"/>
      <c r="I10" s="3231"/>
    </row>
    <row r="11" spans="1:9" ht="15">
      <c r="A11" s="3232" t="s">
        <v>1545</v>
      </c>
      <c r="B11" s="3232"/>
      <c r="C11" s="3232"/>
      <c r="D11" s="3233" t="e">
        <f>结果表!D125</f>
        <v>#VALUE!</v>
      </c>
      <c r="E11" s="3233"/>
      <c r="F11" s="3233"/>
      <c r="G11" s="3233"/>
      <c r="H11" s="3233"/>
      <c r="I11" s="3233"/>
    </row>
    <row r="12" spans="1:9" ht="15.75">
      <c r="A12" s="3231" t="str">
        <f>结果表!A126</f>
        <v/>
      </c>
      <c r="B12" s="3231"/>
      <c r="C12" s="3231"/>
      <c r="D12" s="3231" t="str">
        <f>结果表!D126</f>
        <v>——</v>
      </c>
      <c r="E12" s="3231"/>
      <c r="F12" s="3231"/>
      <c r="G12" s="3231"/>
      <c r="H12" s="3231"/>
      <c r="I12" s="3231"/>
    </row>
    <row r="13" spans="1:9" ht="15.75" thickBot="1">
      <c r="A13" s="3228" t="s">
        <v>1545</v>
      </c>
      <c r="B13" s="3228"/>
      <c r="C13" s="3228"/>
      <c r="D13" s="3229" t="e">
        <f>结果表!D127</f>
        <v>#VALUE!</v>
      </c>
      <c r="E13" s="3229"/>
      <c r="F13" s="3229"/>
      <c r="G13" s="3229"/>
      <c r="H13" s="3229"/>
      <c r="I13" s="3229"/>
    </row>
    <row r="14" spans="1:9" ht="15" thickTop="1">
      <c r="A14" s="3230" t="s">
        <v>1550</v>
      </c>
      <c r="B14" s="3230"/>
      <c r="C14" s="3230"/>
      <c r="D14" s="3230"/>
      <c r="E14" s="3230"/>
      <c r="F14" s="3230"/>
      <c r="G14" s="3230"/>
      <c r="H14" s="3230"/>
      <c r="I14" s="3230"/>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45" t="s">
        <v>1567</v>
      </c>
      <c r="B1" s="3245"/>
      <c r="C1" s="3245"/>
      <c r="D1" s="3245"/>
    </row>
    <row r="2" spans="1:4" ht="18">
      <c r="A2" s="3246" t="s">
        <v>1551</v>
      </c>
      <c r="B2" s="3246"/>
      <c r="C2" s="3246"/>
      <c r="D2" s="3246"/>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46" t="s">
        <v>1557</v>
      </c>
      <c r="B6" s="3246"/>
      <c r="C6" s="3246"/>
      <c r="D6" s="3246"/>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47" t="s">
        <v>1560</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39" t="str">
        <f>IF(项目基本情况!B8="抵押","4.本次评估估价师所知悉的法定优先受偿款情况说明如下：","——")</f>
        <v>4.本次评估估价师所知悉的法定优先受偿款情况说明如下：</v>
      </c>
      <c r="B14" s="3244"/>
      <c r="C14" s="3244"/>
      <c r="D14" s="3244"/>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1" t="s">
        <v>1561</v>
      </c>
      <c r="B16" s="3241"/>
      <c r="C16" s="3241"/>
      <c r="D16" s="3241"/>
    </row>
    <row r="17" spans="1:4" ht="144" customHeight="1">
      <c r="A17" s="3241" t="s">
        <v>1562</v>
      </c>
      <c r="B17" s="3241"/>
      <c r="C17" s="3241"/>
      <c r="D17" s="3241"/>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9"/>
      <c r="C20" s="3239"/>
      <c r="D20" s="3239"/>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1563</v>
      </c>
      <c r="B22" s="3243"/>
      <c r="C22" s="3243"/>
      <c r="D22" s="3243"/>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53" t="s">
        <v>1574</v>
      </c>
      <c r="B15" s="3248" t="s">
        <v>136</v>
      </c>
      <c r="C15" s="3249"/>
    </row>
    <row r="16" spans="1:7" ht="13.5">
      <c r="A16" s="3254"/>
      <c r="B16" s="3248" t="s">
        <v>69</v>
      </c>
      <c r="C16" s="3249"/>
    </row>
    <row r="17" spans="1:3" ht="13.5">
      <c r="A17" s="3254"/>
      <c r="B17" s="3251" t="s">
        <v>1575</v>
      </c>
      <c r="C17" s="1686" t="s">
        <v>1574</v>
      </c>
    </row>
    <row r="18" spans="1:3" ht="13.5">
      <c r="A18" s="3254"/>
      <c r="B18" s="3251"/>
      <c r="C18" s="1686" t="s">
        <v>1576</v>
      </c>
    </row>
    <row r="19" spans="1:3" ht="13.5">
      <c r="A19" s="3254"/>
      <c r="B19" s="3251"/>
      <c r="C19" s="1686" t="s">
        <v>1577</v>
      </c>
    </row>
    <row r="20" spans="1:3" ht="13.5">
      <c r="A20" s="3255"/>
      <c r="B20" s="3250" t="s">
        <v>1578</v>
      </c>
      <c r="C20" s="3249"/>
    </row>
    <row r="21" spans="1:3" ht="13.5">
      <c r="A21" s="1687" t="s">
        <v>1579</v>
      </c>
      <c r="B21" s="1688"/>
      <c r="C21" s="1689"/>
    </row>
    <row r="22" spans="1:3" ht="13.5">
      <c r="A22" s="3252" t="s">
        <v>1580</v>
      </c>
      <c r="B22" s="3250" t="s">
        <v>1581</v>
      </c>
      <c r="C22" s="3249"/>
    </row>
    <row r="23" spans="1:3" ht="13.5">
      <c r="A23" s="3252"/>
      <c r="B23" s="3250" t="s">
        <v>1582</v>
      </c>
      <c r="C23" s="3249"/>
    </row>
    <row r="24" spans="1:3" ht="13.5">
      <c r="A24" s="3252"/>
      <c r="B24" s="3250" t="s">
        <v>1583</v>
      </c>
      <c r="C24" s="3249"/>
    </row>
    <row r="25" spans="1:3" ht="13.5">
      <c r="A25" s="3252"/>
      <c r="B25" s="3251" t="s">
        <v>1584</v>
      </c>
      <c r="C25" s="1686" t="s">
        <v>1585</v>
      </c>
    </row>
    <row r="26" spans="1:3" ht="13.5">
      <c r="A26" s="3252"/>
      <c r="B26" s="3251"/>
      <c r="C26" s="1686" t="s">
        <v>1586</v>
      </c>
    </row>
    <row r="27" spans="1:3" ht="13.5">
      <c r="A27" s="3252"/>
      <c r="B27" s="3251"/>
      <c r="C27" s="1686" t="s">
        <v>1587</v>
      </c>
    </row>
    <row r="28" spans="1:3" ht="13.5">
      <c r="A28" s="3252"/>
      <c r="B28" s="3251"/>
      <c r="C28" s="1686" t="s">
        <v>1588</v>
      </c>
    </row>
    <row r="29" spans="1:3" ht="13.5">
      <c r="A29" s="3252"/>
      <c r="B29" s="3251"/>
      <c r="C29" s="1686" t="s">
        <v>1589</v>
      </c>
    </row>
    <row r="30" spans="1:3" ht="13.5">
      <c r="A30" s="3252"/>
      <c r="B30" s="3251"/>
      <c r="C30" s="1686" t="s">
        <v>1590</v>
      </c>
    </row>
    <row r="31" spans="1:3" ht="13.5">
      <c r="A31" s="3252"/>
      <c r="B31" s="3251"/>
      <c r="C31" s="1686" t="s">
        <v>1591</v>
      </c>
    </row>
    <row r="32" spans="1:3" ht="13.5">
      <c r="A32" s="3252"/>
      <c r="B32" s="3251"/>
      <c r="C32" s="1686" t="s">
        <v>1592</v>
      </c>
    </row>
    <row r="33" spans="1:3" ht="13.5">
      <c r="A33" s="3252"/>
      <c r="B33" s="3251"/>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44663</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56" t="s">
        <v>2841</v>
      </c>
      <c r="B17" s="3256"/>
      <c r="C17" s="3256"/>
      <c r="D17" s="3256"/>
      <c r="E17" s="3256"/>
      <c r="F17" s="3256"/>
      <c r="G17" s="3256"/>
      <c r="H17" s="3256"/>
    </row>
    <row r="18" spans="1:8" ht="24" customHeight="1">
      <c r="A18" s="3257" t="s">
        <v>2842</v>
      </c>
      <c r="B18" s="3257"/>
      <c r="C18" s="3257"/>
      <c r="D18" s="2535"/>
      <c r="E18" s="3258" t="s">
        <v>2843</v>
      </c>
      <c r="F18" s="3257"/>
      <c r="G18" s="3257"/>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2022-04-12T05:53:35Z</dcterms:modified>
</cp:coreProperties>
</file>