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0873-加二\"/>
    </mc:Choice>
  </mc:AlternateContent>
  <bookViews>
    <workbookView xWindow="14025" yWindow="150" windowWidth="14580" windowHeight="1230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地上" sheetId="80" r:id="rId14"/>
    <sheet name="地下"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5" r:id="rId24"/>
    <sheet name="基准地价修正-商业" sheetId="43" r:id="rId25"/>
    <sheet name="基准地价修正-办公" sheetId="86" r:id="rId26"/>
    <sheet name="假设开发法" sheetId="12" r:id="rId27"/>
    <sheet name="收益法-办公" sheetId="15" r:id="rId28"/>
    <sheet name="收益法-商业" sheetId="82" r:id="rId29"/>
    <sheet name="收益法-车位" sheetId="83"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26">假设开发法!$A$1:$K$32</definedName>
    <definedName name="_xlnm.Print_Area" localSheetId="19">结果表!$A$1:$I$127</definedName>
    <definedName name="_xlnm.Print_Area" localSheetId="30">'收益法 (元)'!$A$1:$F$43,'收益法 (元)'!$H$3:$M$29,'收益法 (元)'!$A$45:$F$71,'收益法 (元)'!$I$46:$N$65</definedName>
    <definedName name="_xlnm.Print_Area" localSheetId="32">'收益法（汇总）'!$A$1:$F$13</definedName>
    <definedName name="_xlnm.Print_Area" localSheetId="27">'收益法-办公'!$A$1:$F$43,'收益法-办公'!$H$3:$M$29,'收益法-办公'!$A$46:$F$71,'收益法-办公'!$I$46:$N$65</definedName>
    <definedName name="_xlnm.Print_Area" localSheetId="29">'收益法-车位'!$A$1:$F$43,'收益法-车位'!$H$3:$M$29,'收益法-车位'!$A$46:$F$71,'收益法-车位'!$I$46:$N$65</definedName>
    <definedName name="_xlnm.Print_Area" localSheetId="28">'收益法-商业'!$A$1:$F$43,'收益法-商业'!$H$3:$M$29,'收益法-商业'!$A$46:$F$71,'收益法-商业'!$I$46:$N$65</definedName>
    <definedName name="_xlnm.Print_Area" localSheetId="15">'数据-汇总表'!$A$1:$P$32</definedName>
    <definedName name="_xlnm.Print_Area" localSheetId="39">'土地比较法-工业'!$A$1:$K$61,'土地比较法-工业'!$A$64:$M$121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4">'[1]比较法-办公'!$B$119:$M$119</definedName>
    <definedName name="办公层高">'比较法-办公'!$B$119:$M$119</definedName>
    <definedName name="办公朝向" localSheetId="13">'[1]比较法-办公'!$B$91:$M$91</definedName>
    <definedName name="办公朝向" localSheetId="14">'[1]比较法-办公'!$B$91:$M$91</definedName>
    <definedName name="办公朝向">'比较法-办公'!$B$91:$M$91</definedName>
    <definedName name="办公道路级别" localSheetId="13">'[1]比较法-办公'!$B$87:$M$87</definedName>
    <definedName name="办公道路级别" localSheetId="14">'[1]比较法-办公'!$B$87:$M$87</definedName>
    <definedName name="办公道路级别">'比较法-办公'!$B$87:$M$87</definedName>
    <definedName name="办公公共部分装修" localSheetId="13">'[1]比较法-办公'!$B$108:$M$108</definedName>
    <definedName name="办公公共部分装修" localSheetId="14">'[1]比较法-办公'!$B$108:$M$108</definedName>
    <definedName name="办公公共部分装修">'比较法-办公'!$B$108:$M$108</definedName>
    <definedName name="办公基础设施水平" localSheetId="13">'[1]比较法-办公'!$B$117:$M$117</definedName>
    <definedName name="办公基础设施水平" localSheetId="14">'[1]比较法-办公'!$B$117:$M$117</definedName>
    <definedName name="办公基础设施水平">'比较法-办公'!$B$117:$M$117</definedName>
    <definedName name="办公集聚程度" localSheetId="13">[1]定义!$M$1:$M$6</definedName>
    <definedName name="办公集聚程度" localSheetId="14">[1]定义!$M$1:$M$6</definedName>
    <definedName name="办公集聚程度">定义!$M$1:$M$6</definedName>
    <definedName name="办公建筑结构" localSheetId="13">'[1]比较法-办公'!$B$106:$M$106</definedName>
    <definedName name="办公建筑结构" localSheetId="14">'[1]比较法-办公'!$B$106:$M$106</definedName>
    <definedName name="办公建筑结构">'比较法-办公'!$B$106:$M$106</definedName>
    <definedName name="办公建筑类型" localSheetId="13">'[1]比较法-办公'!$B$101:$M$101</definedName>
    <definedName name="办公建筑类型" localSheetId="14">'[1]比较法-办公'!$B$101:$M$101</definedName>
    <definedName name="办公建筑类型">'比较法-办公'!$B$101:$M$101</definedName>
    <definedName name="办公交易情况" localSheetId="13">'[1]比较法-办公'!$A$62:$M$62</definedName>
    <definedName name="办公交易情况" localSheetId="14">'[1]比较法-办公'!$A$62:$M$62</definedName>
    <definedName name="办公交易情况">'比较法-办公'!$A$62:$M$62</definedName>
    <definedName name="办公楼层" localSheetId="13">'[1]比较法-办公'!$B$89:$M$89</definedName>
    <definedName name="办公楼层" localSheetId="14">'[1]比较法-办公'!$B$89:$M$89</definedName>
    <definedName name="办公楼层">'比较法-办公'!$B$89:$M$89</definedName>
    <definedName name="办公内部装修" localSheetId="13">'[1]比较法-办公'!$B$123:$M$123</definedName>
    <definedName name="办公内部装修" localSheetId="14">'[1]比较法-办公'!$B$123:$M$123</definedName>
    <definedName name="办公内部装修">'比较法-办公'!$B$123:$M$123</definedName>
    <definedName name="办公物业管理" localSheetId="13">'[1]比较法-办公'!$B$115:$M$115</definedName>
    <definedName name="办公物业管理" localSheetId="14">'[1]比较法-办公'!$B$115:$M$115</definedName>
    <definedName name="办公物业管理">'比较法-办公'!$B$115:$M$115</definedName>
    <definedName name="办公用途" localSheetId="13">'[1]比较法-办公'!$B$64:$M$64</definedName>
    <definedName name="办公用途" localSheetId="14">'[1]比较法-办公'!$B$64:$M$64</definedName>
    <definedName name="办公用途">'比较法-办公'!$B$64:$M$64</definedName>
    <definedName name="仓储公共部分装修" localSheetId="13">'[1]比较法-仓储'!$B$77:$M$77</definedName>
    <definedName name="仓储公共部分装修" localSheetId="14">'[1]比较法-仓储'!$B$77:$M$77</definedName>
    <definedName name="仓储公共部分装修">'比较法-仓储'!$B$77:$M$77</definedName>
    <definedName name="仓储交易情况" localSheetId="13">'[1]比较法-仓储'!$A$49:$M$49</definedName>
    <definedName name="仓储交易情况" localSheetId="14">'[1]比较法-仓储'!$A$49:$M$49</definedName>
    <definedName name="仓储交易情况">'比较法-仓储'!$A$49:$M$49</definedName>
    <definedName name="仓储楼层" localSheetId="13">'[1]比较法-仓储'!$B$69:$M$69</definedName>
    <definedName name="仓储楼层" localSheetId="14">'[1]比较法-仓储'!$B$69:$M$69</definedName>
    <definedName name="仓储楼层">'比较法-仓储'!$B$69:$M$69</definedName>
    <definedName name="仓储物业等级" localSheetId="13">'[1]比较法-仓储'!$B$82:$M$82</definedName>
    <definedName name="仓储物业等级" localSheetId="14">'[1]比较法-仓储'!$B$82:$M$82</definedName>
    <definedName name="仓储物业等级">'比较法-仓储'!$B$82:$M$82</definedName>
    <definedName name="仓储用途" localSheetId="13">'[1]比较法-仓储'!$B$51:$M$51</definedName>
    <definedName name="仓储用途" localSheetId="14">'[1]比较法-仓储'!$B$51:$M$51</definedName>
    <definedName name="仓储用途">'比较法-仓储'!$B$51:$M$51</definedName>
    <definedName name="产业集聚程度" localSheetId="13">[1]定义!$N$1:$N$6</definedName>
    <definedName name="产业集聚程度" localSheetId="14">[1]定义!$N$1:$N$6</definedName>
    <definedName name="产业集聚程度">定义!$N$1:$N$6</definedName>
    <definedName name="车位公共部分装修" localSheetId="13">'[1]比较法-车位'!$B$83:$M$83</definedName>
    <definedName name="车位公共部分装修" localSheetId="14">'[1]比较法-车位'!$B$83:$M$83</definedName>
    <definedName name="车位公共部分装修">'比较法-车位'!$B$83:$M$83</definedName>
    <definedName name="车位交易情况" localSheetId="13">'[1]比较法-车位'!$A$51:$M$51</definedName>
    <definedName name="车位交易情况" localSheetId="14">'[1]比较法-车位'!$A$51:$M$51</definedName>
    <definedName name="车位交易情况">'比较法-车位'!$A$51:$M$51</definedName>
    <definedName name="车位类型" localSheetId="13">'[1]比较法-车位'!$B$93:$M$93</definedName>
    <definedName name="车位类型" localSheetId="14">'[1]比较法-车位'!$B$93:$M$93</definedName>
    <definedName name="车位类型">'比较法-车位'!$B$93:$M$93</definedName>
    <definedName name="车位楼层" localSheetId="13">'[1]比较法-车位'!$B$71:$M$71</definedName>
    <definedName name="车位楼层" localSheetId="14">'[1]比较法-车位'!$B$71:$M$71</definedName>
    <definedName name="车位楼层">'比较法-车位'!$B$71:$M$71</definedName>
    <definedName name="车位配套类型" localSheetId="13">'[1]比较法-车位'!$B$79:$M$79</definedName>
    <definedName name="车位配套类型" localSheetId="14">'[1]比较法-车位'!$B$79:$M$79</definedName>
    <definedName name="车位配套类型">'比较法-车位'!$B$79:$M$79</definedName>
    <definedName name="车位物业等级" localSheetId="13">'[1]比较法-车位'!$B$88:$M$88</definedName>
    <definedName name="车位物业等级" localSheetId="14">'[1]比较法-车位'!$B$88:$M$88</definedName>
    <definedName name="车位物业等级">'比较法-车位'!$B$88:$M$88</definedName>
    <definedName name="车位用途" localSheetId="13">'[1]比较法-车位'!$B$53:$M$53</definedName>
    <definedName name="车位用途" localSheetId="14">'[1]比较法-车位'!$B$53:$M$53</definedName>
    <definedName name="车位用途">'比较法-车位'!$B$53:$M$53</definedName>
    <definedName name="城镇土地纳税等级分级范围" localSheetId="13">'[1]数据-取费表'!$A$53:$A$63</definedName>
    <definedName name="城镇土地纳税等级分级范围" localSheetId="14">'[1]数据-取费表'!$A$53:$A$63</definedName>
    <definedName name="城镇土地纳税等级分级范围">'数据-取费表'!$A$53:$A$63</definedName>
    <definedName name="单价内涵" localSheetId="13">[1]定义!$V$1:$V$3</definedName>
    <definedName name="单价内涵" localSheetId="14">[1]定义!$V$1:$V$3</definedName>
    <definedName name="单价内涵">定义!$V$1:$V$3</definedName>
    <definedName name="地类判定" localSheetId="13">[1]定义!$H$1:$H$9</definedName>
    <definedName name="地类判定" localSheetId="14">[1]定义!$H$1:$H$9</definedName>
    <definedName name="地类判定">定义!$H$1:$H$9</definedName>
    <definedName name="二级">区片价!$J$1:$J$21</definedName>
    <definedName name="二级分类" localSheetId="13">[1]修正!$C$19:$C$51</definedName>
    <definedName name="二级分类" localSheetId="14">[1]修正!$C$19:$C$51</definedName>
    <definedName name="二级分类">修正!$C$19:$C$51</definedName>
    <definedName name="法定最高年限" localSheetId="13">[1]定义!$G$1:$G$6</definedName>
    <definedName name="法定最高年限" localSheetId="14">[1]定义!$G$1:$G$6</definedName>
    <definedName name="法定最高年限">定义!$G$1:$G$6</definedName>
    <definedName name="工业公共部分装修" localSheetId="13">'[1]比较法-工业'!$B$95:$M$95</definedName>
    <definedName name="工业公共部分装修" localSheetId="14">'[1]比较法-工业'!$B$95:$M$95</definedName>
    <definedName name="工业公共部分装修">'比较法-工业'!$B$95:$M$95</definedName>
    <definedName name="工业基础设施水平" localSheetId="13">'[1]比较法-工业'!$B$102:$M$102</definedName>
    <definedName name="工业基础设施水平" localSheetId="14">'[1]比较法-工业'!$B$102:$M$102</definedName>
    <definedName name="工业基础设施水平">'比较法-工业'!$B$102:$M$102</definedName>
    <definedName name="工业建筑结构" localSheetId="13">'[1]比较法-工业'!$B$93:$M$93</definedName>
    <definedName name="工业建筑结构" localSheetId="14">'[1]比较法-工业'!$B$93:$M$93</definedName>
    <definedName name="工业建筑结构">'比较法-工业'!$B$93:$M$93</definedName>
    <definedName name="工业建筑类型" localSheetId="13">'[1]比较法-工业'!$B$88:$M$88</definedName>
    <definedName name="工业建筑类型" localSheetId="14">'[1]比较法-工业'!$B$88:$M$88</definedName>
    <definedName name="工业建筑类型">'比较法-工业'!$B$88:$M$88</definedName>
    <definedName name="工业交易情况" localSheetId="13">'[1]比较法-工业'!$A$55:$M$55</definedName>
    <definedName name="工业交易情况" localSheetId="14">'[1]比较法-工业'!$A$55:$M$55</definedName>
    <definedName name="工业交易情况">'比较法-工业'!$A$55:$M$55</definedName>
    <definedName name="工业内部装修" localSheetId="13">'[1]比较法-工业'!$B$104:$M$104</definedName>
    <definedName name="工业内部装修" localSheetId="14">'[1]比较法-工业'!$B$104:$M$104</definedName>
    <definedName name="工业内部装修">'比较法-工业'!$B$104:$M$104</definedName>
    <definedName name="工业物业管理" localSheetId="13">'[1]比较法-工业'!$B$100:$M$100</definedName>
    <definedName name="工业物业管理" localSheetId="14">'[1]比较法-工业'!$B$100:$M$100</definedName>
    <definedName name="工业物业管理">'比较法-工业'!$B$100:$M$100</definedName>
    <definedName name="工业用途" localSheetId="13">'[1]比较法-工业'!$B$57:$M$57</definedName>
    <definedName name="工业用途" localSheetId="14">'[1]比较法-工业'!$B$57:$M$57</definedName>
    <definedName name="工业用途">'比较法-工业'!$B$57:$M$57</definedName>
    <definedName name="公共配套设施" localSheetId="13">[1]定义!$Q$1:$Q$6</definedName>
    <definedName name="公共配套设施" localSheetId="14">[1]定义!$Q$1:$Q$6</definedName>
    <definedName name="公共配套设施">定义!$Q$1:$Q$6</definedName>
    <definedName name="估价范围判定" localSheetId="13">[1]定义!$D$1:$D$4</definedName>
    <definedName name="估价范围判定" localSheetId="14">[1]定义!$D$1:$D$4</definedName>
    <definedName name="估价范围判定">定义!$D$1:$D$4</definedName>
    <definedName name="估价方法" localSheetId="13">[1]定义!$B$1:$B$50</definedName>
    <definedName name="估价方法" localSheetId="14">[1]定义!$B$1:$B$50</definedName>
    <definedName name="估价方法">定义!$B$1:$B$50</definedName>
    <definedName name="环境" localSheetId="13">[1]定义!$S$1:$S$6</definedName>
    <definedName name="环境" localSheetId="14">[1]定义!$S$1:$S$6</definedName>
    <definedName name="环境">定义!$S$1:$S$6</definedName>
    <definedName name="基础设施水平" localSheetId="13">[1]定义!$R$1:$R$6</definedName>
    <definedName name="基础设施水平" localSheetId="14">[1]定义!$R$1:$R$6</definedName>
    <definedName name="基础设施水平">定义!$R$1:$R$6</definedName>
    <definedName name="季度" localSheetId="25">'基准地价修正-办公'!$Q$19:$AD$19</definedName>
    <definedName name="季度">'基准地价修正-商业'!$Q$19:$AD$19</definedName>
    <definedName name="价值类型2" localSheetId="13">[1]定义!$B$54:$B$56</definedName>
    <definedName name="价值类型2" localSheetId="14">[1]定义!$B$54:$B$56</definedName>
    <definedName name="价值类型2">定义!$B$54:$B$56</definedName>
    <definedName name="交通便捷度" localSheetId="13">[1]定义!$O$1:$O$6</definedName>
    <definedName name="交通便捷度" localSheetId="14">[1]定义!$O$1:$O$6</definedName>
    <definedName name="交通便捷度">定义!$O$1:$O$6</definedName>
    <definedName name="九级">区片价!$Q$1:$Q$51</definedName>
    <definedName name="居住社区成熟度" localSheetId="13">[1]定义!$K$1:$K$6</definedName>
    <definedName name="居住社区成熟度" localSheetId="14">[1]定义!$K$1:$K$6</definedName>
    <definedName name="居住社区成熟度">定义!$K$1:$K$6</definedName>
    <definedName name="类别" localSheetId="13">[1]定义!$J$1:$J$3</definedName>
    <definedName name="类别" localSheetId="14">[1]定义!$J$1:$J$3</definedName>
    <definedName name="类别">定义!$J$1:$J$3</definedName>
    <definedName name="临街状况" localSheetId="13">[1]定义!$T$1:$T$5</definedName>
    <definedName name="临街状况" localSheetId="14">[1]定义!$T$1:$T$5</definedName>
    <definedName name="临街状况">定义!$T$1:$T$5</definedName>
    <definedName name="六级">区片价!$N$1:$N$64</definedName>
    <definedName name="内部装修维护情况" localSheetId="13">[1]定义!$U$1:$U$6</definedName>
    <definedName name="内部装修维护情况" localSheetId="14">[1]定义!$U$1:$U$6</definedName>
    <definedName name="内部装修维护情况">定义!$U$1:$U$6</definedName>
    <definedName name="七级">区片价!$O$1:$O$45</definedName>
    <definedName name="七通一平" localSheetId="13">[1]修正!$A$8:$A$16</definedName>
    <definedName name="七通一平" localSheetId="14">[1]修正!$A$8:$A$16</definedName>
    <definedName name="七通一平">修正!$A$8:$A$16</definedName>
    <definedName name="区域土地利用方向" localSheetId="13">[1]定义!$P$1:$P$6</definedName>
    <definedName name="区域土地利用方向" localSheetId="14">[1]定义!$P$1:$P$6</definedName>
    <definedName name="区域土地利用方向">定义!$P$1:$P$6</definedName>
    <definedName name="三级">区片价!$K$1:$K$26</definedName>
    <definedName name="商业层高" localSheetId="13">'[1]比较法-商业'!$B$116:$M$116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3">[1]定义!$L$1:$L$6</definedName>
    <definedName name="商业繁华度" localSheetId="14">[1]定义!$L$1:$L$6</definedName>
    <definedName name="商业繁华度">定义!$L$1:$L$6</definedName>
    <definedName name="商业公共部分装修" localSheetId="13">'[1]比较法-商业'!$B$107:$M$107</definedName>
    <definedName name="商业公共部分装修" localSheetId="14">'[1]比较法-商业'!$B$107:$M$107</definedName>
    <definedName name="商业公共部分装修">'比较法-商业'!$B$107:$M$107</definedName>
    <definedName name="商业基础设施水平" localSheetId="13">'[1]比较法-商业'!$B$112:$M$112</definedName>
    <definedName name="商业基础设施水平" localSheetId="14">'[1]比较法-商业'!$B$112:$M$112</definedName>
    <definedName name="商业基础设施水平">'比较法-商业'!$B$112:$M$112</definedName>
    <definedName name="商业建筑结构" localSheetId="13">'[1]比较法-商业'!$B$105:$M$105</definedName>
    <definedName name="商业建筑结构" localSheetId="14">'[1]比较法-商业'!$B$105:$M$105</definedName>
    <definedName name="商业建筑结构">'比较法-商业'!$B$105:$M$105</definedName>
    <definedName name="商业交易情况" localSheetId="13">'[1]比较法-商业'!$A$61:$M$61</definedName>
    <definedName name="商业交易情况" localSheetId="14">'[1]比较法-商业'!$A$61:$M$61</definedName>
    <definedName name="商业交易情况">'比较法-商业'!$A$61:$M$61</definedName>
    <definedName name="商业街名称" localSheetId="13">[1]修正!$C$71:$C$138</definedName>
    <definedName name="商业街名称" localSheetId="14">[1]修正!$C$71:$C$138</definedName>
    <definedName name="商业街名称">修正!$C$71:$C$138</definedName>
    <definedName name="商业进深比" localSheetId="13">'[1]比较法-商业'!$B$120:$M$120</definedName>
    <definedName name="商业进深比" localSheetId="14">'[1]比较法-商业'!$B$120:$M$120</definedName>
    <definedName name="商业进深比">'比较法-商业'!$B$120:$M$120</definedName>
    <definedName name="商业类型" localSheetId="13">'[1]比较法-商业'!$B$100:$M$100</definedName>
    <definedName name="商业类型" localSheetId="14">'[1]比较法-商业'!$B$100:$M$100</definedName>
    <definedName name="商业类型">'比较法-商业'!$B$100:$M$100</definedName>
    <definedName name="商业临街状况" localSheetId="13">'[1]比较法-商业'!$B$86:$M$86</definedName>
    <definedName name="商业临街状况" localSheetId="14">'[1]比较法-商业'!$B$86:$M$86</definedName>
    <definedName name="商业临街状况">'比较法-商业'!$B$86:$M$86</definedName>
    <definedName name="商业楼层" localSheetId="13">'[1]比较法-商业'!$B$92:$M$92</definedName>
    <definedName name="商业楼层" localSheetId="14">'[1]比较法-商业'!$B$92:$M$92</definedName>
    <definedName name="商业楼层">'比较法-商业'!$B$92:$M$92</definedName>
    <definedName name="商业内部装修" localSheetId="13">'[1]比较法-商业'!$B$122:$M$122</definedName>
    <definedName name="商业内部装修" localSheetId="14">'[1]比较法-商业'!$B$122:$M$122</definedName>
    <definedName name="商业内部装修">'比较法-商业'!$B$122:$M$122</definedName>
    <definedName name="商业人流量" localSheetId="13">'[1]比较法-商业'!$B$90:$M$90</definedName>
    <definedName name="商业人流量" localSheetId="14">'[1]比较法-商业'!$B$90:$M$90</definedName>
    <definedName name="商业人流量">'比较法-商业'!$B$90:$M$90</definedName>
    <definedName name="商业业态" localSheetId="13">'[1]比较法-商业'!$B$114:$M$114</definedName>
    <definedName name="商业业态" localSheetId="14">'[1]比较法-商业'!$B$114:$M$114</definedName>
    <definedName name="商业业态">'比较法-商业'!$B$114:$M$114</definedName>
    <definedName name="商业用途" localSheetId="13">'[1]比较法-商业'!$B$63:$M$63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4">'[1]比较法-仓储'!$B$89:$M$89</definedName>
    <definedName name="是否封闭">'比较法-仓储'!$B$89:$M$89</definedName>
    <definedName name="是否直接入户" localSheetId="13">'[1]比较法-车位'!$B$95:$M$95</definedName>
    <definedName name="是否直接入户" localSheetId="14">'[1]比较法-车位'!$B$95:$M$95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4">'[1]土地比较法-工业'!$B$97:$M$97</definedName>
    <definedName name="套工道路等级">'土地比较法-工业'!$B$97:$M$97</definedName>
    <definedName name="套工地质条件" localSheetId="13">'[1]土地比较法-工业'!$B$114:$M$114</definedName>
    <definedName name="套工地质条件" localSheetId="14">'[1]土地比较法-工业'!$B$114:$M$114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4">'[1]土地比较法-住宅、综合'!$A$72:$M$72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4">'[1]土地比较法-工业'!$B$99:$M$99</definedName>
    <definedName name="套工土地级别">'土地比较法-工业'!$B$99:$M$99</definedName>
    <definedName name="套工用途" localSheetId="13">'[1]土地比较法-工业'!$B$70:$M$70</definedName>
    <definedName name="套工用途" localSheetId="14">'[1]土地比较法-工业'!$B$70:$M$70</definedName>
    <definedName name="套工用途">'土地比较法-工业'!$B$70:$M$70</definedName>
    <definedName name="套工宗地开发程度" localSheetId="13">'[1]土地比较法-工业'!$B$112:$M$112</definedName>
    <definedName name="套工宗地开发程度" localSheetId="14">'[1]土地比较法-工业'!$B$112:$M$112</definedName>
    <definedName name="套工宗地开发程度">'土地比较法-工业'!$B$112:$M$112</definedName>
    <definedName name="套工宗地形状" localSheetId="13">'[1]土地比较法-工业'!$B$110:$M$110</definedName>
    <definedName name="套工宗地形状" localSheetId="14">'[1]土地比较法-工业'!$B$110:$M$110</definedName>
    <definedName name="套工宗地形状">'土地比较法-工业'!$B$110:$M$110</definedName>
    <definedName name="套综道路等级" localSheetId="13">'[1]土地比较法-住宅、综合'!$B$105:$M$105</definedName>
    <definedName name="套综道路等级" localSheetId="14">'[1]土地比较法-住宅、综合'!$B$105:$M$105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4">'[1]土地比较法-住宅、综合'!$B$124:$M$124</definedName>
    <definedName name="套综工程地质条件">'土地比较法-住宅、综合'!$B$124:$M$124</definedName>
    <definedName name="套综交易情况" localSheetId="13">'[1]土地比较法-住宅、综合'!$A$72:$M$72</definedName>
    <definedName name="套综交易情况" localSheetId="14">'[1]土地比较法-住宅、综合'!$A$72:$M$72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4">'[1]土地比较法-住宅、综合'!$B$120:$M$120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4">'[1]土地比较法-住宅、综合'!$B$107:$M$107</definedName>
    <definedName name="套综土地级别">'土地比较法-住宅、综合'!$B$107:$M$107</definedName>
    <definedName name="套综用途" localSheetId="13">'[1]土地比较法-住宅、综合'!$B$74:$M$74</definedName>
    <definedName name="套综用途" localSheetId="14">'[1]土地比较法-住宅、综合'!$B$74:$M$74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4">'[1]土地比较法-住宅、综合'!$B$122:$M$122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4">[1]定义!$E$2:$E$4</definedName>
    <definedName name="位置">定义!$E$2:$E$4</definedName>
    <definedName name="五等判定" localSheetId="13">[1]定义!$W$1:$W$6</definedName>
    <definedName name="五等判定" localSheetId="14">[1]定义!$W$1:$W$6</definedName>
    <definedName name="五等判定">定义!$W$1:$W$6</definedName>
    <definedName name="五级">区片价!$M$1:$M$41</definedName>
    <definedName name="项目类型" localSheetId="13">'[1]数据-汇总表'!$C$17:$C$26</definedName>
    <definedName name="项目类型" localSheetId="14">'[1]数据-汇总表'!$C$17:$C$26</definedName>
    <definedName name="项目类型" localSheetId="31">'[3]数据-汇总表'!$C$17:$C$26</definedName>
    <definedName name="项目类型">'数据-汇总表'!$C$17:$C$26</definedName>
    <definedName name="写字楼等级" localSheetId="13">'[1]比较法-办公'!$B$113:$M$113</definedName>
    <definedName name="写字楼等级" localSheetId="14">'[1]比较法-办公'!$B$113:$M$113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4">[1]典型户型修正!$5:$5</definedName>
    <definedName name="一修多修正项2">典型户型修正!$5:$5</definedName>
    <definedName name="一修多修正项3" localSheetId="13">[1]典型户型修正!$7:$7</definedName>
    <definedName name="一修多修正项3" localSheetId="14">[1]典型户型修正!$7:$7</definedName>
    <definedName name="一修多修正项3">典型户型修正!$7:$7</definedName>
    <definedName name="一修多修正项4" localSheetId="13">[1]典型户型修正!$9:$9</definedName>
    <definedName name="一修多修正项4" localSheetId="14">[1]典型户型修正!$9:$9</definedName>
    <definedName name="一修多修正项4">典型户型修正!$9:$9</definedName>
    <definedName name="一修多修正项5" localSheetId="13">[1]典型户型修正!$11:$11</definedName>
    <definedName name="一修多修正项5" localSheetId="14">[1]典型户型修正!$11:$11</definedName>
    <definedName name="一修多修正项5">典型户型修正!$11:$11</definedName>
    <definedName name="一修多修正项6" localSheetId="13">[1]典型户型修正!$13:$13</definedName>
    <definedName name="一修多修正项6" localSheetId="14">[1]典型户型修正!$13:$13</definedName>
    <definedName name="一修多修正项6">典型户型修正!$13:$13</definedName>
    <definedName name="一修多修正项7" localSheetId="13">[1]典型户型修正!$15:$15</definedName>
    <definedName name="一修多修正项7" localSheetId="14">[1]典型户型修正!$15:$15</definedName>
    <definedName name="一修多修正项7">典型户型修正!$15:$15</definedName>
    <definedName name="一修多修正项8" localSheetId="13">[1]典型户型修正!$17:$17</definedName>
    <definedName name="一修多修正项8" localSheetId="14">[1]典型户型修正!$17:$17</definedName>
    <definedName name="一修多修正项8">典型户型修正!$17:$17</definedName>
    <definedName name="用途类型">[2]定义!$A$1:$A$50</definedName>
    <definedName name="用途明细" localSheetId="13">[1]定义!$A$1:$A$50</definedName>
    <definedName name="用途明细" localSheetId="14">[1]定义!$A$1:$A$50</definedName>
    <definedName name="用途明细">定义!$A$1:$A$50</definedName>
    <definedName name="有无电梯" localSheetId="13">'[1]比较法-仓储'!$B$84:$M$84</definedName>
    <definedName name="有无电梯" localSheetId="14">'[1]比较法-仓储'!$B$84:$M$84</definedName>
    <definedName name="有无电梯">'比较法-仓储'!$B$84:$M$84</definedName>
    <definedName name="主用途" localSheetId="13">[1]定义!$F$1:$F$12</definedName>
    <definedName name="主用途" localSheetId="14">[1]定义!$F$1:$F$12</definedName>
    <definedName name="主用途">定义!$F$1:$F$12</definedName>
    <definedName name="住宅朝向" localSheetId="13">'[1]比较法-住宅'!$B$88:$M$88</definedName>
    <definedName name="住宅朝向" localSheetId="14">'[1]比较法-住宅'!$B$88:$M$88</definedName>
    <definedName name="住宅朝向">'比较法-住宅'!$B$88:$M$88</definedName>
    <definedName name="住宅房型" localSheetId="13">'[1]比较法-住宅'!$B$118:$M$118</definedName>
    <definedName name="住宅房型" localSheetId="14">'[1]比较法-住宅'!$B$118:$M$118</definedName>
    <definedName name="住宅房型">'比较法-住宅'!$B$118:$M$118</definedName>
    <definedName name="住宅公共部分装修" localSheetId="13">'[1]比较法-住宅'!$B$109:$M$109</definedName>
    <definedName name="住宅公共部分装修" localSheetId="14">'[1]比较法-住宅'!$B$109:$M$109</definedName>
    <definedName name="住宅公共部分装修">'比较法-住宅'!$B$109:$M$109</definedName>
    <definedName name="住宅基础设施水平" localSheetId="13">'[1]比较法-住宅'!$B$116:$M$116</definedName>
    <definedName name="住宅基础设施水平" localSheetId="14">'[1]比较法-住宅'!$B$116:$M$116</definedName>
    <definedName name="住宅基础设施水平">'比较法-住宅'!$B$116:$M$116</definedName>
    <definedName name="住宅建筑结构" localSheetId="13">'[1]比较法-住宅'!$B$105:$M$105</definedName>
    <definedName name="住宅建筑结构" localSheetId="14">'[1]比较法-住宅'!$B$105:$M$105</definedName>
    <definedName name="住宅建筑结构">'比较法-住宅'!$B$105:$M$105</definedName>
    <definedName name="住宅建筑类型" localSheetId="13">'[1]比较法-住宅'!$B$100:$M$100</definedName>
    <definedName name="住宅建筑类型" localSheetId="14">'[1]比较法-住宅'!$B$100:$M$100</definedName>
    <definedName name="住宅建筑类型">'比较法-住宅'!$B$100:$M$100</definedName>
    <definedName name="住宅建筑品质" localSheetId="13">'[1]比较法-住宅'!$B$107:$M$107</definedName>
    <definedName name="住宅建筑品质" localSheetId="14">'[1]比较法-住宅'!$B$107:$M$107</definedName>
    <definedName name="住宅建筑品质">'比较法-住宅'!$B$107:$M$107</definedName>
    <definedName name="住宅交易情况" localSheetId="13">'[1]比较法-住宅'!$A$61:$M$61</definedName>
    <definedName name="住宅交易情况" localSheetId="14">'[1]比较法-住宅'!$A$61:$M$61</definedName>
    <definedName name="住宅交易情况">'比较法-住宅'!$A$61:$M$61</definedName>
    <definedName name="住宅楼层" localSheetId="13">'[1]比较法-住宅'!$B$86:$M$86</definedName>
    <definedName name="住宅楼层" localSheetId="14">'[1]比较法-住宅'!$B$86:$M$86</definedName>
    <definedName name="住宅楼层">'比较法-住宅'!$B$86:$M$86</definedName>
    <definedName name="住宅内部装修" localSheetId="13">'[1]比较法-住宅'!$B$122:$M$122</definedName>
    <definedName name="住宅内部装修" localSheetId="14">'[1]比较法-住宅'!$B$122:$M$122</definedName>
    <definedName name="住宅内部装修">'比较法-住宅'!$B$122:$M$122</definedName>
    <definedName name="住宅物业管理" localSheetId="13">'[1]比较法-住宅'!$B$114:$M$114</definedName>
    <definedName name="住宅物业管理" localSheetId="14">'[1]比较法-住宅'!$B$114:$M$114</definedName>
    <definedName name="住宅物业管理">'比较法-住宅'!$B$114:$M$114</definedName>
    <definedName name="住宅用途" localSheetId="13">'[1]比较法-住宅'!$B$63:$M$63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E70" i="39" l="1"/>
  <c r="F70" i="39" s="1"/>
  <c r="G70" i="39" s="1"/>
  <c r="H70" i="39" s="1"/>
  <c r="I70" i="39" s="1"/>
  <c r="J70" i="39" s="1"/>
  <c r="K70" i="39" s="1"/>
  <c r="L70" i="39" s="1"/>
  <c r="M70" i="39" s="1"/>
  <c r="N70" i="39" s="1"/>
  <c r="O70" i="39" s="1"/>
  <c r="D70" i="39"/>
  <c r="E40" i="6"/>
  <c r="E38" i="6"/>
  <c r="G38" i="6"/>
  <c r="E58" i="39" l="1"/>
  <c r="E57" i="39"/>
  <c r="I46" i="39"/>
  <c r="I38" i="39"/>
  <c r="I11" i="39"/>
  <c r="I7" i="39"/>
  <c r="G46" i="39"/>
  <c r="G38" i="39"/>
  <c r="G11" i="39"/>
  <c r="G7" i="39"/>
  <c r="E46" i="39"/>
  <c r="E38" i="39"/>
  <c r="E11" i="39"/>
  <c r="E7" i="39"/>
  <c r="N8" i="1" l="1"/>
  <c r="N7" i="1"/>
  <c r="Q20" i="1"/>
  <c r="F116" i="86" l="1"/>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M100" i="86"/>
  <c r="N100" i="86" s="1"/>
  <c r="K100" i="86"/>
  <c r="J100" i="86" s="1"/>
  <c r="D100" i="86"/>
  <c r="N99" i="86"/>
  <c r="M99" i="86"/>
  <c r="K99" i="86"/>
  <c r="J99" i="86" s="1"/>
  <c r="D99" i="86"/>
  <c r="M98" i="86"/>
  <c r="N98" i="86" s="1"/>
  <c r="K98" i="86"/>
  <c r="J98" i="86" s="1"/>
  <c r="D98" i="86"/>
  <c r="N97" i="86"/>
  <c r="M97" i="86"/>
  <c r="K97" i="86"/>
  <c r="J97" i="86"/>
  <c r="D97" i="86"/>
  <c r="M96" i="86"/>
  <c r="N96" i="86" s="1"/>
  <c r="K96" i="86"/>
  <c r="J96" i="86" s="1"/>
  <c r="D96" i="86"/>
  <c r="M95" i="86"/>
  <c r="N95" i="86" s="1"/>
  <c r="K95" i="86"/>
  <c r="J95" i="86" s="1"/>
  <c r="D95" i="86"/>
  <c r="B95" i="86"/>
  <c r="N94" i="86"/>
  <c r="M94" i="86"/>
  <c r="K94" i="86"/>
  <c r="J94" i="86"/>
  <c r="D94" i="86"/>
  <c r="N93" i="86"/>
  <c r="M93" i="86"/>
  <c r="K93" i="86"/>
  <c r="J93" i="86" s="1"/>
  <c r="F93" i="86"/>
  <c r="H98" i="86" s="1"/>
  <c r="D93" i="86"/>
  <c r="E93" i="86" s="1"/>
  <c r="B91" i="86" s="1"/>
  <c r="M90" i="86"/>
  <c r="N90" i="86" s="1"/>
  <c r="K90" i="86"/>
  <c r="J90" i="86"/>
  <c r="D90" i="86"/>
  <c r="M89" i="86"/>
  <c r="N89" i="86" s="1"/>
  <c r="K89" i="86"/>
  <c r="J89" i="86" s="1"/>
  <c r="D89" i="86"/>
  <c r="M88" i="86"/>
  <c r="N88" i="86" s="1"/>
  <c r="K88" i="86"/>
  <c r="J88" i="86" s="1"/>
  <c r="D88" i="86"/>
  <c r="M87" i="86"/>
  <c r="N87" i="86" s="1"/>
  <c r="K87" i="86"/>
  <c r="J87" i="86"/>
  <c r="D87" i="86"/>
  <c r="M86" i="86"/>
  <c r="N86" i="86" s="1"/>
  <c r="K86" i="86"/>
  <c r="J86" i="86" s="1"/>
  <c r="D86" i="86"/>
  <c r="B86" i="86"/>
  <c r="M85" i="86"/>
  <c r="N85" i="86" s="1"/>
  <c r="K85" i="86"/>
  <c r="J85" i="86" s="1"/>
  <c r="D85" i="86"/>
  <c r="B85" i="86"/>
  <c r="N84" i="86"/>
  <c r="M84" i="86"/>
  <c r="K84" i="86"/>
  <c r="J84" i="86" s="1"/>
  <c r="D84" i="86"/>
  <c r="N83" i="86"/>
  <c r="M83" i="86"/>
  <c r="K83" i="86"/>
  <c r="J83" i="86" s="1"/>
  <c r="F83" i="86"/>
  <c r="H88" i="86" s="1"/>
  <c r="D83" i="86"/>
  <c r="E83" i="86" s="1"/>
  <c r="B81" i="86" s="1"/>
  <c r="M80" i="86"/>
  <c r="N80" i="86" s="1"/>
  <c r="K80" i="86"/>
  <c r="J80" i="86"/>
  <c r="D80" i="86"/>
  <c r="N79" i="86"/>
  <c r="M79" i="86"/>
  <c r="K79" i="86"/>
  <c r="J79" i="86" s="1"/>
  <c r="D79" i="86"/>
  <c r="M78" i="86"/>
  <c r="N78" i="86" s="1"/>
  <c r="K78" i="86"/>
  <c r="J78" i="86" s="1"/>
  <c r="D78" i="86"/>
  <c r="M77" i="86"/>
  <c r="N77" i="86" s="1"/>
  <c r="K77" i="86"/>
  <c r="J77" i="86" s="1"/>
  <c r="D77" i="86"/>
  <c r="M76" i="86"/>
  <c r="N76" i="86" s="1"/>
  <c r="K76" i="86"/>
  <c r="J76" i="86"/>
  <c r="D76" i="86"/>
  <c r="M75" i="86"/>
  <c r="N75" i="86" s="1"/>
  <c r="K75" i="86"/>
  <c r="J75" i="86" s="1"/>
  <c r="D75" i="86"/>
  <c r="M74" i="86"/>
  <c r="N74" i="86" s="1"/>
  <c r="K74" i="86"/>
  <c r="J74" i="86"/>
  <c r="D74" i="86"/>
  <c r="B74" i="86"/>
  <c r="N73" i="86"/>
  <c r="M73" i="86"/>
  <c r="K73" i="86"/>
  <c r="J73" i="86"/>
  <c r="D73" i="86"/>
  <c r="M72" i="86"/>
  <c r="N72" i="86" s="1"/>
  <c r="K72" i="86"/>
  <c r="J72" i="86" s="1"/>
  <c r="F72" i="86"/>
  <c r="H77" i="86" s="1"/>
  <c r="D72" i="86"/>
  <c r="M69" i="86"/>
  <c r="N69" i="86" s="1"/>
  <c r="K69" i="86"/>
  <c r="D69" i="86" s="1"/>
  <c r="M68" i="86"/>
  <c r="N68" i="86" s="1"/>
  <c r="K68" i="86"/>
  <c r="J68" i="86"/>
  <c r="D68" i="86"/>
  <c r="M67" i="86"/>
  <c r="N67" i="86" s="1"/>
  <c r="K67" i="86"/>
  <c r="J67" i="86" s="1"/>
  <c r="D67" i="86"/>
  <c r="M66" i="86"/>
  <c r="N66" i="86" s="1"/>
  <c r="K66" i="86"/>
  <c r="J66" i="86" s="1"/>
  <c r="D66" i="86"/>
  <c r="M65" i="86"/>
  <c r="N65" i="86" s="1"/>
  <c r="K65" i="86"/>
  <c r="J65" i="86" s="1"/>
  <c r="D65" i="86"/>
  <c r="M64" i="86"/>
  <c r="N64" i="86" s="1"/>
  <c r="K64" i="86"/>
  <c r="J64" i="86"/>
  <c r="D64" i="86"/>
  <c r="M63" i="86"/>
  <c r="N63" i="86" s="1"/>
  <c r="K63" i="86"/>
  <c r="J63" i="86" s="1"/>
  <c r="B63" i="86"/>
  <c r="M62" i="86"/>
  <c r="N62" i="86" s="1"/>
  <c r="K62" i="86"/>
  <c r="J62" i="86" s="1"/>
  <c r="D62" i="86"/>
  <c r="M61" i="86"/>
  <c r="N61" i="86" s="1"/>
  <c r="K61" i="86"/>
  <c r="J61" i="86" s="1"/>
  <c r="D61" i="86"/>
  <c r="N58" i="86"/>
  <c r="M58" i="86"/>
  <c r="K58" i="86"/>
  <c r="J58" i="86"/>
  <c r="D58" i="86"/>
  <c r="M57" i="86"/>
  <c r="N57" i="86" s="1"/>
  <c r="K57" i="86"/>
  <c r="J57" i="86"/>
  <c r="D57" i="86" s="1"/>
  <c r="M56" i="86"/>
  <c r="N56" i="86" s="1"/>
  <c r="K56" i="86"/>
  <c r="J56" i="86" s="1"/>
  <c r="D56" i="86"/>
  <c r="N55" i="86"/>
  <c r="M55" i="86"/>
  <c r="K55" i="86"/>
  <c r="D55" i="86" s="1"/>
  <c r="J55" i="86"/>
  <c r="M54" i="86"/>
  <c r="N54" i="86" s="1"/>
  <c r="K54" i="86"/>
  <c r="J54" i="86" s="1"/>
  <c r="D54" i="86"/>
  <c r="M53" i="86"/>
  <c r="N53" i="86" s="1"/>
  <c r="K53" i="86"/>
  <c r="D53" i="86" s="1"/>
  <c r="J53" i="86"/>
  <c r="M52" i="86"/>
  <c r="N52" i="86" s="1"/>
  <c r="K52" i="86"/>
  <c r="J52" i="86"/>
  <c r="D52" i="86"/>
  <c r="B52" i="86"/>
  <c r="M51" i="86"/>
  <c r="N51" i="86" s="1"/>
  <c r="K51" i="86"/>
  <c r="J51" i="86"/>
  <c r="D51" i="86"/>
  <c r="N50" i="86"/>
  <c r="M50" i="86"/>
  <c r="K50" i="86"/>
  <c r="J50" i="86" s="1"/>
  <c r="D50" i="86"/>
  <c r="B50" i="86"/>
  <c r="H41" i="86"/>
  <c r="H40" i="86"/>
  <c r="H39" i="86"/>
  <c r="H38" i="86"/>
  <c r="H37" i="86"/>
  <c r="N32" i="86"/>
  <c r="J26" i="86"/>
  <c r="J24" i="86"/>
  <c r="G24" i="86"/>
  <c r="G18" i="86" s="1"/>
  <c r="E24" i="86"/>
  <c r="P32" i="86" s="1"/>
  <c r="I23" i="86"/>
  <c r="C22" i="86"/>
  <c r="C20" i="86"/>
  <c r="G17" i="86"/>
  <c r="C17" i="86"/>
  <c r="C13" i="86"/>
  <c r="C11" i="86"/>
  <c r="E9" i="86" s="1"/>
  <c r="AI10" i="86"/>
  <c r="AH10" i="86"/>
  <c r="AC10" i="86"/>
  <c r="AA10" i="86"/>
  <c r="Z10" i="86"/>
  <c r="Y10" i="86"/>
  <c r="C10" i="86"/>
  <c r="AJ9" i="86"/>
  <c r="AJ10" i="86" s="1"/>
  <c r="AI9" i="86"/>
  <c r="AH9" i="86"/>
  <c r="AG9" i="86"/>
  <c r="AG10" i="86" s="1"/>
  <c r="AF9" i="86"/>
  <c r="AF10" i="86" s="1"/>
  <c r="AE9" i="86"/>
  <c r="AE10" i="86" s="1"/>
  <c r="AD9" i="86"/>
  <c r="AD10" i="86" s="1"/>
  <c r="AC9" i="86"/>
  <c r="AB9" i="86"/>
  <c r="AB10" i="86" s="1"/>
  <c r="AA9" i="86"/>
  <c r="Z9" i="86"/>
  <c r="M9" i="86"/>
  <c r="C9" i="86"/>
  <c r="Z7" i="86"/>
  <c r="C7" i="86"/>
  <c r="G3" i="86"/>
  <c r="G26" i="86" s="1"/>
  <c r="I2" i="86"/>
  <c r="M12" i="86" s="1"/>
  <c r="G2" i="86"/>
  <c r="F39" i="86" s="1"/>
  <c r="G124" i="39"/>
  <c r="F124" i="39"/>
  <c r="E124" i="39"/>
  <c r="D124" i="39"/>
  <c r="C124" i="39"/>
  <c r="G122" i="39"/>
  <c r="F122" i="39"/>
  <c r="E122" i="39"/>
  <c r="D122" i="39"/>
  <c r="C122" i="39"/>
  <c r="C38" i="39"/>
  <c r="C11" i="39"/>
  <c r="D74" i="39"/>
  <c r="C74" i="39"/>
  <c r="I5" i="39"/>
  <c r="G5" i="39"/>
  <c r="E5" i="39"/>
  <c r="F414" i="81"/>
  <c r="J52" i="15"/>
  <c r="Q72" i="83"/>
  <c r="Q59" i="83"/>
  <c r="K59" i="83"/>
  <c r="P74" i="83" s="1"/>
  <c r="F59" i="83"/>
  <c r="Q58" i="83"/>
  <c r="Q51" i="83"/>
  <c r="J50" i="83"/>
  <c r="M47" i="83"/>
  <c r="D46" i="83"/>
  <c r="F33" i="83"/>
  <c r="F61" i="83" s="1"/>
  <c r="F31" i="83"/>
  <c r="F23" i="83"/>
  <c r="D23" i="83" s="1"/>
  <c r="F21" i="83"/>
  <c r="F20" i="83"/>
  <c r="M19" i="83"/>
  <c r="F18" i="83"/>
  <c r="M17" i="83"/>
  <c r="F15" i="83"/>
  <c r="Q72" i="82"/>
  <c r="Q59" i="82"/>
  <c r="K59" i="82"/>
  <c r="P74" i="82" s="1"/>
  <c r="F59" i="82"/>
  <c r="Q58" i="82"/>
  <c r="Q51" i="82"/>
  <c r="J50" i="82"/>
  <c r="J51" i="82" s="1"/>
  <c r="M47" i="82"/>
  <c r="D46" i="82"/>
  <c r="F33" i="82"/>
  <c r="F61" i="82" s="1"/>
  <c r="F31" i="82"/>
  <c r="D24" i="82"/>
  <c r="F23" i="82"/>
  <c r="D23" i="82" s="1"/>
  <c r="D22" i="82"/>
  <c r="F21" i="82"/>
  <c r="F20" i="82"/>
  <c r="M19" i="82"/>
  <c r="F18" i="82"/>
  <c r="M17" i="82"/>
  <c r="F15" i="82"/>
  <c r="AH8" i="1"/>
  <c r="AJ21" i="1"/>
  <c r="Y8" i="1"/>
  <c r="Y7" i="1"/>
  <c r="W7" i="1"/>
  <c r="V8" i="1"/>
  <c r="V7" i="1"/>
  <c r="W24" i="1"/>
  <c r="W23" i="1"/>
  <c r="W22" i="1"/>
  <c r="W21" i="1"/>
  <c r="J29" i="1"/>
  <c r="K29" i="1"/>
  <c r="S5" i="86" l="1"/>
  <c r="M32" i="86"/>
  <c r="J69" i="86"/>
  <c r="E8" i="86"/>
  <c r="O32" i="86"/>
  <c r="Q32" i="86"/>
  <c r="E72" i="86"/>
  <c r="B70" i="86" s="1"/>
  <c r="D63" i="86"/>
  <c r="E61" i="86" s="1"/>
  <c r="B59" i="86" s="1"/>
  <c r="N12" i="86"/>
  <c r="M2" i="86"/>
  <c r="N9" i="86"/>
  <c r="M5" i="86"/>
  <c r="M3" i="86"/>
  <c r="I18" i="86"/>
  <c r="E17" i="86" s="1"/>
  <c r="N3" i="86"/>
  <c r="N6" i="86"/>
  <c r="M10" i="86"/>
  <c r="H86" i="86"/>
  <c r="H96" i="86"/>
  <c r="H75" i="86"/>
  <c r="M4" i="86"/>
  <c r="C6" i="86" s="1"/>
  <c r="S4" i="86"/>
  <c r="N2" i="86"/>
  <c r="H97" i="86"/>
  <c r="E50" i="86"/>
  <c r="B48" i="86" s="1"/>
  <c r="E10" i="86"/>
  <c r="J21" i="86"/>
  <c r="H26" i="86"/>
  <c r="H76" i="86"/>
  <c r="H87" i="86"/>
  <c r="B116" i="86"/>
  <c r="K21" i="86"/>
  <c r="H74" i="86"/>
  <c r="H80" i="86"/>
  <c r="H85" i="86"/>
  <c r="F38" i="86"/>
  <c r="F42" i="86"/>
  <c r="S2" i="86"/>
  <c r="N10" i="86"/>
  <c r="E11" i="86"/>
  <c r="C21" i="86"/>
  <c r="L21" i="86"/>
  <c r="M1" i="86"/>
  <c r="N8" i="86"/>
  <c r="M11" i="86"/>
  <c r="M21" i="86"/>
  <c r="C27" i="86"/>
  <c r="F41" i="86"/>
  <c r="H73" i="86"/>
  <c r="H84" i="86"/>
  <c r="H95" i="86"/>
  <c r="H101" i="86"/>
  <c r="H116" i="86"/>
  <c r="S3" i="86"/>
  <c r="M8" i="86"/>
  <c r="M7" i="86"/>
  <c r="D21" i="86"/>
  <c r="N1" i="86"/>
  <c r="N11" i="86"/>
  <c r="H79" i="86"/>
  <c r="H90" i="86"/>
  <c r="H94" i="86"/>
  <c r="H100" i="86"/>
  <c r="N7" i="86"/>
  <c r="N21" i="86"/>
  <c r="H72" i="86"/>
  <c r="H83" i="86"/>
  <c r="M6" i="86"/>
  <c r="O21" i="86"/>
  <c r="E26" i="86"/>
  <c r="F37" i="86"/>
  <c r="F40" i="86"/>
  <c r="H78" i="86"/>
  <c r="H89" i="86"/>
  <c r="H93" i="86"/>
  <c r="H99" i="86"/>
  <c r="H21" i="86"/>
  <c r="F26" i="86"/>
  <c r="E44" i="86"/>
  <c r="N4" i="86"/>
  <c r="F50" i="86" s="1"/>
  <c r="N5" i="86"/>
  <c r="S6" i="86"/>
  <c r="X7" i="86"/>
  <c r="I21" i="86"/>
  <c r="J51" i="83"/>
  <c r="D22" i="83"/>
  <c r="D24" i="83"/>
  <c r="P61" i="83"/>
  <c r="P61" i="82"/>
  <c r="AJ22" i="1"/>
  <c r="AJ23" i="1" s="1"/>
  <c r="AI23" i="1" s="1"/>
  <c r="L29" i="1"/>
  <c r="C28" i="86" l="1"/>
  <c r="F61" i="86"/>
  <c r="H54" i="86"/>
  <c r="H55" i="86"/>
  <c r="H50" i="86"/>
  <c r="H52" i="86"/>
  <c r="H56" i="86"/>
  <c r="H57" i="86"/>
  <c r="H51" i="86"/>
  <c r="H58" i="86"/>
  <c r="H53" i="86"/>
  <c r="D5" i="86"/>
  <c r="C5" i="86"/>
  <c r="I121" i="86"/>
  <c r="J121" i="86" s="1"/>
  <c r="K121" i="86" s="1"/>
  <c r="L121" i="86" s="1"/>
  <c r="M121" i="86" s="1"/>
  <c r="I119" i="86"/>
  <c r="J119" i="86" s="1"/>
  <c r="K119" i="86" s="1"/>
  <c r="L119" i="86" s="1"/>
  <c r="M119" i="86" s="1"/>
  <c r="D122" i="86"/>
  <c r="E122" i="86" s="1"/>
  <c r="F122" i="86" s="1"/>
  <c r="G122" i="86" s="1"/>
  <c r="H122" i="86" s="1"/>
  <c r="D120" i="86"/>
  <c r="E120" i="86" s="1"/>
  <c r="F120" i="86" s="1"/>
  <c r="G120" i="86" s="1"/>
  <c r="H120" i="86" s="1"/>
  <c r="D118" i="86"/>
  <c r="E118" i="86" s="1"/>
  <c r="F118" i="86" s="1"/>
  <c r="G118" i="86" s="1"/>
  <c r="H118" i="86" s="1"/>
  <c r="G121" i="86"/>
  <c r="H121" i="86" s="1"/>
  <c r="B122" i="86"/>
  <c r="C122" i="86" s="1"/>
  <c r="B120" i="86"/>
  <c r="C120" i="86" s="1"/>
  <c r="B118" i="86"/>
  <c r="C118" i="86" s="1"/>
  <c r="I122" i="86"/>
  <c r="J122" i="86" s="1"/>
  <c r="K122" i="86" s="1"/>
  <c r="L122" i="86" s="1"/>
  <c r="M122" i="86" s="1"/>
  <c r="I120" i="86"/>
  <c r="J120" i="86" s="1"/>
  <c r="K120" i="86" s="1"/>
  <c r="L120" i="86" s="1"/>
  <c r="M120" i="86" s="1"/>
  <c r="I118" i="86"/>
  <c r="J118" i="86" s="1"/>
  <c r="K118" i="86" s="1"/>
  <c r="L118" i="86" s="1"/>
  <c r="M118" i="86" s="1"/>
  <c r="D121" i="86"/>
  <c r="E121" i="86" s="1"/>
  <c r="F121" i="86" s="1"/>
  <c r="D119" i="86"/>
  <c r="E119" i="86" s="1"/>
  <c r="F119" i="86" s="1"/>
  <c r="G119" i="86" s="1"/>
  <c r="H119" i="86" s="1"/>
  <c r="B121" i="86"/>
  <c r="C121" i="86" s="1"/>
  <c r="B119" i="86"/>
  <c r="C119" i="86" s="1"/>
  <c r="G21" i="86"/>
  <c r="D26" i="86"/>
  <c r="C25" i="86" s="1"/>
  <c r="H65" i="86" l="1"/>
  <c r="H63" i="86"/>
  <c r="H69" i="86"/>
  <c r="H64" i="86"/>
  <c r="H61" i="86"/>
  <c r="H62" i="86"/>
  <c r="H66" i="86"/>
  <c r="H67" i="86"/>
  <c r="H68" i="86"/>
  <c r="D116" i="86"/>
  <c r="B59" i="1" l="1"/>
  <c r="B35" i="1"/>
  <c r="J8" i="1"/>
  <c r="J7" i="1"/>
  <c r="O6" i="81"/>
  <c r="E351" i="80"/>
  <c r="E360" i="80"/>
  <c r="E361" i="80"/>
  <c r="E367" i="80"/>
  <c r="E368" i="80"/>
  <c r="E369" i="80"/>
  <c r="E355" i="80"/>
  <c r="H349" i="80"/>
  <c r="E414" i="81"/>
  <c r="H413" i="81"/>
  <c r="D412" i="81"/>
  <c r="H412" i="81" s="1"/>
  <c r="D411" i="81"/>
  <c r="H411" i="81" s="1"/>
  <c r="D410" i="81"/>
  <c r="H410" i="81" s="1"/>
  <c r="D409" i="81"/>
  <c r="H409" i="81" s="1"/>
  <c r="H408" i="81"/>
  <c r="H407" i="81"/>
  <c r="H406" i="81"/>
  <c r="H405" i="81"/>
  <c r="H404" i="81"/>
  <c r="H403" i="81"/>
  <c r="H402" i="81"/>
  <c r="D401" i="81"/>
  <c r="H401" i="81" s="1"/>
  <c r="H400" i="81"/>
  <c r="H399" i="81"/>
  <c r="H398" i="81"/>
  <c r="H397" i="81"/>
  <c r="H396" i="81"/>
  <c r="H395" i="81"/>
  <c r="H394" i="81"/>
  <c r="H393" i="81"/>
  <c r="H392" i="81"/>
  <c r="H391" i="81"/>
  <c r="D390" i="81"/>
  <c r="H390" i="81" s="1"/>
  <c r="H389" i="81"/>
  <c r="H388" i="81"/>
  <c r="H387" i="81"/>
  <c r="H386" i="81"/>
  <c r="H385" i="81"/>
  <c r="H384" i="81"/>
  <c r="H383" i="81"/>
  <c r="H382" i="81"/>
  <c r="H381" i="81"/>
  <c r="H380" i="81"/>
  <c r="D379" i="81"/>
  <c r="H379" i="81" s="1"/>
  <c r="H378" i="81"/>
  <c r="H377" i="81"/>
  <c r="H376" i="81"/>
  <c r="H375" i="81"/>
  <c r="H374" i="81"/>
  <c r="H373" i="81"/>
  <c r="H372" i="81"/>
  <c r="H371" i="81"/>
  <c r="H370" i="81"/>
  <c r="H369" i="81"/>
  <c r="D368" i="81"/>
  <c r="H368" i="81" s="1"/>
  <c r="H367" i="81"/>
  <c r="H366" i="81"/>
  <c r="H365" i="81"/>
  <c r="H364" i="81"/>
  <c r="H363" i="81"/>
  <c r="H362" i="81"/>
  <c r="H361" i="81"/>
  <c r="H360" i="81"/>
  <c r="H359" i="81"/>
  <c r="H358" i="81"/>
  <c r="D357" i="81"/>
  <c r="H357" i="81" s="1"/>
  <c r="H356" i="81"/>
  <c r="H355" i="81"/>
  <c r="H354" i="81"/>
  <c r="H353" i="81"/>
  <c r="H352" i="81"/>
  <c r="H351" i="81"/>
  <c r="H350" i="81"/>
  <c r="H349" i="81"/>
  <c r="H348" i="81"/>
  <c r="H347" i="81"/>
  <c r="H346" i="81"/>
  <c r="D346" i="81"/>
  <c r="H345" i="81"/>
  <c r="H344" i="81"/>
  <c r="H343" i="81"/>
  <c r="H342" i="81"/>
  <c r="H341" i="81"/>
  <c r="H340" i="81"/>
  <c r="H339" i="81"/>
  <c r="H338" i="81"/>
  <c r="H337" i="81"/>
  <c r="H336" i="81"/>
  <c r="D335" i="81"/>
  <c r="H335" i="81" s="1"/>
  <c r="H334" i="81"/>
  <c r="H333" i="81"/>
  <c r="H332" i="81"/>
  <c r="H331" i="81"/>
  <c r="H330" i="81"/>
  <c r="H329" i="81"/>
  <c r="H328" i="81"/>
  <c r="H327" i="81"/>
  <c r="H326" i="81"/>
  <c r="H325" i="81"/>
  <c r="H324" i="81"/>
  <c r="H323" i="81"/>
  <c r="H322" i="81"/>
  <c r="H321" i="81"/>
  <c r="H320" i="81"/>
  <c r="H319" i="81"/>
  <c r="H318" i="81"/>
  <c r="H317" i="81"/>
  <c r="H316" i="81"/>
  <c r="H315" i="81"/>
  <c r="H314" i="81"/>
  <c r="H313" i="81"/>
  <c r="H312" i="81"/>
  <c r="H311" i="81"/>
  <c r="H310" i="81"/>
  <c r="H309" i="81"/>
  <c r="H308" i="81"/>
  <c r="H307" i="81"/>
  <c r="H306" i="81"/>
  <c r="H305" i="81"/>
  <c r="H304" i="81"/>
  <c r="H303" i="81"/>
  <c r="H302" i="81"/>
  <c r="H301" i="81"/>
  <c r="H300" i="81"/>
  <c r="H299" i="81"/>
  <c r="H298" i="81"/>
  <c r="H297" i="81"/>
  <c r="H296" i="81"/>
  <c r="H295" i="81"/>
  <c r="H294" i="81"/>
  <c r="H293" i="81"/>
  <c r="H292" i="81"/>
  <c r="H291" i="81"/>
  <c r="H290" i="81"/>
  <c r="H289" i="81"/>
  <c r="H288" i="81"/>
  <c r="H287" i="81"/>
  <c r="H286" i="81"/>
  <c r="H285" i="81"/>
  <c r="H284" i="81"/>
  <c r="H283" i="81"/>
  <c r="H282" i="81"/>
  <c r="H281" i="81"/>
  <c r="H280" i="81"/>
  <c r="H279" i="81"/>
  <c r="H278" i="81"/>
  <c r="H277" i="81"/>
  <c r="H276" i="81"/>
  <c r="H275" i="81"/>
  <c r="H274" i="81"/>
  <c r="H273" i="81"/>
  <c r="H272" i="81"/>
  <c r="H271" i="81"/>
  <c r="H270" i="81"/>
  <c r="H269" i="81"/>
  <c r="H268" i="81"/>
  <c r="H267" i="81"/>
  <c r="H266" i="81"/>
  <c r="H265" i="81"/>
  <c r="H264" i="81"/>
  <c r="H263" i="81"/>
  <c r="H262" i="81"/>
  <c r="H261" i="81"/>
  <c r="H260" i="81"/>
  <c r="H259" i="81"/>
  <c r="H258" i="81"/>
  <c r="H257" i="81"/>
  <c r="H256" i="81"/>
  <c r="H255" i="81"/>
  <c r="H254" i="81"/>
  <c r="H253" i="81"/>
  <c r="H252" i="81"/>
  <c r="H251" i="81"/>
  <c r="H250" i="81"/>
  <c r="H249" i="81"/>
  <c r="H248" i="81"/>
  <c r="H247" i="81"/>
  <c r="H246" i="81"/>
  <c r="H245" i="81"/>
  <c r="H244" i="81"/>
  <c r="H243" i="81"/>
  <c r="H242" i="81"/>
  <c r="H241" i="81"/>
  <c r="H240" i="81"/>
  <c r="H239" i="81"/>
  <c r="H238" i="81"/>
  <c r="H237" i="81"/>
  <c r="H236" i="81"/>
  <c r="H235" i="81"/>
  <c r="H234" i="81"/>
  <c r="H233" i="81"/>
  <c r="H232" i="81"/>
  <c r="H231" i="81"/>
  <c r="H230" i="81"/>
  <c r="H229" i="81"/>
  <c r="H228" i="81"/>
  <c r="H227" i="81"/>
  <c r="H226" i="81"/>
  <c r="H225" i="81"/>
  <c r="H224" i="81"/>
  <c r="H223" i="81"/>
  <c r="H222" i="81"/>
  <c r="H221" i="81"/>
  <c r="H220" i="81"/>
  <c r="H219" i="81"/>
  <c r="H218" i="81"/>
  <c r="H217" i="81"/>
  <c r="H216" i="81"/>
  <c r="H215" i="81"/>
  <c r="H214" i="81"/>
  <c r="H213" i="81"/>
  <c r="H212" i="81"/>
  <c r="H211" i="81"/>
  <c r="H210" i="81"/>
  <c r="H209" i="81"/>
  <c r="H208" i="81"/>
  <c r="H207" i="81"/>
  <c r="H206" i="81"/>
  <c r="H205" i="81"/>
  <c r="H204" i="81"/>
  <c r="H203" i="81"/>
  <c r="H202" i="81"/>
  <c r="H201" i="81"/>
  <c r="H200" i="81"/>
  <c r="H199" i="81"/>
  <c r="H198" i="81"/>
  <c r="H197" i="81"/>
  <c r="H196" i="81"/>
  <c r="H195" i="81"/>
  <c r="H194" i="81"/>
  <c r="H193" i="81"/>
  <c r="H192" i="81"/>
  <c r="H191" i="81"/>
  <c r="H190" i="81"/>
  <c r="H189" i="81"/>
  <c r="H188" i="81"/>
  <c r="H187" i="81"/>
  <c r="H186" i="81"/>
  <c r="H185" i="81"/>
  <c r="H184" i="81"/>
  <c r="H183" i="81"/>
  <c r="H182" i="81"/>
  <c r="H181" i="81"/>
  <c r="H180" i="81"/>
  <c r="H179" i="81"/>
  <c r="H178" i="81"/>
  <c r="H177" i="81"/>
  <c r="H176" i="81"/>
  <c r="H175" i="81"/>
  <c r="H174" i="81"/>
  <c r="H173" i="81"/>
  <c r="H172" i="81"/>
  <c r="H171" i="81"/>
  <c r="H170" i="81"/>
  <c r="H169" i="81"/>
  <c r="H168" i="81"/>
  <c r="H167" i="81"/>
  <c r="H166" i="81"/>
  <c r="H165" i="81"/>
  <c r="H164" i="81"/>
  <c r="H163" i="81"/>
  <c r="H162" i="81"/>
  <c r="H161" i="81"/>
  <c r="H160" i="81"/>
  <c r="H159" i="81"/>
  <c r="H158" i="81"/>
  <c r="H157" i="81"/>
  <c r="H156" i="81"/>
  <c r="H155" i="81"/>
  <c r="H154" i="81"/>
  <c r="H153" i="81"/>
  <c r="H152" i="81"/>
  <c r="H151" i="81"/>
  <c r="H150" i="81"/>
  <c r="H149" i="81"/>
  <c r="H148" i="81"/>
  <c r="H147" i="81"/>
  <c r="H146" i="81"/>
  <c r="H145" i="81"/>
  <c r="H144" i="81"/>
  <c r="H143" i="81"/>
  <c r="H142" i="81"/>
  <c r="H141" i="81"/>
  <c r="H140" i="81"/>
  <c r="H139" i="81"/>
  <c r="H138" i="81"/>
  <c r="H137" i="81"/>
  <c r="H136" i="81"/>
  <c r="H135" i="81"/>
  <c r="H134" i="81"/>
  <c r="H133" i="81"/>
  <c r="H132" i="81"/>
  <c r="H131" i="81"/>
  <c r="H130" i="81"/>
  <c r="H129" i="81"/>
  <c r="H128" i="81"/>
  <c r="H127" i="81"/>
  <c r="H126" i="81"/>
  <c r="H125" i="81"/>
  <c r="H124" i="81"/>
  <c r="H123" i="81"/>
  <c r="H122" i="81"/>
  <c r="H121" i="81"/>
  <c r="H120" i="81"/>
  <c r="H119" i="81"/>
  <c r="H118" i="81"/>
  <c r="H117" i="81"/>
  <c r="H116" i="81"/>
  <c r="H115" i="81"/>
  <c r="H114" i="81"/>
  <c r="H113" i="81"/>
  <c r="H112" i="81"/>
  <c r="H111" i="81"/>
  <c r="H110" i="81"/>
  <c r="H109" i="81"/>
  <c r="H108" i="81"/>
  <c r="H107" i="81"/>
  <c r="H106" i="81"/>
  <c r="H105" i="81"/>
  <c r="H104" i="81"/>
  <c r="H103" i="81"/>
  <c r="H102" i="81"/>
  <c r="H101" i="81"/>
  <c r="H100" i="81"/>
  <c r="H99" i="81"/>
  <c r="H98" i="81"/>
  <c r="H97" i="81"/>
  <c r="H96" i="81"/>
  <c r="H95" i="81"/>
  <c r="H94" i="81"/>
  <c r="H93" i="81"/>
  <c r="H92" i="81"/>
  <c r="H91" i="81"/>
  <c r="H90" i="81"/>
  <c r="H89" i="81"/>
  <c r="H88" i="81"/>
  <c r="H87" i="81"/>
  <c r="H86" i="81"/>
  <c r="H85" i="81"/>
  <c r="H84" i="81"/>
  <c r="H83" i="81"/>
  <c r="H82" i="81"/>
  <c r="H81" i="81"/>
  <c r="H80" i="81"/>
  <c r="H79" i="81"/>
  <c r="H78" i="81"/>
  <c r="H77" i="81"/>
  <c r="H76" i="81"/>
  <c r="H75" i="81"/>
  <c r="H74" i="81"/>
  <c r="H73" i="81"/>
  <c r="H72" i="81"/>
  <c r="H71" i="81"/>
  <c r="H70" i="81"/>
  <c r="H69" i="81"/>
  <c r="H68" i="81"/>
  <c r="H67"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H10" i="81"/>
  <c r="H9" i="81"/>
  <c r="H8" i="81"/>
  <c r="H7" i="81"/>
  <c r="H6" i="81"/>
  <c r="O5" i="81"/>
  <c r="H5" i="81"/>
  <c r="O4" i="81"/>
  <c r="M13" i="3" s="1"/>
  <c r="H4" i="81"/>
  <c r="A4" i="81"/>
  <c r="A5" i="81" s="1"/>
  <c r="A6" i="81" s="1"/>
  <c r="A7" i="81" s="1"/>
  <c r="A8" i="81" s="1"/>
  <c r="A9" i="81" s="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A206" i="81" s="1"/>
  <c r="A207" i="81" s="1"/>
  <c r="A208" i="81" s="1"/>
  <c r="A209" i="81" s="1"/>
  <c r="A210" i="81" s="1"/>
  <c r="A211" i="81" s="1"/>
  <c r="A212" i="81" s="1"/>
  <c r="A213" i="81" s="1"/>
  <c r="A214" i="81" s="1"/>
  <c r="A215" i="81" s="1"/>
  <c r="A216" i="81" s="1"/>
  <c r="A217" i="81" s="1"/>
  <c r="A218" i="81" s="1"/>
  <c r="A219" i="81" s="1"/>
  <c r="A220" i="81" s="1"/>
  <c r="A221" i="81" s="1"/>
  <c r="A222" i="81" s="1"/>
  <c r="A223" i="81" s="1"/>
  <c r="A224" i="81" s="1"/>
  <c r="A225" i="81" s="1"/>
  <c r="A226" i="81" s="1"/>
  <c r="A227" i="81" s="1"/>
  <c r="A228" i="81" s="1"/>
  <c r="A229" i="81" s="1"/>
  <c r="A230" i="81" s="1"/>
  <c r="A231" i="81" s="1"/>
  <c r="A232" i="81" s="1"/>
  <c r="A233" i="81" s="1"/>
  <c r="A234" i="81" s="1"/>
  <c r="A235" i="81" s="1"/>
  <c r="A236" i="81" s="1"/>
  <c r="A237" i="81" s="1"/>
  <c r="A238" i="81" s="1"/>
  <c r="A239" i="81" s="1"/>
  <c r="A240" i="81" s="1"/>
  <c r="A241" i="81" s="1"/>
  <c r="A242" i="81" s="1"/>
  <c r="A243" i="81" s="1"/>
  <c r="A244" i="81" s="1"/>
  <c r="A245" i="81" s="1"/>
  <c r="A246" i="81" s="1"/>
  <c r="A247" i="81" s="1"/>
  <c r="A248" i="81" s="1"/>
  <c r="A249" i="81" s="1"/>
  <c r="A250" i="81" s="1"/>
  <c r="A251" i="81" s="1"/>
  <c r="A252" i="81" s="1"/>
  <c r="A253" i="81" s="1"/>
  <c r="A254" i="81" s="1"/>
  <c r="A255" i="81" s="1"/>
  <c r="A256" i="81" s="1"/>
  <c r="A257" i="81" s="1"/>
  <c r="A258" i="81" s="1"/>
  <c r="A259" i="81" s="1"/>
  <c r="A260" i="81" s="1"/>
  <c r="A261" i="81" s="1"/>
  <c r="A262" i="81" s="1"/>
  <c r="A263" i="81" s="1"/>
  <c r="A264" i="81" s="1"/>
  <c r="A265" i="81" s="1"/>
  <c r="A266" i="81" s="1"/>
  <c r="A267" i="81" s="1"/>
  <c r="A268" i="81" s="1"/>
  <c r="A269" i="81" s="1"/>
  <c r="A270" i="81" s="1"/>
  <c r="A271" i="81" s="1"/>
  <c r="A272" i="81" s="1"/>
  <c r="A273" i="81" s="1"/>
  <c r="A274" i="81" s="1"/>
  <c r="A275" i="81" s="1"/>
  <c r="A276" i="81" s="1"/>
  <c r="A277" i="81" s="1"/>
  <c r="A278" i="81" s="1"/>
  <c r="A279" i="81" s="1"/>
  <c r="A280" i="81" s="1"/>
  <c r="A281" i="81" s="1"/>
  <c r="A282" i="81" s="1"/>
  <c r="A283" i="81" s="1"/>
  <c r="A284" i="81" s="1"/>
  <c r="A285" i="81" s="1"/>
  <c r="A286" i="81" s="1"/>
  <c r="A287" i="81" s="1"/>
  <c r="A288" i="81" s="1"/>
  <c r="A289" i="81" s="1"/>
  <c r="A290" i="81" s="1"/>
  <c r="A291" i="81" s="1"/>
  <c r="A292" i="81" s="1"/>
  <c r="A293" i="81" s="1"/>
  <c r="A294" i="81" s="1"/>
  <c r="A295" i="81" s="1"/>
  <c r="A296" i="81" s="1"/>
  <c r="A297" i="81" s="1"/>
  <c r="A298" i="81" s="1"/>
  <c r="A299" i="81" s="1"/>
  <c r="A300" i="81" s="1"/>
  <c r="A301" i="81" s="1"/>
  <c r="A302" i="81" s="1"/>
  <c r="A303" i="81" s="1"/>
  <c r="A304" i="81" s="1"/>
  <c r="A305" i="81" s="1"/>
  <c r="A306" i="81" s="1"/>
  <c r="A307" i="81" s="1"/>
  <c r="A308" i="81" s="1"/>
  <c r="A309" i="81" s="1"/>
  <c r="A310" i="81" s="1"/>
  <c r="A311" i="81" s="1"/>
  <c r="A312" i="81" s="1"/>
  <c r="A313" i="81" s="1"/>
  <c r="A314" i="81" s="1"/>
  <c r="A315" i="81" s="1"/>
  <c r="A316" i="81" s="1"/>
  <c r="A317" i="81" s="1"/>
  <c r="A318" i="81" s="1"/>
  <c r="A319" i="81" s="1"/>
  <c r="A320" i="81" s="1"/>
  <c r="A321" i="81" s="1"/>
  <c r="A322" i="81" s="1"/>
  <c r="A323" i="81" s="1"/>
  <c r="A324" i="81" s="1"/>
  <c r="A325" i="81" s="1"/>
  <c r="A326" i="81" s="1"/>
  <c r="A327" i="81" s="1"/>
  <c r="A328" i="81" s="1"/>
  <c r="A329" i="81" s="1"/>
  <c r="A330" i="81" s="1"/>
  <c r="A331" i="81" s="1"/>
  <c r="A332" i="81" s="1"/>
  <c r="A333" i="81" s="1"/>
  <c r="A334" i="81" s="1"/>
  <c r="A335" i="81" s="1"/>
  <c r="A336" i="81" s="1"/>
  <c r="A337" i="81" s="1"/>
  <c r="A338" i="81" s="1"/>
  <c r="A339" i="81" s="1"/>
  <c r="A340" i="81" s="1"/>
  <c r="A341" i="81" s="1"/>
  <c r="A342" i="81" s="1"/>
  <c r="A343" i="81" s="1"/>
  <c r="A344" i="81" s="1"/>
  <c r="A345" i="81" s="1"/>
  <c r="A346" i="81" s="1"/>
  <c r="A347" i="81" s="1"/>
  <c r="A348" i="81" s="1"/>
  <c r="A349" i="81" s="1"/>
  <c r="A350" i="81" s="1"/>
  <c r="A351" i="81" s="1"/>
  <c r="A352" i="81" s="1"/>
  <c r="A353" i="81" s="1"/>
  <c r="A354" i="81" s="1"/>
  <c r="A355" i="81" s="1"/>
  <c r="A356" i="81" s="1"/>
  <c r="A357" i="81" s="1"/>
  <c r="A358" i="81" s="1"/>
  <c r="A359" i="81" s="1"/>
  <c r="A360" i="81" s="1"/>
  <c r="A361" i="81" s="1"/>
  <c r="A362" i="81" s="1"/>
  <c r="A363" i="81" s="1"/>
  <c r="A364" i="81" s="1"/>
  <c r="A365" i="81" s="1"/>
  <c r="A366" i="81" s="1"/>
  <c r="A367" i="81" s="1"/>
  <c r="A368" i="81" s="1"/>
  <c r="A369" i="81" s="1"/>
  <c r="A370" i="81" s="1"/>
  <c r="A371" i="81" s="1"/>
  <c r="A372" i="81" s="1"/>
  <c r="A373" i="81" s="1"/>
  <c r="A374" i="81" s="1"/>
  <c r="A375" i="81" s="1"/>
  <c r="A376" i="81" s="1"/>
  <c r="A377" i="81" s="1"/>
  <c r="A378" i="81" s="1"/>
  <c r="A379" i="81" s="1"/>
  <c r="A380" i="81" s="1"/>
  <c r="A381" i="81" s="1"/>
  <c r="A382" i="81" s="1"/>
  <c r="A383" i="81" s="1"/>
  <c r="A384" i="81" s="1"/>
  <c r="A385" i="81" s="1"/>
  <c r="A386" i="81" s="1"/>
  <c r="A387" i="81" s="1"/>
  <c r="A388" i="81" s="1"/>
  <c r="A389" i="81" s="1"/>
  <c r="A390" i="81" s="1"/>
  <c r="A391" i="81" s="1"/>
  <c r="A392" i="81" s="1"/>
  <c r="A393" i="81" s="1"/>
  <c r="A394" i="81" s="1"/>
  <c r="A395" i="81" s="1"/>
  <c r="A396" i="81" s="1"/>
  <c r="A397" i="81" s="1"/>
  <c r="A398" i="81" s="1"/>
  <c r="A399" i="81" s="1"/>
  <c r="A400" i="81" s="1"/>
  <c r="A401" i="81" s="1"/>
  <c r="A402" i="81" s="1"/>
  <c r="A403" i="81" s="1"/>
  <c r="A404" i="81" s="1"/>
  <c r="A405" i="81" s="1"/>
  <c r="A406" i="81" s="1"/>
  <c r="A407" i="81" s="1"/>
  <c r="A408" i="81" s="1"/>
  <c r="A409" i="81" s="1"/>
  <c r="A410" i="81" s="1"/>
  <c r="A411" i="81" s="1"/>
  <c r="A412" i="81" s="1"/>
  <c r="A413" i="81" s="1"/>
  <c r="O3" i="81"/>
  <c r="H3" i="81"/>
  <c r="A3" i="81"/>
  <c r="H2" i="81"/>
  <c r="A376" i="80"/>
  <c r="D374" i="80"/>
  <c r="J4" i="80" s="1"/>
  <c r="J2" i="80" s="1"/>
  <c r="I13" i="3" s="1"/>
  <c r="I6" i="80"/>
  <c r="J3" i="80"/>
  <c r="K13" i="3" s="1"/>
  <c r="F13" i="4"/>
  <c r="D3" i="4"/>
  <c r="O2" i="81" l="1"/>
  <c r="O13" i="3" s="1"/>
  <c r="E366" i="80"/>
  <c r="E200" i="80"/>
  <c r="E179" i="80"/>
  <c r="E187" i="80"/>
  <c r="E195" i="80"/>
  <c r="E203" i="80"/>
  <c r="E181" i="80"/>
  <c r="E189" i="80"/>
  <c r="E197" i="80"/>
  <c r="E176" i="80"/>
  <c r="E180" i="80"/>
  <c r="E188" i="80"/>
  <c r="E196" i="80"/>
  <c r="E204" i="80"/>
  <c r="E191" i="80"/>
  <c r="E192" i="80"/>
  <c r="E182" i="80"/>
  <c r="E190" i="80"/>
  <c r="E198" i="80"/>
  <c r="E183" i="80"/>
  <c r="E184" i="80"/>
  <c r="E177" i="80"/>
  <c r="E185" i="80"/>
  <c r="E193" i="80"/>
  <c r="E201" i="80"/>
  <c r="E178" i="80"/>
  <c r="E186" i="80"/>
  <c r="E194" i="80"/>
  <c r="E202" i="80"/>
  <c r="E199" i="80"/>
  <c r="E365" i="80"/>
  <c r="E358" i="80"/>
  <c r="E364" i="80"/>
  <c r="E357" i="80"/>
  <c r="E363" i="80"/>
  <c r="F17" i="83"/>
  <c r="F17" i="82"/>
  <c r="E356" i="80"/>
  <c r="E362" i="80"/>
  <c r="E354" i="80"/>
  <c r="E353" i="80"/>
  <c r="E350" i="80"/>
  <c r="H350" i="80" s="1"/>
  <c r="E352" i="80"/>
  <c r="E359" i="80"/>
  <c r="E374" i="80" l="1"/>
  <c r="AY3" i="3"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6" l="1"/>
  <c r="S17"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Q24" i="71"/>
  <c r="F24" i="71" s="1"/>
  <c r="F23" i="71" s="1"/>
  <c r="F22" i="71" s="1"/>
  <c r="P24" i="71"/>
  <c r="E24" i="71" s="1"/>
  <c r="O24" i="71"/>
  <c r="C24" i="7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C59" i="71" s="1"/>
  <c r="N58" i="71"/>
  <c r="Q57" i="71"/>
  <c r="F58" i="71" s="1"/>
  <c r="P57" i="71"/>
  <c r="E58" i="71"/>
  <c r="O57" i="71"/>
  <c r="C58" i="71" s="1"/>
  <c r="N57" i="71"/>
  <c r="B58" i="71" s="1"/>
  <c r="B59" i="71" s="1"/>
  <c r="D57" i="71"/>
  <c r="Q56" i="71"/>
  <c r="P56" i="71"/>
  <c r="O56" i="71"/>
  <c r="N56" i="71"/>
  <c r="Q55" i="71"/>
  <c r="P55" i="71"/>
  <c r="O55" i="71"/>
  <c r="N55" i="71"/>
  <c r="Q54" i="71"/>
  <c r="P54" i="71"/>
  <c r="O54" i="71"/>
  <c r="N54" i="71"/>
  <c r="C54" i="71"/>
  <c r="Q53" i="71"/>
  <c r="F54" i="71" s="1"/>
  <c r="P53" i="71"/>
  <c r="E54" i="71"/>
  <c r="E55" i="71" s="1"/>
  <c r="E56" i="71" s="1"/>
  <c r="U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X38" i="71" s="1"/>
  <c r="Q37" i="71"/>
  <c r="P37" i="71"/>
  <c r="O37" i="71"/>
  <c r="Y37" i="71" s="1"/>
  <c r="Z37" i="71" s="1"/>
  <c r="N37" i="71"/>
  <c r="B38" i="71" s="1"/>
  <c r="D37" i="71"/>
  <c r="Q36" i="71"/>
  <c r="P36" i="71"/>
  <c r="AA27" i="71" s="1"/>
  <c r="O36" i="71"/>
  <c r="N36" i="71"/>
  <c r="Q35" i="71"/>
  <c r="P35" i="71"/>
  <c r="O35" i="71"/>
  <c r="N35" i="71"/>
  <c r="Q34" i="71"/>
  <c r="P34" i="71"/>
  <c r="O34" i="71"/>
  <c r="N34" i="71"/>
  <c r="Q33" i="71"/>
  <c r="P33" i="71"/>
  <c r="O33" i="71"/>
  <c r="N33" i="71"/>
  <c r="B34" i="71" s="1"/>
  <c r="D33" i="71"/>
  <c r="Q32" i="71"/>
  <c r="P32" i="71"/>
  <c r="O32" i="71"/>
  <c r="N32" i="71"/>
  <c r="Q31" i="71"/>
  <c r="P31" i="71"/>
  <c r="O31" i="71"/>
  <c r="N31" i="71"/>
  <c r="Q30" i="71"/>
  <c r="P30" i="71"/>
  <c r="O30" i="71"/>
  <c r="N30" i="71"/>
  <c r="Q29" i="71"/>
  <c r="F30" i="71" s="1"/>
  <c r="P29" i="71"/>
  <c r="O29" i="71"/>
  <c r="C30" i="71" s="1"/>
  <c r="N29" i="71"/>
  <c r="X25" i="71" s="1"/>
  <c r="D29" i="71"/>
  <c r="O28" i="71"/>
  <c r="N28" i="71"/>
  <c r="B28" i="71" s="1"/>
  <c r="E30" i="71"/>
  <c r="E31" i="71"/>
  <c r="E32" i="71" s="1"/>
  <c r="U32" i="71" s="1"/>
  <c r="B39" i="71"/>
  <c r="B40" i="71" s="1"/>
  <c r="S40" i="71" s="1"/>
  <c r="E34" i="71"/>
  <c r="C34" i="71"/>
  <c r="D34" i="71" s="1"/>
  <c r="X34" i="71"/>
  <c r="C38" i="71"/>
  <c r="D38" i="71" s="1"/>
  <c r="P28" i="71"/>
  <c r="E28" i="71" s="1"/>
  <c r="Q28" i="71"/>
  <c r="D54" i="71"/>
  <c r="D58" i="71"/>
  <c r="T68" i="71"/>
  <c r="O68" i="71"/>
  <c r="D68" i="71"/>
  <c r="Q68" i="71"/>
  <c r="D72" i="71"/>
  <c r="C75" i="71"/>
  <c r="D76" i="71"/>
  <c r="C87" i="71"/>
  <c r="C86" i="71" s="1"/>
  <c r="D86" i="71" s="1"/>
  <c r="F28" i="71"/>
  <c r="F27" i="71" s="1"/>
  <c r="F26" i="71" s="1"/>
  <c r="D75" i="71"/>
  <c r="C74" i="71"/>
  <c r="D74"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H25" i="40"/>
  <c r="AB25" i="40" s="1"/>
  <c r="J25" i="40"/>
  <c r="AC25" i="40" s="1"/>
  <c r="H29" i="39"/>
  <c r="AB29" i="39" s="1"/>
  <c r="J29" i="39"/>
  <c r="J18" i="36"/>
  <c r="AC18" i="36" s="1"/>
  <c r="H18" i="35"/>
  <c r="AB18" i="35" s="1"/>
  <c r="J18" i="35"/>
  <c r="AC18" i="35" s="1"/>
  <c r="H21" i="37"/>
  <c r="AB21" i="37" s="1"/>
  <c r="F21" i="37"/>
  <c r="AA21" i="37" s="1"/>
  <c r="F84" i="34"/>
  <c r="G84" i="34" s="1"/>
  <c r="H21" i="34"/>
  <c r="AB21" i="34" s="1"/>
  <c r="H21" i="33"/>
  <c r="U21" i="33" s="1"/>
  <c r="F21" i="33"/>
  <c r="S21" i="33" s="1"/>
  <c r="H1" i="69"/>
  <c r="W25" i="40"/>
  <c r="W18" i="36"/>
  <c r="AA21" i="33"/>
  <c r="J21" i="37"/>
  <c r="W21" i="37" s="1"/>
  <c r="J21" i="34"/>
  <c r="W21" i="34" s="1"/>
  <c r="J21" i="33"/>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5" i="39"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23"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T5" i="3" s="1"/>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L192" i="3" s="1"/>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S62" i="31" s="1"/>
  <c r="R63" i="31"/>
  <c r="R64" i="31"/>
  <c r="R65" i="31"/>
  <c r="R66" i="31"/>
  <c r="R67" i="31"/>
  <c r="R68" i="31"/>
  <c r="R69" i="31"/>
  <c r="R70" i="31"/>
  <c r="S70" i="31" s="1"/>
  <c r="R71" i="31"/>
  <c r="R72" i="31"/>
  <c r="R73" i="31"/>
  <c r="R74" i="31"/>
  <c r="R75" i="31"/>
  <c r="R76" i="31"/>
  <c r="R77" i="31"/>
  <c r="R78" i="31"/>
  <c r="S78" i="31" s="1"/>
  <c r="R79" i="31"/>
  <c r="R80" i="31"/>
  <c r="R81" i="31"/>
  <c r="R82" i="31"/>
  <c r="R83" i="31"/>
  <c r="R84" i="31"/>
  <c r="R85" i="31"/>
  <c r="S85" i="31" s="1"/>
  <c r="R86" i="31"/>
  <c r="S86" i="31" s="1"/>
  <c r="R87" i="31"/>
  <c r="R88" i="31"/>
  <c r="R89" i="31"/>
  <c r="R90" i="31"/>
  <c r="R91" i="31"/>
  <c r="R92" i="31"/>
  <c r="R93" i="31"/>
  <c r="S93" i="31" s="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S117" i="31" s="1"/>
  <c r="R118" i="31"/>
  <c r="S118" i="31" s="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S292" i="31" s="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S426" i="31" s="1"/>
  <c r="R427" i="31"/>
  <c r="R428" i="31"/>
  <c r="R429" i="31"/>
  <c r="S429" i="31" s="1"/>
  <c r="R430" i="31"/>
  <c r="R431" i="31"/>
  <c r="R432" i="31"/>
  <c r="R433" i="31"/>
  <c r="R434" i="31"/>
  <c r="R435" i="31"/>
  <c r="R436" i="31"/>
  <c r="R437" i="31"/>
  <c r="S437" i="31" s="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S498" i="31" s="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AZ17" i="3"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8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10" i="31"/>
  <c r="S408" i="31"/>
  <c r="S406" i="31"/>
  <c r="S404" i="31"/>
  <c r="S400" i="31"/>
  <c r="S398" i="31"/>
  <c r="S396" i="31"/>
  <c r="S394" i="31"/>
  <c r="S392" i="31"/>
  <c r="S390" i="31"/>
  <c r="S388" i="31"/>
  <c r="S384" i="31"/>
  <c r="S382" i="31"/>
  <c r="S380" i="31"/>
  <c r="S378"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4" i="31"/>
  <c r="S282" i="31"/>
  <c r="S280" i="31"/>
  <c r="S278" i="31"/>
  <c r="S276" i="31"/>
  <c r="S274" i="31"/>
  <c r="S272" i="31"/>
  <c r="S268" i="31"/>
  <c r="S266" i="31"/>
  <c r="S264" i="31"/>
  <c r="S262" i="31"/>
  <c r="S260" i="31"/>
  <c r="S258"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8" i="31"/>
  <c r="S427"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6" i="31"/>
  <c r="S435" i="31"/>
  <c r="S434" i="31"/>
  <c r="S433" i="31"/>
  <c r="S432" i="31"/>
  <c r="S431" i="31"/>
  <c r="S430" i="31"/>
  <c r="S122" i="31"/>
  <c r="S121" i="31"/>
  <c r="S120" i="31"/>
  <c r="S119" i="31"/>
  <c r="S116" i="31"/>
  <c r="S115" i="31"/>
  <c r="S114" i="31"/>
  <c r="S113" i="31"/>
  <c r="S112" i="31"/>
  <c r="S506" i="31"/>
  <c r="S504" i="31"/>
  <c r="S502" i="31"/>
  <c r="S500" i="31"/>
  <c r="S467" i="31"/>
  <c r="S466" i="31"/>
  <c r="S465" i="31"/>
  <c r="S464" i="31"/>
  <c r="S463" i="31"/>
  <c r="S462" i="31"/>
  <c r="S460" i="31"/>
  <c r="S459" i="31"/>
  <c r="S458" i="31"/>
  <c r="S457" i="31"/>
  <c r="S456" i="31"/>
  <c r="S455" i="31"/>
  <c r="S454" i="31"/>
  <c r="S452" i="31"/>
  <c r="S451"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69" i="31"/>
  <c r="S68" i="31"/>
  <c r="S67" i="31"/>
  <c r="S66" i="31"/>
  <c r="S65" i="31"/>
  <c r="S64" i="31"/>
  <c r="S63" i="31"/>
  <c r="S61" i="31"/>
  <c r="S60" i="31"/>
  <c r="S59" i="31"/>
  <c r="S58" i="31"/>
  <c r="S57" i="31"/>
  <c r="S56" i="31"/>
  <c r="S55" i="31"/>
  <c r="S24" i="31"/>
  <c r="S97" i="31"/>
  <c r="S96" i="31"/>
  <c r="S95" i="31"/>
  <c r="S94" i="31"/>
  <c r="S92" i="31"/>
  <c r="S91" i="31"/>
  <c r="S90" i="31"/>
  <c r="S89" i="31"/>
  <c r="S88" i="31"/>
  <c r="S87" i="31"/>
  <c r="S84" i="31"/>
  <c r="S83" i="31"/>
  <c r="S82" i="31"/>
  <c r="S81" i="31"/>
  <c r="S80" i="31"/>
  <c r="S79" i="31"/>
  <c r="S31" i="31"/>
  <c r="S98" i="31"/>
  <c r="S99" i="31"/>
  <c r="S100" i="31"/>
  <c r="S101" i="31"/>
  <c r="S102" i="31"/>
  <c r="S103" i="31"/>
  <c r="S104" i="31"/>
  <c r="S105" i="31"/>
  <c r="S106" i="31"/>
  <c r="S107" i="31"/>
  <c r="S108" i="31"/>
  <c r="S109" i="31"/>
  <c r="S110" i="31"/>
  <c r="S111"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A494" i="3" s="1"/>
  <c r="BI494" i="3"/>
  <c r="BJ494" i="3"/>
  <c r="BK494" i="3"/>
  <c r="BM494" i="3"/>
  <c r="BN494" i="3"/>
  <c r="BO494" i="3"/>
  <c r="BP494" i="3"/>
  <c r="BQ494" i="3"/>
  <c r="BL494" i="3" s="1"/>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BL500" i="3" s="1"/>
  <c r="H501" i="3"/>
  <c r="AC501" i="3"/>
  <c r="BB501" i="3"/>
  <c r="BC501" i="3"/>
  <c r="BD501" i="3"/>
  <c r="BE501" i="3"/>
  <c r="BF501" i="3"/>
  <c r="BG501" i="3"/>
  <c r="BA501" i="3" s="1"/>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A503" i="3" s="1"/>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A506" i="3" s="1"/>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A510" i="3" s="1"/>
  <c r="BJ510" i="3"/>
  <c r="BK510" i="3"/>
  <c r="BM510" i="3"/>
  <c r="BN510" i="3"/>
  <c r="BO510" i="3"/>
  <c r="BP510" i="3"/>
  <c r="BQ510" i="3"/>
  <c r="BR510" i="3"/>
  <c r="BL510" i="3" s="1"/>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A513" i="3" s="1"/>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A520" i="3" s="1"/>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A522" i="3" s="1"/>
  <c r="BI522" i="3"/>
  <c r="BJ522" i="3"/>
  <c r="BK522" i="3"/>
  <c r="BM522" i="3"/>
  <c r="BN522" i="3"/>
  <c r="BO522" i="3"/>
  <c r="BP522" i="3"/>
  <c r="BQ522" i="3"/>
  <c r="BL522" i="3" s="1"/>
  <c r="BR522" i="3"/>
  <c r="BS522" i="3"/>
  <c r="BT522" i="3"/>
  <c r="H523" i="3"/>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A524" i="3" s="1"/>
  <c r="BJ524" i="3"/>
  <c r="BK524" i="3"/>
  <c r="BM524" i="3"/>
  <c r="BN524" i="3"/>
  <c r="BO524" i="3"/>
  <c r="BP524" i="3"/>
  <c r="BQ524" i="3"/>
  <c r="BR524" i="3"/>
  <c r="BL524"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A529" i="3" s="1"/>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A531" i="3" s="1"/>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A533" i="3" s="1"/>
  <c r="BJ533" i="3"/>
  <c r="BK533" i="3"/>
  <c r="BM533" i="3"/>
  <c r="BN533" i="3"/>
  <c r="BO533" i="3"/>
  <c r="BP533" i="3"/>
  <c r="BR533" i="3"/>
  <c r="BS533" i="3"/>
  <c r="BT533" i="3"/>
  <c r="H534" i="3"/>
  <c r="AC534" i="3"/>
  <c r="BB534" i="3"/>
  <c r="BC534" i="3"/>
  <c r="BD534" i="3"/>
  <c r="BE534" i="3"/>
  <c r="BF534" i="3"/>
  <c r="BA534" i="3" s="1"/>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A538" i="3" s="1"/>
  <c r="BI538" i="3"/>
  <c r="BJ538" i="3"/>
  <c r="BK538" i="3"/>
  <c r="BM538" i="3"/>
  <c r="BN538" i="3"/>
  <c r="BO538" i="3"/>
  <c r="BP538" i="3"/>
  <c r="BQ538" i="3"/>
  <c r="BL538" i="3" s="1"/>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L542" i="3" s="1"/>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s="1"/>
  <c r="H545" i="3"/>
  <c r="AC545" i="3"/>
  <c r="BB545" i="3"/>
  <c r="BC545" i="3"/>
  <c r="BD545" i="3"/>
  <c r="BE545" i="3"/>
  <c r="BF545" i="3"/>
  <c r="BG545" i="3"/>
  <c r="BA545" i="3" s="1"/>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A547" i="3" s="1"/>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A549" i="3" s="1"/>
  <c r="BJ549" i="3"/>
  <c r="BK549" i="3"/>
  <c r="BM549" i="3"/>
  <c r="BN549" i="3"/>
  <c r="BO549" i="3"/>
  <c r="BP549" i="3"/>
  <c r="BR549" i="3"/>
  <c r="BS549" i="3"/>
  <c r="BL549" i="3" s="1"/>
  <c r="AZ549" i="3" s="1"/>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A554" i="3" s="1"/>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AC43" i="39" s="1"/>
  <c r="D125" i="39"/>
  <c r="E125" i="39" s="1"/>
  <c r="F125" i="39" s="1"/>
  <c r="G125" i="39" s="1"/>
  <c r="H125" i="39" s="1"/>
  <c r="I125" i="39" s="1"/>
  <c r="J125" i="39" s="1"/>
  <c r="K125" i="39" s="1"/>
  <c r="L125" i="39" s="1"/>
  <c r="M125" i="39" s="1"/>
  <c r="D121" i="39"/>
  <c r="B103" i="39"/>
  <c r="H31" i="39" s="1"/>
  <c r="AB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Q29" i="37"/>
  <c r="Z29" i="37" s="1"/>
  <c r="H29" i="37"/>
  <c r="AB29" i="37" s="1"/>
  <c r="Q28" i="37"/>
  <c r="Z28" i="37"/>
  <c r="Q27" i="37"/>
  <c r="Z27" i="37" s="1"/>
  <c r="Q26" i="37"/>
  <c r="Z26" i="37" s="1"/>
  <c r="AB26" i="37"/>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A23" i="36"/>
  <c r="Q22" i="36"/>
  <c r="Z22" i="36" s="1"/>
  <c r="J22" i="36"/>
  <c r="Q20" i="36"/>
  <c r="Z20" i="36"/>
  <c r="Q16" i="36"/>
  <c r="Z16" i="36"/>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J23" i="35" s="1"/>
  <c r="AC23" i="35" s="1"/>
  <c r="H23" i="35"/>
  <c r="B57" i="35"/>
  <c r="B61" i="35"/>
  <c r="B59" i="35"/>
  <c r="F12" i="35" s="1"/>
  <c r="B131" i="34"/>
  <c r="B129" i="34"/>
  <c r="B127" i="34"/>
  <c r="B99" i="34"/>
  <c r="B97" i="34"/>
  <c r="H31" i="34" s="1"/>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c r="Q34" i="35"/>
  <c r="Z34" i="35" s="1"/>
  <c r="Q33" i="35"/>
  <c r="Z33" i="35" s="1"/>
  <c r="Q32" i="35"/>
  <c r="Z32" i="35" s="1"/>
  <c r="H32" i="35"/>
  <c r="AB32" i="35" s="1"/>
  <c r="F32" i="35"/>
  <c r="AA32" i="35" s="1"/>
  <c r="Q31" i="35"/>
  <c r="Z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s="1"/>
  <c r="Q42" i="34"/>
  <c r="Z42" i="34" s="1"/>
  <c r="Q41" i="34"/>
  <c r="Z41" i="34"/>
  <c r="Q40" i="34"/>
  <c r="Z40" i="34" s="1"/>
  <c r="Q39" i="34"/>
  <c r="Z39" i="34"/>
  <c r="H39" i="34"/>
  <c r="AB39" i="34"/>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H40" i="33"/>
  <c r="AB40" i="33"/>
  <c r="AA40" i="33"/>
  <c r="Q39" i="33"/>
  <c r="Z39" i="33" s="1"/>
  <c r="J39" i="33"/>
  <c r="AC39" i="33" s="1"/>
  <c r="Q38" i="33"/>
  <c r="Z38" i="33"/>
  <c r="J38" i="33"/>
  <c r="AC38" i="33" s="1"/>
  <c r="H38" i="33"/>
  <c r="AB38" i="33" s="1"/>
  <c r="F38" i="33"/>
  <c r="AA38" i="33"/>
  <c r="Q37" i="33"/>
  <c r="Z37" i="33" s="1"/>
  <c r="Q36" i="33"/>
  <c r="Z36" i="33" s="1"/>
  <c r="Q35" i="33"/>
  <c r="Z35" i="33" s="1"/>
  <c r="H35" i="33"/>
  <c r="AB35" i="33"/>
  <c r="Q34" i="33"/>
  <c r="Z34" i="33"/>
  <c r="Q33" i="33"/>
  <c r="Z33" i="33" s="1"/>
  <c r="J33" i="33"/>
  <c r="H33" i="33"/>
  <c r="AB33" i="33" s="1"/>
  <c r="F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G19" i="20"/>
  <c r="G16" i="20"/>
  <c r="B84" i="86" s="1"/>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B96" i="21"/>
  <c r="B94" i="21"/>
  <c r="J29" i="21" s="1"/>
  <c r="AC29" i="21" s="1"/>
  <c r="B92" i="21"/>
  <c r="B90" i="21"/>
  <c r="J27" i="21" s="1"/>
  <c r="W27" i="21" s="1"/>
  <c r="B74" i="21"/>
  <c r="B72" i="21"/>
  <c r="B70" i="21"/>
  <c r="F12" i="21" s="1"/>
  <c r="C19" i="21"/>
  <c r="C17" i="21"/>
  <c r="C23" i="21"/>
  <c r="Q9" i="21"/>
  <c r="Z9" i="21" s="1"/>
  <c r="Q10" i="21"/>
  <c r="Z10" i="21" s="1"/>
  <c r="Q11" i="21"/>
  <c r="Z11" i="21" s="1"/>
  <c r="Q12" i="21"/>
  <c r="Z12" i="21"/>
  <c r="Q13" i="21"/>
  <c r="Z13" i="21" s="1"/>
  <c r="Q14" i="21"/>
  <c r="Z14" i="21" s="1"/>
  <c r="Q15" i="21"/>
  <c r="Z15" i="21"/>
  <c r="Q17" i="21"/>
  <c r="Z17" i="21"/>
  <c r="Q19" i="21"/>
  <c r="Z19" i="21"/>
  <c r="Q23" i="21"/>
  <c r="Z23" i="21" s="1"/>
  <c r="Q25" i="21"/>
  <c r="Z25" i="21" s="1"/>
  <c r="Q26" i="21"/>
  <c r="Z26" i="21" s="1"/>
  <c r="Q27" i="21"/>
  <c r="Z27" i="21"/>
  <c r="Q28" i="21"/>
  <c r="Z28" i="21" s="1"/>
  <c r="Q29" i="21"/>
  <c r="Z29" i="21" s="1"/>
  <c r="Q30" i="21"/>
  <c r="Z30" i="21"/>
  <c r="Q31" i="21"/>
  <c r="Z31" i="21"/>
  <c r="Q32" i="21"/>
  <c r="Z32" i="21" s="1"/>
  <c r="Q33" i="21"/>
  <c r="Z33" i="21" s="1"/>
  <c r="Q34" i="21"/>
  <c r="Z34" i="21" s="1"/>
  <c r="J35" i="21"/>
  <c r="Q35" i="21"/>
  <c r="Z35" i="21" s="1"/>
  <c r="Q36" i="21"/>
  <c r="Z36" i="21"/>
  <c r="Q37" i="21"/>
  <c r="Z37" i="21" s="1"/>
  <c r="J38" i="21"/>
  <c r="W38" i="21"/>
  <c r="Q38" i="21"/>
  <c r="Z38" i="21" s="1"/>
  <c r="J39" i="21"/>
  <c r="AC39" i="21"/>
  <c r="Q39" i="21"/>
  <c r="Z39" i="21" s="1"/>
  <c r="H40" i="21"/>
  <c r="AB40" i="21" s="1"/>
  <c r="Q40" i="21"/>
  <c r="Z40" i="21" s="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BB12" i="3"/>
  <c r="F7" i="12"/>
  <c r="G7" i="12"/>
  <c r="K5" i="3"/>
  <c r="F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H586" i="3"/>
  <c r="G586" i="3" s="1"/>
  <c r="H587" i="3"/>
  <c r="F5" i="3"/>
  <c r="F34" i="21"/>
  <c r="AA34" i="21" s="1"/>
  <c r="H34" i="21"/>
  <c r="F43" i="21"/>
  <c r="S43" i="21" s="1"/>
  <c r="H38" i="21"/>
  <c r="H43" i="21"/>
  <c r="AB43" i="21" s="1"/>
  <c r="F38" i="21"/>
  <c r="S38" i="21" s="1"/>
  <c r="F36" i="21"/>
  <c r="S36" i="21" s="1"/>
  <c r="F39" i="21"/>
  <c r="J40" i="21"/>
  <c r="W40" i="21" s="1"/>
  <c r="H35" i="21"/>
  <c r="AB35" i="21"/>
  <c r="J8" i="21"/>
  <c r="AC8" i="21" s="1"/>
  <c r="H8" i="21"/>
  <c r="U8" i="21" s="1"/>
  <c r="H10" i="21"/>
  <c r="AB10" i="21" s="1"/>
  <c r="H39" i="21"/>
  <c r="J34" i="21"/>
  <c r="W34" i="21" s="1"/>
  <c r="H36" i="21"/>
  <c r="U36" i="21"/>
  <c r="F35" i="21"/>
  <c r="AA35" i="21" s="1"/>
  <c r="J10" i="21"/>
  <c r="AC10" i="21" s="1"/>
  <c r="H26" i="21"/>
  <c r="AB26" i="21" s="1"/>
  <c r="AB19" i="21"/>
  <c r="J19" i="21"/>
  <c r="W19" i="21"/>
  <c r="J26" i="21"/>
  <c r="F26" i="21"/>
  <c r="S26" i="21" s="1"/>
  <c r="AB41" i="21"/>
  <c r="J44" i="39"/>
  <c r="F36" i="39"/>
  <c r="S36" i="39" s="1"/>
  <c r="H36" i="39"/>
  <c r="AB36" i="39" s="1"/>
  <c r="J35" i="39"/>
  <c r="AC35" i="39" s="1"/>
  <c r="F35" i="39"/>
  <c r="AA35" i="39" s="1"/>
  <c r="J36" i="39"/>
  <c r="AC36" i="39" s="1"/>
  <c r="U30" i="37"/>
  <c r="W31" i="37"/>
  <c r="E103" i="37"/>
  <c r="F103" i="37" s="1"/>
  <c r="G103" i="37" s="1"/>
  <c r="H103" i="37" s="1"/>
  <c r="I103" i="37" s="1"/>
  <c r="J103" i="37" s="1"/>
  <c r="K103" i="37" s="1"/>
  <c r="L103" i="37" s="1"/>
  <c r="M103" i="37" s="1"/>
  <c r="F39" i="37"/>
  <c r="S39" i="37" s="1"/>
  <c r="F29" i="36"/>
  <c r="AA29" i="36" s="1"/>
  <c r="F16" i="36"/>
  <c r="U31" i="36"/>
  <c r="H22" i="35"/>
  <c r="AB22" i="35" s="1"/>
  <c r="W28" i="35"/>
  <c r="U31" i="35"/>
  <c r="S31" i="35"/>
  <c r="F36" i="34"/>
  <c r="J35" i="34"/>
  <c r="H39" i="33"/>
  <c r="AB39" i="33" s="1"/>
  <c r="F26" i="33"/>
  <c r="AA26" i="33"/>
  <c r="U33" i="33"/>
  <c r="U35" i="33"/>
  <c r="S40" i="33"/>
  <c r="S27" i="35"/>
  <c r="F11" i="40"/>
  <c r="AA11" i="40" s="1"/>
  <c r="H11" i="40"/>
  <c r="AB11" i="40" s="1"/>
  <c r="W8" i="40"/>
  <c r="AA9" i="40"/>
  <c r="U9" i="40"/>
  <c r="S34" i="40"/>
  <c r="W31" i="40"/>
  <c r="F42" i="39"/>
  <c r="AA42" i="39" s="1"/>
  <c r="F41" i="39"/>
  <c r="S41" i="39" s="1"/>
  <c r="H40" i="39"/>
  <c r="AB40" i="39" s="1"/>
  <c r="S38" i="39"/>
  <c r="H34" i="39"/>
  <c r="U34" i="39" s="1"/>
  <c r="F31" i="39"/>
  <c r="AA31" i="39" s="1"/>
  <c r="E100" i="39"/>
  <c r="F100" i="39" s="1"/>
  <c r="G100" i="39" s="1"/>
  <c r="H19" i="39"/>
  <c r="AB19" i="39" s="1"/>
  <c r="F19" i="39"/>
  <c r="AA19" i="39" s="1"/>
  <c r="H17" i="39"/>
  <c r="AB17" i="39" s="1"/>
  <c r="F17" i="39"/>
  <c r="AA17" i="39" s="1"/>
  <c r="J23" i="40"/>
  <c r="AC23" i="40" s="1"/>
  <c r="F21" i="40"/>
  <c r="J21" i="40"/>
  <c r="W21" i="40"/>
  <c r="H42" i="39"/>
  <c r="AB42" i="39" s="1"/>
  <c r="J34" i="39"/>
  <c r="AC34" i="39" s="1"/>
  <c r="J31" i="39"/>
  <c r="W31" i="39" s="1"/>
  <c r="H27" i="39"/>
  <c r="U27" i="39" s="1"/>
  <c r="J19" i="39"/>
  <c r="AC19" i="39" s="1"/>
  <c r="J17" i="39"/>
  <c r="W17" i="39" s="1"/>
  <c r="J27" i="39"/>
  <c r="AC27" i="39" s="1"/>
  <c r="F27" i="39"/>
  <c r="S27" i="39" s="1"/>
  <c r="F11" i="21"/>
  <c r="S11" i="21" s="1"/>
  <c r="H11" i="39"/>
  <c r="AB11" i="39" s="1"/>
  <c r="C15" i="39"/>
  <c r="H32" i="33"/>
  <c r="AB32" i="33"/>
  <c r="H11" i="21"/>
  <c r="U11" i="21" s="1"/>
  <c r="J11" i="21"/>
  <c r="W11" i="21" s="1"/>
  <c r="H37" i="40"/>
  <c r="U37" i="40"/>
  <c r="H36" i="40"/>
  <c r="AB36" i="40" s="1"/>
  <c r="F35" i="40"/>
  <c r="AA35" i="40" s="1"/>
  <c r="H23" i="40"/>
  <c r="AB23" i="40" s="1"/>
  <c r="H17" i="40"/>
  <c r="J15" i="40"/>
  <c r="W15" i="40" s="1"/>
  <c r="J11" i="40"/>
  <c r="W11" i="40" s="1"/>
  <c r="AC12" i="34"/>
  <c r="F37" i="39"/>
  <c r="AA37" i="39" s="1"/>
  <c r="J34" i="36"/>
  <c r="W34" i="36" s="1"/>
  <c r="U30" i="36"/>
  <c r="J30" i="35"/>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H23" i="34"/>
  <c r="AB23" i="34" s="1"/>
  <c r="J23" i="34"/>
  <c r="F19" i="34"/>
  <c r="H17" i="34"/>
  <c r="F15" i="34"/>
  <c r="AA15" i="34" s="1"/>
  <c r="J15" i="34"/>
  <c r="H15" i="34"/>
  <c r="AB15" i="34" s="1"/>
  <c r="J28" i="34"/>
  <c r="W28" i="34" s="1"/>
  <c r="F41" i="33"/>
  <c r="S41" i="33" s="1"/>
  <c r="AA41" i="33"/>
  <c r="S38" i="33"/>
  <c r="E113" i="33"/>
  <c r="F113" i="33" s="1"/>
  <c r="G113" i="33" s="1"/>
  <c r="H113" i="33" s="1"/>
  <c r="I113" i="33" s="1"/>
  <c r="J113" i="33" s="1"/>
  <c r="K113" i="33" s="1"/>
  <c r="L113" i="33" s="1"/>
  <c r="M113" i="33" s="1"/>
  <c r="F32" i="33"/>
  <c r="AA32" i="33" s="1"/>
  <c r="J19" i="33"/>
  <c r="J15" i="33"/>
  <c r="AC15" i="33"/>
  <c r="F11" i="33"/>
  <c r="S26" i="33"/>
  <c r="U40" i="33"/>
  <c r="F37" i="40"/>
  <c r="F36" i="40"/>
  <c r="AA36" i="40"/>
  <c r="H28" i="40"/>
  <c r="U28" i="40" s="1"/>
  <c r="F23" i="40"/>
  <c r="AA23" i="40" s="1"/>
  <c r="F17" i="40"/>
  <c r="AA17" i="40" s="1"/>
  <c r="J17" i="40"/>
  <c r="W17" i="40" s="1"/>
  <c r="F15" i="40"/>
  <c r="H15" i="40"/>
  <c r="AB15" i="40" s="1"/>
  <c r="AC11" i="40"/>
  <c r="S12" i="36"/>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J25" i="34"/>
  <c r="AC25" i="34" s="1"/>
  <c r="F23" i="34"/>
  <c r="AA23" i="34"/>
  <c r="J19" i="34"/>
  <c r="AC19" i="34" s="1"/>
  <c r="F17" i="34"/>
  <c r="AA17" i="34"/>
  <c r="J17" i="34"/>
  <c r="H37" i="33"/>
  <c r="AB37" i="33" s="1"/>
  <c r="H15" i="33"/>
  <c r="AB15" i="33" s="1"/>
  <c r="H11" i="33"/>
  <c r="AB11" i="33" s="1"/>
  <c r="F28" i="40"/>
  <c r="AA29" i="35"/>
  <c r="AA42" i="34"/>
  <c r="S42" i="34"/>
  <c r="AA38" i="34"/>
  <c r="J37" i="34"/>
  <c r="AC37" i="34" s="1"/>
  <c r="J11" i="33"/>
  <c r="S28" i="34"/>
  <c r="J42" i="21"/>
  <c r="AC42" i="21" s="1"/>
  <c r="H42" i="21"/>
  <c r="U42" i="21" s="1"/>
  <c r="J44" i="34"/>
  <c r="F44" i="34"/>
  <c r="S44" i="34" s="1"/>
  <c r="J10" i="35"/>
  <c r="AC10" i="35" s="1"/>
  <c r="J14" i="21"/>
  <c r="W14" i="21" s="1"/>
  <c r="F14" i="21"/>
  <c r="S14" i="21" s="1"/>
  <c r="H14" i="21"/>
  <c r="U14" i="21" s="1"/>
  <c r="F28" i="21"/>
  <c r="AA28" i="21" s="1"/>
  <c r="H30" i="21"/>
  <c r="U30" i="21" s="1"/>
  <c r="F30" i="21"/>
  <c r="J30" i="21"/>
  <c r="AC30" i="21" s="1"/>
  <c r="H44" i="21"/>
  <c r="H46" i="21"/>
  <c r="U46" i="21" s="1"/>
  <c r="J46" i="21"/>
  <c r="F46" i="21"/>
  <c r="AA46" i="21" s="1"/>
  <c r="E119" i="21"/>
  <c r="F119" i="21" s="1"/>
  <c r="G119" i="21" s="1"/>
  <c r="H119" i="21" s="1"/>
  <c r="I119" i="21" s="1"/>
  <c r="J119" i="21" s="1"/>
  <c r="K119" i="21" s="1"/>
  <c r="L119" i="21" s="1"/>
  <c r="M119" i="21" s="1"/>
  <c r="H26" i="33"/>
  <c r="H28" i="33"/>
  <c r="F28" i="33"/>
  <c r="AA28" i="33" s="1"/>
  <c r="J28" i="33"/>
  <c r="W28" i="33" s="1"/>
  <c r="F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H29" i="21"/>
  <c r="U29" i="21"/>
  <c r="F45" i="21"/>
  <c r="AA45" i="21" s="1"/>
  <c r="F27" i="33"/>
  <c r="J13" i="33"/>
  <c r="H13" i="33"/>
  <c r="U13" i="33" s="1"/>
  <c r="F13" i="33"/>
  <c r="S13" i="33" s="1"/>
  <c r="J29" i="33"/>
  <c r="H29" i="33"/>
  <c r="U29" i="33" s="1"/>
  <c r="F29" i="33"/>
  <c r="S29" i="33" s="1"/>
  <c r="J31" i="33"/>
  <c r="H31" i="33"/>
  <c r="F31" i="33"/>
  <c r="H45" i="33"/>
  <c r="AB45" i="33" s="1"/>
  <c r="J45" i="33"/>
  <c r="W45" i="33" s="1"/>
  <c r="F45" i="33"/>
  <c r="J14" i="34"/>
  <c r="W14" i="34" s="1"/>
  <c r="F14" i="34"/>
  <c r="H14" i="34"/>
  <c r="H30" i="34"/>
  <c r="F30" i="34"/>
  <c r="S30" i="34"/>
  <c r="J30" i="34"/>
  <c r="H32" i="34"/>
  <c r="F32" i="34"/>
  <c r="J32" i="34"/>
  <c r="H46" i="34"/>
  <c r="U46" i="34" s="1"/>
  <c r="F46" i="34"/>
  <c r="J46" i="34"/>
  <c r="H11" i="35"/>
  <c r="AB11" i="35" s="1"/>
  <c r="J11" i="35"/>
  <c r="W11" i="35" s="1"/>
  <c r="F11" i="35"/>
  <c r="S11" i="35" s="1"/>
  <c r="J26" i="36"/>
  <c r="W26" i="36" s="1"/>
  <c r="H28" i="36"/>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H37" i="37"/>
  <c r="U37" i="37" s="1"/>
  <c r="H40" i="37"/>
  <c r="U40" i="37" s="1"/>
  <c r="J40" i="37"/>
  <c r="F40" i="37"/>
  <c r="AA40" i="37" s="1"/>
  <c r="F14" i="33"/>
  <c r="S14" i="33" s="1"/>
  <c r="H30" i="33"/>
  <c r="AB30" i="33" s="1"/>
  <c r="F30" i="33"/>
  <c r="AA30" i="33" s="1"/>
  <c r="J30" i="33"/>
  <c r="J46" i="33"/>
  <c r="AC46" i="33"/>
  <c r="F46" i="33"/>
  <c r="AA46" i="33" s="1"/>
  <c r="H46" i="33"/>
  <c r="AB46" i="33" s="1"/>
  <c r="H13" i="34"/>
  <c r="U13" i="34" s="1"/>
  <c r="J29" i="34"/>
  <c r="AC29" i="34" s="1"/>
  <c r="F29" i="34"/>
  <c r="S29" i="34" s="1"/>
  <c r="H29" i="34"/>
  <c r="AB29" i="34" s="1"/>
  <c r="H45" i="34"/>
  <c r="U45" i="34" s="1"/>
  <c r="J45" i="34"/>
  <c r="W45" i="34"/>
  <c r="F45" i="34"/>
  <c r="S45" i="34" s="1"/>
  <c r="H47" i="34"/>
  <c r="F13" i="35"/>
  <c r="J13" i="35"/>
  <c r="AC13" i="35" s="1"/>
  <c r="H13" i="35"/>
  <c r="U13" i="35" s="1"/>
  <c r="F25" i="35"/>
  <c r="J35" i="35"/>
  <c r="AC35" i="35" s="1"/>
  <c r="F35" i="35"/>
  <c r="AA35" i="35" s="1"/>
  <c r="H35" i="35"/>
  <c r="J25" i="36"/>
  <c r="W25" i="36"/>
  <c r="F25" i="36"/>
  <c r="S25" i="36" s="1"/>
  <c r="H25" i="36"/>
  <c r="H13" i="37"/>
  <c r="AB13" i="37" s="1"/>
  <c r="F13" i="37"/>
  <c r="S13" i="37"/>
  <c r="J13" i="37"/>
  <c r="W13" i="37" s="1"/>
  <c r="F28" i="37"/>
  <c r="AA28" i="37" s="1"/>
  <c r="J28" i="37"/>
  <c r="AC28" i="37" s="1"/>
  <c r="H28" i="37"/>
  <c r="J38" i="37"/>
  <c r="AC38" i="37" s="1"/>
  <c r="J14" i="39"/>
  <c r="AC14" i="39" s="1"/>
  <c r="H30" i="40"/>
  <c r="AB30" i="40" s="1"/>
  <c r="F33" i="40"/>
  <c r="AA33" i="40"/>
  <c r="H33" i="40"/>
  <c r="U33" i="40" s="1"/>
  <c r="J35" i="40"/>
  <c r="AC35" i="40" s="1"/>
  <c r="J37" i="40"/>
  <c r="H13" i="40"/>
  <c r="U13" i="40"/>
  <c r="J13" i="40"/>
  <c r="W13" i="40"/>
  <c r="F13" i="40"/>
  <c r="AA13" i="40" s="1"/>
  <c r="F14" i="37"/>
  <c r="F27" i="37"/>
  <c r="AA27" i="37"/>
  <c r="F13" i="39"/>
  <c r="J13" i="39"/>
  <c r="W13" i="39" s="1"/>
  <c r="H13" i="39"/>
  <c r="H14" i="40"/>
  <c r="AB14" i="40" s="1"/>
  <c r="J14" i="40"/>
  <c r="W14" i="40" s="1"/>
  <c r="F14" i="40"/>
  <c r="AA14" i="40"/>
  <c r="J14" i="37"/>
  <c r="J27" i="37"/>
  <c r="AC27" i="37" s="1"/>
  <c r="U46" i="33"/>
  <c r="J36" i="37"/>
  <c r="AC36" i="37" s="1"/>
  <c r="J10" i="36"/>
  <c r="AC10" i="36" s="1"/>
  <c r="AB30" i="21"/>
  <c r="S11" i="36"/>
  <c r="F17" i="21"/>
  <c r="AA17" i="21" s="1"/>
  <c r="H17" i="21"/>
  <c r="AB17" i="21" s="1"/>
  <c r="F15" i="21"/>
  <c r="S15" i="21" s="1"/>
  <c r="J41" i="39"/>
  <c r="W41" i="39" s="1"/>
  <c r="S35" i="39"/>
  <c r="G544" i="3"/>
  <c r="G536" i="3"/>
  <c r="G535" i="3"/>
  <c r="G532" i="3"/>
  <c r="G528" i="3"/>
  <c r="G527" i="3"/>
  <c r="G523" i="3"/>
  <c r="G518" i="3"/>
  <c r="G514" i="3"/>
  <c r="G508" i="3"/>
  <c r="G504" i="3"/>
  <c r="G500" i="3"/>
  <c r="G584" i="3"/>
  <c r="G576" i="3"/>
  <c r="G572" i="3"/>
  <c r="G568" i="3"/>
  <c r="G564" i="3"/>
  <c r="G560" i="3"/>
  <c r="G554" i="3"/>
  <c r="G550" i="3"/>
  <c r="BL572" i="3"/>
  <c r="BL564" i="3"/>
  <c r="BL560" i="3"/>
  <c r="BL554" i="3"/>
  <c r="BL534" i="3"/>
  <c r="AZ534" i="3" s="1"/>
  <c r="BL516" i="3"/>
  <c r="BL498" i="3"/>
  <c r="BL574" i="3"/>
  <c r="BL562" i="3"/>
  <c r="BL556" i="3"/>
  <c r="BL536" i="3"/>
  <c r="G529" i="3"/>
  <c r="BL528" i="3"/>
  <c r="G525" i="3"/>
  <c r="BL514" i="3"/>
  <c r="BL496" i="3"/>
  <c r="G493" i="3"/>
  <c r="BA580" i="3"/>
  <c r="BA572" i="3"/>
  <c r="BA564" i="3"/>
  <c r="AZ564" i="3" s="1"/>
  <c r="BA562" i="3"/>
  <c r="BA560" i="3"/>
  <c r="AZ560" i="3" s="1"/>
  <c r="BA558" i="3"/>
  <c r="BA556" i="3"/>
  <c r="AZ556" i="3" s="1"/>
  <c r="BA548" i="3"/>
  <c r="BA540" i="3"/>
  <c r="BA526" i="3"/>
  <c r="AZ526" i="3" s="1"/>
  <c r="BA518" i="3"/>
  <c r="BA504" i="3"/>
  <c r="BA496" i="3"/>
  <c r="AZ496" i="3" s="1"/>
  <c r="BA579" i="3"/>
  <c r="BA571" i="3"/>
  <c r="BA565" i="3"/>
  <c r="BA563" i="3"/>
  <c r="BA561" i="3"/>
  <c r="BA559" i="3"/>
  <c r="BA553" i="3"/>
  <c r="BA543" i="3"/>
  <c r="BA535" i="3"/>
  <c r="BA527" i="3"/>
  <c r="BA517" i="3"/>
  <c r="BA507" i="3"/>
  <c r="BA499" i="3"/>
  <c r="G583" i="3"/>
  <c r="G581" i="3"/>
  <c r="G579" i="3"/>
  <c r="G577" i="3"/>
  <c r="G575" i="3"/>
  <c r="G569" i="3"/>
  <c r="G567" i="3"/>
  <c r="G565" i="3"/>
  <c r="G563" i="3"/>
  <c r="G561" i="3"/>
  <c r="BL558" i="3"/>
  <c r="AZ558" i="3" s="1"/>
  <c r="BA557" i="3"/>
  <c r="AZ557" i="3" s="1"/>
  <c r="AC557" i="3"/>
  <c r="G557" i="3" s="1"/>
  <c r="BQ557" i="3"/>
  <c r="BL557" i="3" s="1"/>
  <c r="BQ583" i="3"/>
  <c r="BL583" i="3" s="1"/>
  <c r="BQ581" i="3"/>
  <c r="BQ579" i="3"/>
  <c r="BQ577" i="3"/>
  <c r="BL577" i="3" s="1"/>
  <c r="BQ575" i="3"/>
  <c r="BQ573" i="3"/>
  <c r="BQ571" i="3"/>
  <c r="BQ569" i="3"/>
  <c r="BL569" i="3" s="1"/>
  <c r="BQ567" i="3"/>
  <c r="BQ565" i="3"/>
  <c r="BL565" i="3" s="1"/>
  <c r="BQ563" i="3"/>
  <c r="BL563" i="3"/>
  <c r="AZ563" i="3" s="1"/>
  <c r="BQ561" i="3"/>
  <c r="BL561" i="3" s="1"/>
  <c r="AZ561" i="3" s="1"/>
  <c r="BQ559" i="3"/>
  <c r="BL559" i="3" s="1"/>
  <c r="G559" i="3"/>
  <c r="G555" i="3"/>
  <c r="G553" i="3"/>
  <c r="G545" i="3"/>
  <c r="G543" i="3"/>
  <c r="G541" i="3"/>
  <c r="G539" i="3"/>
  <c r="G537" i="3"/>
  <c r="BQ555" i="3"/>
  <c r="BL555" i="3"/>
  <c r="BQ553" i="3"/>
  <c r="BQ551" i="3"/>
  <c r="BL551" i="3" s="1"/>
  <c r="BQ549" i="3"/>
  <c r="BQ547" i="3"/>
  <c r="BQ545" i="3"/>
  <c r="BL545" i="3"/>
  <c r="BQ543" i="3"/>
  <c r="BQ541" i="3"/>
  <c r="BQ539" i="3"/>
  <c r="BQ537" i="3"/>
  <c r="BL537" i="3" s="1"/>
  <c r="BQ535" i="3"/>
  <c r="BQ533" i="3"/>
  <c r="BQ531" i="3"/>
  <c r="BQ529" i="3"/>
  <c r="BQ527" i="3"/>
  <c r="BQ525" i="3"/>
  <c r="BQ523" i="3"/>
  <c r="BL523" i="3" s="1"/>
  <c r="AC521" i="3"/>
  <c r="G521" i="3" s="1"/>
  <c r="BQ521" i="3"/>
  <c r="BL521" i="3" s="1"/>
  <c r="G515" i="3"/>
  <c r="G513" i="3"/>
  <c r="G511" i="3"/>
  <c r="BQ519" i="3"/>
  <c r="BQ517" i="3"/>
  <c r="BL517" i="3" s="1"/>
  <c r="BQ515" i="3"/>
  <c r="BQ513" i="3"/>
  <c r="BQ511" i="3"/>
  <c r="BA509" i="3"/>
  <c r="AC509" i="3"/>
  <c r="BQ509" i="3"/>
  <c r="G507" i="3"/>
  <c r="G501" i="3"/>
  <c r="G499" i="3"/>
  <c r="G497" i="3"/>
  <c r="G495" i="3"/>
  <c r="BQ507" i="3"/>
  <c r="BQ505" i="3"/>
  <c r="BL505" i="3" s="1"/>
  <c r="AZ505" i="3" s="1"/>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J32" i="37"/>
  <c r="AC32" i="37" s="1"/>
  <c r="F36" i="37"/>
  <c r="AA36" i="37" s="1"/>
  <c r="F37" i="37"/>
  <c r="AA37" i="37" s="1"/>
  <c r="F31" i="40"/>
  <c r="AA31" i="40" s="1"/>
  <c r="H31" i="40"/>
  <c r="J36" i="40"/>
  <c r="W36" i="40" s="1"/>
  <c r="H19" i="37"/>
  <c r="AB19" i="37" s="1"/>
  <c r="H42" i="33"/>
  <c r="AB42" i="33" s="1"/>
  <c r="J43" i="33"/>
  <c r="AC43" i="33" s="1"/>
  <c r="S28" i="31"/>
  <c r="S27" i="31"/>
  <c r="S26" i="31"/>
  <c r="U14" i="40"/>
  <c r="W23" i="35"/>
  <c r="AC36" i="34"/>
  <c r="U11" i="33"/>
  <c r="U19" i="21"/>
  <c r="F43" i="33"/>
  <c r="AA43" i="33" s="1"/>
  <c r="W15" i="34"/>
  <c r="AC15" i="34"/>
  <c r="W16" i="35"/>
  <c r="G107" i="37"/>
  <c r="H107" i="37"/>
  <c r="I107" i="37" s="1"/>
  <c r="J107" i="37" s="1"/>
  <c r="K107" i="37" s="1"/>
  <c r="L107" i="37" s="1"/>
  <c r="M107" i="37" s="1"/>
  <c r="H37" i="21"/>
  <c r="U37" i="21" s="1"/>
  <c r="S42" i="21"/>
  <c r="H19" i="34"/>
  <c r="AB19" i="34"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13" i="40"/>
  <c r="AB33" i="40"/>
  <c r="AB44" i="39"/>
  <c r="U44" i="39"/>
  <c r="H37" i="39"/>
  <c r="AB37" i="39" s="1"/>
  <c r="AC37" i="39"/>
  <c r="W37" i="39"/>
  <c r="H25" i="39"/>
  <c r="AB25" i="39" s="1"/>
  <c r="J25" i="39"/>
  <c r="AC25" i="39" s="1"/>
  <c r="F25" i="39"/>
  <c r="AA25" i="39" s="1"/>
  <c r="F15" i="39"/>
  <c r="AA15" i="39" s="1"/>
  <c r="H15" i="39"/>
  <c r="U15" i="39" s="1"/>
  <c r="J15" i="39"/>
  <c r="W15" i="39" s="1"/>
  <c r="H41" i="39"/>
  <c r="AB41" i="39" s="1"/>
  <c r="W8" i="39"/>
  <c r="J19" i="40"/>
  <c r="AC19" i="40" s="1"/>
  <c r="J50" i="40"/>
  <c r="H103" i="9"/>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G193" i="3"/>
  <c r="BA195" i="3"/>
  <c r="BL196" i="3"/>
  <c r="G197" i="3"/>
  <c r="BA199" i="3"/>
  <c r="BL200" i="3"/>
  <c r="G201" i="3"/>
  <c r="BA203" i="3"/>
  <c r="BL204" i="3"/>
  <c r="G534" i="3"/>
  <c r="G530" i="3"/>
  <c r="G522" i="3"/>
  <c r="G516" i="3"/>
  <c r="G512" i="3"/>
  <c r="G506" i="3"/>
  <c r="G498"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G548" i="3"/>
  <c r="G520" i="3"/>
  <c r="G502" i="3"/>
  <c r="G17" i="3"/>
  <c r="BA17" i="3"/>
  <c r="AZ356" i="3"/>
  <c r="BA15" i="3"/>
  <c r="G509" i="3"/>
  <c r="BL493" i="3"/>
  <c r="U36" i="40"/>
  <c r="F83" i="43"/>
  <c r="H85" i="43" s="1"/>
  <c r="F50" i="43"/>
  <c r="H54" i="43" s="1"/>
  <c r="F72" i="43"/>
  <c r="H75" i="43" s="1"/>
  <c r="S14" i="35"/>
  <c r="U43" i="21"/>
  <c r="U35" i="21"/>
  <c r="G10" i="1"/>
  <c r="W44" i="34"/>
  <c r="AC44" i="34"/>
  <c r="U13" i="37"/>
  <c r="J37" i="33"/>
  <c r="W37" i="33" s="1"/>
  <c r="J34" i="33"/>
  <c r="W34" i="33" s="1"/>
  <c r="F33" i="34"/>
  <c r="S33" i="34" s="1"/>
  <c r="W12" i="36"/>
  <c r="AC12" i="36"/>
  <c r="H20" i="36"/>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F96" i="37"/>
  <c r="G96" i="37" s="1"/>
  <c r="H96" i="37" s="1"/>
  <c r="I96" i="37" s="1"/>
  <c r="J96" i="37" s="1"/>
  <c r="K96" i="37" s="1"/>
  <c r="L96" i="37" s="1"/>
  <c r="M96" i="37" s="1"/>
  <c r="H27" i="40"/>
  <c r="AB27" i="40" s="1"/>
  <c r="J27" i="40"/>
  <c r="AC27" i="40" s="1"/>
  <c r="F27" i="40"/>
  <c r="AA27" i="40" s="1"/>
  <c r="J30" i="40"/>
  <c r="F30" i="40"/>
  <c r="AA30" i="40" s="1"/>
  <c r="AC21" i="40"/>
  <c r="S11" i="40"/>
  <c r="F10" i="33"/>
  <c r="S10" i="33" s="1"/>
  <c r="F34" i="33"/>
  <c r="S34" i="33" s="1"/>
  <c r="H34" i="33"/>
  <c r="U34" i="33" s="1"/>
  <c r="F35" i="33"/>
  <c r="S35" i="33" s="1"/>
  <c r="F39" i="34"/>
  <c r="AA39" i="34" s="1"/>
  <c r="J39" i="34"/>
  <c r="F40" i="34"/>
  <c r="S40" i="34" s="1"/>
  <c r="F43" i="34"/>
  <c r="AA43" i="34" s="1"/>
  <c r="H44" i="34"/>
  <c r="U44" i="34" s="1"/>
  <c r="F39" i="39"/>
  <c r="S39" i="39" s="1"/>
  <c r="E96" i="39"/>
  <c r="F96" i="39" s="1"/>
  <c r="G96" i="39" s="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U30" i="33"/>
  <c r="W28" i="37"/>
  <c r="F12" i="33"/>
  <c r="H12" i="39"/>
  <c r="F39" i="40"/>
  <c r="BA14" i="3"/>
  <c r="B12" i="1"/>
  <c r="E12" i="1" s="1"/>
  <c r="B10" i="1"/>
  <c r="E10" i="1" s="1"/>
  <c r="K12" i="1"/>
  <c r="M12" i="1" s="1"/>
  <c r="S13" i="1"/>
  <c r="AR13" i="1" s="1"/>
  <c r="R13" i="1"/>
  <c r="J51" i="67"/>
  <c r="C42" i="1"/>
  <c r="C24" i="12" s="1"/>
  <c r="B41" i="1"/>
  <c r="AB37" i="40"/>
  <c r="S35" i="40"/>
  <c r="W38" i="40"/>
  <c r="S17" i="40"/>
  <c r="S23" i="40"/>
  <c r="AC17" i="40"/>
  <c r="AC15" i="40"/>
  <c r="AA19" i="40"/>
  <c r="U21" i="40"/>
  <c r="AB19" i="40"/>
  <c r="U35" i="39"/>
  <c r="F32" i="39"/>
  <c r="AA32" i="39" s="1"/>
  <c r="F106" i="39"/>
  <c r="G106" i="39" s="1"/>
  <c r="H106" i="39" s="1"/>
  <c r="I106" i="39" s="1"/>
  <c r="J106" i="39" s="1"/>
  <c r="K106" i="39" s="1"/>
  <c r="L106" i="39" s="1"/>
  <c r="M106" i="39" s="1"/>
  <c r="J21" i="39"/>
  <c r="W21" i="39" s="1"/>
  <c r="F21" i="39"/>
  <c r="AA21" i="39" s="1"/>
  <c r="H21" i="39"/>
  <c r="AB21" i="39" s="1"/>
  <c r="W19" i="39"/>
  <c r="AA12" i="39"/>
  <c r="AC13" i="39"/>
  <c r="S23" i="36"/>
  <c r="U13" i="36"/>
  <c r="U26" i="36"/>
  <c r="AA26" i="36"/>
  <c r="AA34" i="36"/>
  <c r="AC26" i="36"/>
  <c r="AA22" i="36"/>
  <c r="W14" i="36"/>
  <c r="AB14" i="36"/>
  <c r="U22" i="36"/>
  <c r="AA25" i="36"/>
  <c r="S24" i="36"/>
  <c r="U24" i="36"/>
  <c r="U16" i="36"/>
  <c r="S23" i="35"/>
  <c r="W24" i="35"/>
  <c r="AB13" i="35"/>
  <c r="U29" i="35"/>
  <c r="U28" i="35"/>
  <c r="AB27" i="35"/>
  <c r="U32" i="35"/>
  <c r="S32" i="35"/>
  <c r="S28" i="35"/>
  <c r="AB16" i="35"/>
  <c r="U22" i="35"/>
  <c r="AC20" i="35"/>
  <c r="S22" i="35"/>
  <c r="AA11" i="35"/>
  <c r="AC9" i="35"/>
  <c r="W13" i="35"/>
  <c r="F9" i="35"/>
  <c r="S9" i="35" s="1"/>
  <c r="H9" i="35"/>
  <c r="U9" i="35" s="1"/>
  <c r="AB40" i="37"/>
  <c r="W27" i="37"/>
  <c r="AC29" i="37"/>
  <c r="U29" i="37"/>
  <c r="AB31" i="37"/>
  <c r="W30" i="37"/>
  <c r="S36" i="37"/>
  <c r="W38" i="37"/>
  <c r="AC35" i="37"/>
  <c r="W39" i="37"/>
  <c r="J17" i="37"/>
  <c r="W17" i="37" s="1"/>
  <c r="G73" i="37"/>
  <c r="F17" i="37"/>
  <c r="AA17" i="37" s="1"/>
  <c r="AB17" i="37"/>
  <c r="F75" i="37"/>
  <c r="G75" i="37" s="1"/>
  <c r="F19" i="37"/>
  <c r="F79" i="37"/>
  <c r="G79" i="37" s="1"/>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45" i="34"/>
  <c r="U28" i="34"/>
  <c r="S17" i="34"/>
  <c r="AA29" i="34"/>
  <c r="U27"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H25" i="33"/>
  <c r="F25" i="33"/>
  <c r="J23" i="33"/>
  <c r="AC23" i="33" s="1"/>
  <c r="H23" i="33"/>
  <c r="AB23" i="33" s="1"/>
  <c r="F81" i="33"/>
  <c r="F19" i="33"/>
  <c r="S19" i="33" s="1"/>
  <c r="J17" i="33"/>
  <c r="F79" i="33"/>
  <c r="G79" i="33" s="1"/>
  <c r="S15" i="33"/>
  <c r="W15" i="33"/>
  <c r="J10" i="33"/>
  <c r="W10" i="33" s="1"/>
  <c r="H10" i="33"/>
  <c r="U10" i="33" s="1"/>
  <c r="W43" i="21"/>
  <c r="W36" i="21"/>
  <c r="W41" i="21"/>
  <c r="AA43" i="21"/>
  <c r="AA38" i="21"/>
  <c r="AC40" i="21"/>
  <c r="J15" i="21"/>
  <c r="AC15" i="21" s="1"/>
  <c r="W15" i="21"/>
  <c r="F23" i="21"/>
  <c r="S23" i="21" s="1"/>
  <c r="E85" i="21"/>
  <c r="AA14" i="21"/>
  <c r="C18" i="9"/>
  <c r="D18" i="9" s="1"/>
  <c r="F34" i="67"/>
  <c r="F62" i="67" s="1"/>
  <c r="M20" i="67"/>
  <c r="F34" i="15"/>
  <c r="F62" i="15" s="1"/>
  <c r="G13" i="3"/>
  <c r="J56" i="9"/>
  <c r="J57" i="9" s="1"/>
  <c r="J59" i="9" s="1"/>
  <c r="J61" i="9" s="1"/>
  <c r="A24" i="51"/>
  <c r="B18" i="72" s="1"/>
  <c r="U29" i="34"/>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W23" i="40"/>
  <c r="AB28" i="40"/>
  <c r="W28" i="40"/>
  <c r="W34" i="40"/>
  <c r="W19" i="40"/>
  <c r="S36" i="40"/>
  <c r="AC14" i="40"/>
  <c r="S13" i="40"/>
  <c r="S33" i="40"/>
  <c r="U11" i="40"/>
  <c r="S31" i="40"/>
  <c r="AB13" i="40"/>
  <c r="U15" i="40"/>
  <c r="U8" i="40"/>
  <c r="S8" i="40"/>
  <c r="U13" i="39"/>
  <c r="AB13" i="39"/>
  <c r="AA13" i="39"/>
  <c r="S13" i="39"/>
  <c r="S8" i="39"/>
  <c r="AC25" i="36"/>
  <c r="W29" i="36"/>
  <c r="AC20" i="36"/>
  <c r="AA13" i="36"/>
  <c r="S24" i="35"/>
  <c r="U24" i="35"/>
  <c r="S35" i="35"/>
  <c r="W35" i="35"/>
  <c r="AA16" i="35"/>
  <c r="AA35" i="37"/>
  <c r="W36" i="37"/>
  <c r="S27" i="37"/>
  <c r="S28" i="37"/>
  <c r="W32" i="37"/>
  <c r="U36" i="37"/>
  <c r="S40" i="37"/>
  <c r="AC34" i="37"/>
  <c r="AA31" i="37"/>
  <c r="U19" i="37"/>
  <c r="AA29" i="37"/>
  <c r="U8" i="37"/>
  <c r="AA40" i="34"/>
  <c r="AB40" i="34"/>
  <c r="U19" i="34"/>
  <c r="W19" i="34"/>
  <c r="AC45" i="34"/>
  <c r="AA30" i="34"/>
  <c r="AB36" i="34"/>
  <c r="AC14" i="34"/>
  <c r="W29" i="34"/>
  <c r="W46" i="34"/>
  <c r="AC46" i="34"/>
  <c r="S32" i="34"/>
  <c r="AA32" i="34"/>
  <c r="U30" i="34"/>
  <c r="AB30" i="34"/>
  <c r="S37" i="34"/>
  <c r="U38" i="34"/>
  <c r="AC40" i="34"/>
  <c r="W40" i="34"/>
  <c r="AA19" i="34"/>
  <c r="S19" i="34"/>
  <c r="AA8" i="34"/>
  <c r="S8" i="34"/>
  <c r="S46" i="34"/>
  <c r="AA46" i="34"/>
  <c r="U32" i="34"/>
  <c r="AB32" i="34"/>
  <c r="U14" i="34"/>
  <c r="AB14" i="34"/>
  <c r="W23" i="34"/>
  <c r="AC23" i="34"/>
  <c r="AC35" i="34"/>
  <c r="W35" i="34"/>
  <c r="U12" i="34"/>
  <c r="AB12" i="34"/>
  <c r="AC37" i="33"/>
  <c r="W46" i="33"/>
  <c r="U39" i="33"/>
  <c r="U38" i="33"/>
  <c r="S30" i="33"/>
  <c r="AC30" i="33"/>
  <c r="W30" i="33"/>
  <c r="S31" i="33"/>
  <c r="AA31" i="33"/>
  <c r="W13" i="33"/>
  <c r="AC13" i="33"/>
  <c r="U15" i="33"/>
  <c r="U37" i="33"/>
  <c r="AC28" i="33"/>
  <c r="S28" i="33"/>
  <c r="W8" i="33"/>
  <c r="AB42"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AB15" i="21" s="1"/>
  <c r="J17" i="21"/>
  <c r="AC17" i="21" s="1"/>
  <c r="AC19" i="21"/>
  <c r="W39" i="21"/>
  <c r="AC14" i="21"/>
  <c r="W30" i="21"/>
  <c r="S46" i="21"/>
  <c r="H45" i="21"/>
  <c r="U45" i="21" s="1"/>
  <c r="F29" i="21"/>
  <c r="AA29" i="21" s="1"/>
  <c r="AC38" i="21"/>
  <c r="H32" i="21"/>
  <c r="H9" i="21"/>
  <c r="U9" i="21" s="1"/>
  <c r="J9" i="21"/>
  <c r="W9" i="21" s="1"/>
  <c r="J32" i="21"/>
  <c r="W32" i="21" s="1"/>
  <c r="F32" i="21"/>
  <c r="S32" i="21" s="1"/>
  <c r="W29" i="21"/>
  <c r="S19" i="21"/>
  <c r="S9" i="21"/>
  <c r="AA9" i="21"/>
  <c r="K141" i="21"/>
  <c r="K144" i="21"/>
  <c r="K143" i="21"/>
  <c r="U27" i="21"/>
  <c r="AB25" i="21"/>
  <c r="W42" i="21"/>
  <c r="F10" i="21"/>
  <c r="AA10" i="21" s="1"/>
  <c r="K145" i="21"/>
  <c r="S17" i="21"/>
  <c r="AA15" i="21"/>
  <c r="AC27" i="21"/>
  <c r="AB29" i="21"/>
  <c r="S28" i="21"/>
  <c r="AC34" i="21"/>
  <c r="AB36" i="21"/>
  <c r="C19" i="39"/>
  <c r="C15" i="40"/>
  <c r="C17" i="40"/>
  <c r="C23" i="40"/>
  <c r="C21" i="40"/>
  <c r="U30" i="40"/>
  <c r="B56" i="43"/>
  <c r="B67" i="43"/>
  <c r="B51" i="43"/>
  <c r="B54" i="43"/>
  <c r="B62" i="43"/>
  <c r="B65" i="43"/>
  <c r="B69" i="43"/>
  <c r="D23" i="15"/>
  <c r="D22" i="15"/>
  <c r="E4" i="4"/>
  <c r="B5" i="62" s="1"/>
  <c r="B73" i="72" s="1"/>
  <c r="C4" i="4"/>
  <c r="F30" i="11"/>
  <c r="C48" i="11" s="1"/>
  <c r="F30" i="69"/>
  <c r="F48" i="69" s="1"/>
  <c r="AA39" i="40"/>
  <c r="S39" i="40"/>
  <c r="S12" i="33"/>
  <c r="AA12" i="33"/>
  <c r="D68" i="9"/>
  <c r="J32" i="39"/>
  <c r="W32" i="39" s="1"/>
  <c r="H32" i="39"/>
  <c r="AB32" i="39" s="1"/>
  <c r="J19" i="37"/>
  <c r="W19" i="37" s="1"/>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S36" i="33"/>
  <c r="AC32" i="33"/>
  <c r="U27" i="33"/>
  <c r="J27" i="33"/>
  <c r="W27" i="33" s="1"/>
  <c r="G87" i="33"/>
  <c r="H87" i="33" s="1"/>
  <c r="I87" i="33" s="1"/>
  <c r="J87" i="33" s="1"/>
  <c r="K87" i="33" s="1"/>
  <c r="L87" i="33" s="1"/>
  <c r="M87" i="33" s="1"/>
  <c r="J25" i="33"/>
  <c r="AC25" i="33" s="1"/>
  <c r="F23" i="33"/>
  <c r="AA19" i="33"/>
  <c r="H19" i="33"/>
  <c r="AB19" i="33" s="1"/>
  <c r="G81" i="33"/>
  <c r="H17" i="33"/>
  <c r="U17" i="33" s="1"/>
  <c r="F17" i="33"/>
  <c r="S17" i="33" s="1"/>
  <c r="W17" i="33"/>
  <c r="AC17" i="33"/>
  <c r="S37" i="21"/>
  <c r="J23" i="21"/>
  <c r="AC23" i="21" s="1"/>
  <c r="F85" i="21"/>
  <c r="G85" i="21" s="1"/>
  <c r="H23" i="21"/>
  <c r="AB23" i="21" s="1"/>
  <c r="AP7" i="1"/>
  <c r="AA32" i="21"/>
  <c r="AB32" i="21"/>
  <c r="U32" i="21"/>
  <c r="J11" i="37"/>
  <c r="AC11" i="37" s="1"/>
  <c r="J11" i="34"/>
  <c r="W11" i="34" s="1"/>
  <c r="U23" i="21"/>
  <c r="H109" i="9"/>
  <c r="H112" i="9"/>
  <c r="D21" i="53" s="1"/>
  <c r="B39" i="72" s="1"/>
  <c r="H111" i="9"/>
  <c r="D126" i="9" s="1"/>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B10" i="76"/>
  <c r="E8" i="76"/>
  <c r="E10" i="76"/>
  <c r="F3" i="73"/>
  <c r="E2" i="68"/>
  <c r="F4" i="73"/>
  <c r="B13" i="76"/>
  <c r="D6" i="73"/>
  <c r="B12" i="76"/>
  <c r="F20" i="31"/>
  <c r="B11" i="76"/>
  <c r="AO13" i="1"/>
  <c r="E9" i="76"/>
  <c r="F7" i="73"/>
  <c r="B8" i="76"/>
  <c r="F6" i="73"/>
  <c r="E11" i="76"/>
  <c r="E13" i="76"/>
  <c r="E2" i="69"/>
  <c r="E7" i="76"/>
  <c r="B7" i="76"/>
  <c r="F5" i="73"/>
  <c r="E12" i="76"/>
  <c r="S25" i="33" l="1"/>
  <c r="AA25" i="33"/>
  <c r="U28" i="33"/>
  <c r="AB28" i="33"/>
  <c r="S30" i="21"/>
  <c r="AA30" i="21"/>
  <c r="W26" i="21"/>
  <c r="AC26" i="21"/>
  <c r="S19" i="37"/>
  <c r="AA19" i="37"/>
  <c r="W39" i="34"/>
  <c r="AC39" i="34"/>
  <c r="AA13" i="33"/>
  <c r="AB23" i="37"/>
  <c r="U23" i="37"/>
  <c r="AA27" i="21"/>
  <c r="S27" i="21"/>
  <c r="AA11" i="33"/>
  <c r="S11" i="33"/>
  <c r="AA36" i="34"/>
  <c r="S36" i="34"/>
  <c r="B94" i="43"/>
  <c r="B94" i="86"/>
  <c r="B73" i="86"/>
  <c r="B62" i="86"/>
  <c r="B51" i="86"/>
  <c r="AC9" i="34"/>
  <c r="W9" i="34"/>
  <c r="J14" i="33"/>
  <c r="AC14" i="33" s="1"/>
  <c r="H14" i="33"/>
  <c r="J13" i="34"/>
  <c r="F13" i="34"/>
  <c r="F47" i="34"/>
  <c r="J47" i="34"/>
  <c r="AC47" i="34" s="1"/>
  <c r="AC30" i="40"/>
  <c r="W30" i="40"/>
  <c r="S25" i="34"/>
  <c r="AA25" i="34"/>
  <c r="BN5" i="3"/>
  <c r="BL14" i="3"/>
  <c r="BO5" i="3"/>
  <c r="D22" i="71"/>
  <c r="AB9" i="21"/>
  <c r="W27" i="40"/>
  <c r="U12" i="39"/>
  <c r="AB12" i="39"/>
  <c r="S33" i="35"/>
  <c r="AA33" i="35"/>
  <c r="AA41" i="21"/>
  <c r="U38" i="21"/>
  <c r="AB38" i="21"/>
  <c r="V24" i="1"/>
  <c r="Y24" i="1" s="1"/>
  <c r="D37" i="43"/>
  <c r="H37" i="43" s="1"/>
  <c r="W31" i="33"/>
  <c r="AC31" i="33"/>
  <c r="U17" i="21"/>
  <c r="AB14" i="35"/>
  <c r="U14" i="35"/>
  <c r="AA30" i="37"/>
  <c r="S30" i="37"/>
  <c r="AA17" i="33"/>
  <c r="U31" i="40"/>
  <c r="AB31" i="40"/>
  <c r="AZ572" i="3"/>
  <c r="AA14" i="33"/>
  <c r="U44" i="21"/>
  <c r="AB44" i="21"/>
  <c r="AB25" i="34"/>
  <c r="U25" i="34"/>
  <c r="AC19" i="33"/>
  <c r="W19" i="33"/>
  <c r="W30" i="35"/>
  <c r="AC30" i="35"/>
  <c r="U17" i="40"/>
  <c r="AB17" i="40"/>
  <c r="AA21" i="40"/>
  <c r="S21" i="40"/>
  <c r="J44" i="21"/>
  <c r="F44" i="21"/>
  <c r="AC22" i="35"/>
  <c r="W22" i="35"/>
  <c r="W38" i="34"/>
  <c r="AC38" i="34"/>
  <c r="AB34" i="37"/>
  <c r="U34" i="37"/>
  <c r="BA584" i="3"/>
  <c r="AZ584" i="3" s="1"/>
  <c r="BA582" i="3"/>
  <c r="AZ582" i="3" s="1"/>
  <c r="BA577" i="3"/>
  <c r="AZ576" i="3"/>
  <c r="BA575" i="3"/>
  <c r="AZ574" i="3"/>
  <c r="AZ570" i="3"/>
  <c r="BA568" i="3"/>
  <c r="BA566" i="3"/>
  <c r="AA37" i="40"/>
  <c r="S37" i="40"/>
  <c r="U47" i="34"/>
  <c r="AB47" i="34"/>
  <c r="W11" i="33"/>
  <c r="AC11" i="33"/>
  <c r="S14" i="36"/>
  <c r="AC36" i="40"/>
  <c r="AA32" i="37"/>
  <c r="S32" i="37"/>
  <c r="U20" i="36"/>
  <c r="AB20" i="36"/>
  <c r="AA27" i="33"/>
  <c r="S27" i="33"/>
  <c r="W17" i="34"/>
  <c r="AC17" i="34"/>
  <c r="W35" i="21"/>
  <c r="AC35" i="21"/>
  <c r="H13" i="21"/>
  <c r="J13" i="21"/>
  <c r="F13" i="21"/>
  <c r="AA13" i="21" s="1"/>
  <c r="W45" i="21"/>
  <c r="AC45" i="21"/>
  <c r="J44" i="33"/>
  <c r="F44" i="33"/>
  <c r="S44" i="33" s="1"/>
  <c r="U23" i="35"/>
  <c r="AB23" i="35"/>
  <c r="E119" i="39"/>
  <c r="H39" i="39"/>
  <c r="U39" i="39" s="1"/>
  <c r="U17" i="34"/>
  <c r="AB17" i="34"/>
  <c r="S25" i="35"/>
  <c r="AA25" i="35"/>
  <c r="AC40" i="33"/>
  <c r="W40" i="33"/>
  <c r="F25" i="37"/>
  <c r="H25" i="37"/>
  <c r="J25" i="37"/>
  <c r="AC25" i="37" s="1"/>
  <c r="AB45" i="34"/>
  <c r="AB32" i="37"/>
  <c r="U32" i="37"/>
  <c r="AC37" i="40"/>
  <c r="W37" i="40"/>
  <c r="AB25" i="36"/>
  <c r="U25" i="36"/>
  <c r="AC37" i="37"/>
  <c r="W37" i="37"/>
  <c r="U28" i="36"/>
  <c r="AB28" i="36"/>
  <c r="W32" i="34"/>
  <c r="AC32" i="34"/>
  <c r="S14" i="34"/>
  <c r="AA14" i="34"/>
  <c r="S15" i="40"/>
  <c r="AA15" i="40"/>
  <c r="AA16" i="36"/>
  <c r="S16" i="36"/>
  <c r="AA39" i="21"/>
  <c r="S39" i="21"/>
  <c r="G27" i="6"/>
  <c r="AC22" i="36"/>
  <c r="W22" i="36"/>
  <c r="U25" i="33"/>
  <c r="AB25" i="33"/>
  <c r="AC15" i="37"/>
  <c r="D8" i="53"/>
  <c r="D120" i="9"/>
  <c r="D121" i="9" s="1"/>
  <c r="D7" i="52" s="1"/>
  <c r="AA23" i="21"/>
  <c r="S37" i="37"/>
  <c r="F48" i="9"/>
  <c r="O52" i="9" s="1"/>
  <c r="F32" i="83"/>
  <c r="F60" i="83" s="1"/>
  <c r="M18" i="83"/>
  <c r="F28" i="83"/>
  <c r="C28" i="83" s="1"/>
  <c r="M18" i="82"/>
  <c r="F28" i="82"/>
  <c r="C28" i="82" s="1"/>
  <c r="F32" i="82"/>
  <c r="F60" i="82" s="1"/>
  <c r="M18" i="15"/>
  <c r="AC25" i="21"/>
  <c r="W25" i="21"/>
  <c r="AZ577" i="3"/>
  <c r="AA28" i="40"/>
  <c r="S28" i="40"/>
  <c r="S40" i="21"/>
  <c r="AB39" i="21"/>
  <c r="U39" i="21"/>
  <c r="H28" i="21"/>
  <c r="J28" i="21"/>
  <c r="W28" i="21" s="1"/>
  <c r="AA33" i="33"/>
  <c r="S33" i="33"/>
  <c r="H25" i="35"/>
  <c r="J25" i="35"/>
  <c r="J12" i="40"/>
  <c r="F12" i="40"/>
  <c r="H12" i="40"/>
  <c r="J32" i="40"/>
  <c r="F32" i="40"/>
  <c r="H32" i="40"/>
  <c r="AA38" i="40"/>
  <c r="S38" i="40"/>
  <c r="BA555" i="3"/>
  <c r="AZ554" i="3"/>
  <c r="AZ552" i="3"/>
  <c r="AZ546" i="3"/>
  <c r="BA544" i="3"/>
  <c r="AZ544" i="3" s="1"/>
  <c r="BA542" i="3"/>
  <c r="AZ540" i="3"/>
  <c r="AZ538" i="3"/>
  <c r="BA537" i="3"/>
  <c r="AZ536" i="3"/>
  <c r="AZ530" i="3"/>
  <c r="BL529" i="3"/>
  <c r="AZ529" i="3" s="1"/>
  <c r="BA528" i="3"/>
  <c r="AZ524" i="3"/>
  <c r="AZ522" i="3"/>
  <c r="BA521" i="3"/>
  <c r="AZ521" i="3" s="1"/>
  <c r="AZ520" i="3"/>
  <c r="BA514" i="3"/>
  <c r="AZ514" i="3" s="1"/>
  <c r="BA512" i="3"/>
  <c r="AZ512" i="3" s="1"/>
  <c r="AZ510" i="3"/>
  <c r="AZ508" i="3"/>
  <c r="AZ506" i="3"/>
  <c r="AZ504" i="3"/>
  <c r="AZ503" i="3"/>
  <c r="BA500" i="3"/>
  <c r="AZ500" i="3" s="1"/>
  <c r="BL499" i="3"/>
  <c r="AZ499" i="3" s="1"/>
  <c r="BA498" i="3"/>
  <c r="AZ498" i="3" s="1"/>
  <c r="AZ497" i="3"/>
  <c r="AZ494" i="3"/>
  <c r="BA493" i="3"/>
  <c r="AZ493" i="3" s="1"/>
  <c r="AZ14" i="3"/>
  <c r="S27" i="40"/>
  <c r="AZ357" i="3"/>
  <c r="AZ334" i="3"/>
  <c r="AZ163" i="3"/>
  <c r="BL501" i="3"/>
  <c r="AZ501" i="3" s="1"/>
  <c r="BL511" i="3"/>
  <c r="AZ511" i="3" s="1"/>
  <c r="BL525" i="3"/>
  <c r="AZ525" i="3" s="1"/>
  <c r="BL539" i="3"/>
  <c r="BL553" i="3"/>
  <c r="AZ553" i="3" s="1"/>
  <c r="BA587" i="3"/>
  <c r="BA586" i="3"/>
  <c r="BA585" i="3"/>
  <c r="AZ585" i="3" s="1"/>
  <c r="H9" i="36"/>
  <c r="AB9" i="36" s="1"/>
  <c r="J9" i="36"/>
  <c r="AB35" i="37"/>
  <c r="AZ374" i="3"/>
  <c r="AZ311" i="3"/>
  <c r="BL503" i="3"/>
  <c r="BL513" i="3"/>
  <c r="AZ513" i="3" s="1"/>
  <c r="BL527" i="3"/>
  <c r="AZ527" i="3" s="1"/>
  <c r="BL541" i="3"/>
  <c r="AZ541" i="3" s="1"/>
  <c r="E121" i="39"/>
  <c r="F121" i="39" s="1"/>
  <c r="G121" i="39" s="1"/>
  <c r="H121" i="39" s="1"/>
  <c r="I121" i="39" s="1"/>
  <c r="J121" i="39" s="1"/>
  <c r="K121" i="39" s="1"/>
  <c r="L121" i="39" s="1"/>
  <c r="M121" i="39" s="1"/>
  <c r="J40" i="39"/>
  <c r="AC40" i="39" s="1"/>
  <c r="F40" i="39"/>
  <c r="AA40" i="39" s="1"/>
  <c r="AZ305" i="3"/>
  <c r="AZ376" i="3"/>
  <c r="BL515" i="3"/>
  <c r="BL543" i="3"/>
  <c r="AZ543" i="3" s="1"/>
  <c r="BL567" i="3"/>
  <c r="BL581" i="3"/>
  <c r="B61" i="43"/>
  <c r="B61" i="86"/>
  <c r="B87" i="43"/>
  <c r="B87" i="86"/>
  <c r="BA189" i="3"/>
  <c r="AC17" i="37"/>
  <c r="AB34" i="33"/>
  <c r="S43" i="34"/>
  <c r="S30" i="40"/>
  <c r="U35" i="40"/>
  <c r="U27" i="40"/>
  <c r="AZ390" i="3"/>
  <c r="AZ188" i="3"/>
  <c r="AZ325" i="3"/>
  <c r="BL519" i="3"/>
  <c r="BL531" i="3"/>
  <c r="AZ531" i="3" s="1"/>
  <c r="BL571" i="3"/>
  <c r="AZ565" i="3"/>
  <c r="H39" i="37"/>
  <c r="U34" i="34"/>
  <c r="AC27" i="35"/>
  <c r="BL395" i="3"/>
  <c r="BA188" i="3"/>
  <c r="B27" i="71"/>
  <c r="B26" i="71" s="1"/>
  <c r="S28" i="71"/>
  <c r="AZ345" i="3"/>
  <c r="AZ338" i="3"/>
  <c r="AZ327" i="3"/>
  <c r="AA25" i="21"/>
  <c r="AC45" i="33"/>
  <c r="BL509" i="3"/>
  <c r="AZ509" i="3" s="1"/>
  <c r="BL533" i="3"/>
  <c r="AZ533" i="3" s="1"/>
  <c r="BL547" i="3"/>
  <c r="AZ547" i="3" s="1"/>
  <c r="BL573" i="3"/>
  <c r="W39" i="33"/>
  <c r="D42" i="86"/>
  <c r="H42" i="86" s="1"/>
  <c r="E21" i="6"/>
  <c r="B99" i="43"/>
  <c r="B99" i="86"/>
  <c r="B56" i="86"/>
  <c r="B67" i="86"/>
  <c r="B76" i="86"/>
  <c r="BA220" i="3"/>
  <c r="AZ377" i="3"/>
  <c r="BL535" i="3"/>
  <c r="AZ535" i="3" s="1"/>
  <c r="BL575" i="3"/>
  <c r="D33" i="43"/>
  <c r="D1" i="43" s="1"/>
  <c r="V20" i="1"/>
  <c r="E20" i="6"/>
  <c r="B97" i="43"/>
  <c r="B54" i="86"/>
  <c r="B97" i="86"/>
  <c r="B75" i="86"/>
  <c r="B65" i="86"/>
  <c r="B75" i="43"/>
  <c r="J9" i="33"/>
  <c r="F9" i="33"/>
  <c r="AA9" i="33" s="1"/>
  <c r="BA406" i="3"/>
  <c r="BL262" i="3"/>
  <c r="BL79" i="3"/>
  <c r="D1" i="86"/>
  <c r="BA420" i="3"/>
  <c r="BL430" i="3"/>
  <c r="BL457" i="3"/>
  <c r="BL463" i="3"/>
  <c r="G477" i="3"/>
  <c r="G485" i="3"/>
  <c r="BL359" i="3"/>
  <c r="AZ359" i="3" s="1"/>
  <c r="G392" i="3"/>
  <c r="BL216" i="3"/>
  <c r="G220" i="3"/>
  <c r="BL237" i="3"/>
  <c r="BL257" i="3"/>
  <c r="BL258" i="3"/>
  <c r="BA270" i="3"/>
  <c r="BA280" i="3"/>
  <c r="AZ280" i="3" s="1"/>
  <c r="G292" i="3"/>
  <c r="BL292" i="3"/>
  <c r="BA114" i="3"/>
  <c r="BA132" i="3"/>
  <c r="AZ132" i="3" s="1"/>
  <c r="G144" i="3"/>
  <c r="BA149" i="3"/>
  <c r="BA150" i="3"/>
  <c r="BA194" i="3"/>
  <c r="BA40" i="3"/>
  <c r="G45" i="3"/>
  <c r="G55" i="3"/>
  <c r="BA55" i="3"/>
  <c r="G62" i="3"/>
  <c r="BL77" i="3"/>
  <c r="G79" i="3"/>
  <c r="G89" i="3"/>
  <c r="G98" i="3"/>
  <c r="G106" i="3"/>
  <c r="D56" i="43"/>
  <c r="U21" i="37"/>
  <c r="Y30" i="71"/>
  <c r="Z30" i="71" s="1"/>
  <c r="B72" i="43"/>
  <c r="B72" i="86"/>
  <c r="B83" i="43"/>
  <c r="B83" i="86"/>
  <c r="J12" i="35"/>
  <c r="M20" i="15"/>
  <c r="M20" i="83"/>
  <c r="F34" i="82"/>
  <c r="F62" i="82" s="1"/>
  <c r="M20" i="82"/>
  <c r="F34" i="83"/>
  <c r="F62" i="83" s="1"/>
  <c r="G14" i="3"/>
  <c r="G406" i="3"/>
  <c r="BL414" i="3"/>
  <c r="BL415" i="3"/>
  <c r="G448" i="3"/>
  <c r="BL455" i="3"/>
  <c r="BL350" i="3"/>
  <c r="BL367" i="3"/>
  <c r="BL368" i="3"/>
  <c r="BA374" i="3"/>
  <c r="BA211" i="3"/>
  <c r="AZ211" i="3" s="1"/>
  <c r="BL214" i="3"/>
  <c r="G228" i="3"/>
  <c r="BL255" i="3"/>
  <c r="BL269" i="3"/>
  <c r="BA278" i="3"/>
  <c r="AZ278" i="3" s="1"/>
  <c r="BA121" i="3"/>
  <c r="BA148" i="3"/>
  <c r="AZ148" i="3" s="1"/>
  <c r="G178" i="3"/>
  <c r="BL181" i="3"/>
  <c r="BA182" i="3"/>
  <c r="BL185" i="3"/>
  <c r="BA193" i="3"/>
  <c r="BA39" i="3"/>
  <c r="BA50" i="3"/>
  <c r="BL52" i="3"/>
  <c r="BL53" i="3"/>
  <c r="BA72" i="3"/>
  <c r="BL76" i="3"/>
  <c r="BA92" i="3"/>
  <c r="P27" i="6"/>
  <c r="D50" i="71"/>
  <c r="X35" i="71"/>
  <c r="F79" i="71"/>
  <c r="F78" i="71" s="1"/>
  <c r="E19" i="6"/>
  <c r="C7" i="12" s="1"/>
  <c r="G404" i="3"/>
  <c r="BA410" i="3"/>
  <c r="BL412" i="3"/>
  <c r="BA419" i="3"/>
  <c r="G421" i="3"/>
  <c r="BL421" i="3"/>
  <c r="BL422" i="3"/>
  <c r="G429" i="3"/>
  <c r="G430" i="3"/>
  <c r="BA444" i="3"/>
  <c r="BA451" i="3"/>
  <c r="AZ451" i="3" s="1"/>
  <c r="G454" i="3"/>
  <c r="G455" i="3"/>
  <c r="BL462" i="3"/>
  <c r="BA473" i="3"/>
  <c r="G318" i="3"/>
  <c r="G351" i="3"/>
  <c r="BL365" i="3"/>
  <c r="AZ365" i="3" s="1"/>
  <c r="G366" i="3"/>
  <c r="G374" i="3"/>
  <c r="BA208" i="3"/>
  <c r="AZ208" i="3" s="1"/>
  <c r="G214" i="3"/>
  <c r="G226" i="3"/>
  <c r="BL233" i="3"/>
  <c r="G235" i="3"/>
  <c r="BL245" i="3"/>
  <c r="AC5" i="3"/>
  <c r="G255" i="3"/>
  <c r="BL267" i="3"/>
  <c r="G269" i="3"/>
  <c r="G279" i="3"/>
  <c r="BL289" i="3"/>
  <c r="BL122" i="3"/>
  <c r="BA147" i="3"/>
  <c r="G151" i="3"/>
  <c r="BL158" i="3"/>
  <c r="G159" i="3"/>
  <c r="BA181" i="3"/>
  <c r="G196" i="3"/>
  <c r="G206" i="3"/>
  <c r="BA207" i="3"/>
  <c r="G25" i="3"/>
  <c r="G34" i="3"/>
  <c r="G76" i="3"/>
  <c r="G88" i="3"/>
  <c r="BA97" i="3"/>
  <c r="G105" i="3"/>
  <c r="U25" i="40"/>
  <c r="AA21" i="34"/>
  <c r="C39" i="71"/>
  <c r="C40" i="71" s="1"/>
  <c r="B19" i="71"/>
  <c r="B18" i="71" s="1"/>
  <c r="B17" i="71" s="1"/>
  <c r="G402" i="3"/>
  <c r="G420" i="3"/>
  <c r="BA424" i="3"/>
  <c r="G428" i="3"/>
  <c r="BL443" i="3"/>
  <c r="G453" i="3"/>
  <c r="BL460" i="3"/>
  <c r="BL461" i="3"/>
  <c r="BA469" i="3"/>
  <c r="BA470" i="3"/>
  <c r="BL490" i="3"/>
  <c r="BL308" i="3"/>
  <c r="AZ308" i="3" s="1"/>
  <c r="BA315" i="3"/>
  <c r="AZ315" i="3" s="1"/>
  <c r="BL340" i="3"/>
  <c r="AZ340" i="3" s="1"/>
  <c r="BA353" i="3"/>
  <c r="BA395" i="3"/>
  <c r="AZ395" i="3" s="1"/>
  <c r="BA242" i="3"/>
  <c r="AZ242" i="3" s="1"/>
  <c r="BA273" i="3"/>
  <c r="G288" i="3"/>
  <c r="BA120" i="3"/>
  <c r="AZ120" i="3" s="1"/>
  <c r="BA162" i="3"/>
  <c r="BL167" i="3"/>
  <c r="AZ167" i="3" s="1"/>
  <c r="G205" i="3"/>
  <c r="BL49" i="3"/>
  <c r="G59" i="3"/>
  <c r="BA88" i="3"/>
  <c r="BL93" i="3"/>
  <c r="BA95" i="3"/>
  <c r="G103" i="3"/>
  <c r="BL110" i="3"/>
  <c r="S25" i="40"/>
  <c r="E71" i="71"/>
  <c r="E70" i="71" s="1"/>
  <c r="B35" i="71"/>
  <c r="B36" i="71" s="1"/>
  <c r="S36" i="71" s="1"/>
  <c r="B101" i="43"/>
  <c r="B69" i="86"/>
  <c r="B101" i="86"/>
  <c r="B58" i="86"/>
  <c r="B79" i="86"/>
  <c r="B90" i="43"/>
  <c r="B90" i="86"/>
  <c r="I24" i="86"/>
  <c r="C24" i="86" s="1"/>
  <c r="C10" i="39"/>
  <c r="G400" i="3"/>
  <c r="BL409" i="3"/>
  <c r="G410" i="3"/>
  <c r="G411" i="3"/>
  <c r="G418" i="3"/>
  <c r="G419" i="3"/>
  <c r="BA431" i="3"/>
  <c r="BL433" i="3"/>
  <c r="G435" i="3"/>
  <c r="G443" i="3"/>
  <c r="BL451" i="3"/>
  <c r="BA456" i="3"/>
  <c r="AZ456" i="3" s="1"/>
  <c r="G459" i="3"/>
  <c r="BL469" i="3"/>
  <c r="G471" i="3"/>
  <c r="G481" i="3"/>
  <c r="BL488" i="3"/>
  <c r="G490" i="3"/>
  <c r="G307" i="3"/>
  <c r="G323" i="3"/>
  <c r="G339" i="3"/>
  <c r="G396" i="3"/>
  <c r="G223" i="3"/>
  <c r="G231" i="3"/>
  <c r="BL240" i="3"/>
  <c r="AZ240" i="3" s="1"/>
  <c r="G243" i="3"/>
  <c r="BL252" i="3"/>
  <c r="BA262" i="3"/>
  <c r="AZ262" i="3" s="1"/>
  <c r="BA293" i="3"/>
  <c r="G295" i="3"/>
  <c r="BL295" i="3"/>
  <c r="BA126" i="3"/>
  <c r="G138" i="3"/>
  <c r="G147" i="3"/>
  <c r="BL163" i="3"/>
  <c r="BA45" i="3"/>
  <c r="BA46" i="3"/>
  <c r="BL47" i="3"/>
  <c r="G58" i="3"/>
  <c r="BL91" i="3"/>
  <c r="J51" i="15"/>
  <c r="B100" i="43"/>
  <c r="B57" i="86"/>
  <c r="B77" i="86"/>
  <c r="B68" i="86"/>
  <c r="B100" i="86"/>
  <c r="E67" i="71"/>
  <c r="AB38" i="71"/>
  <c r="E51" i="71"/>
  <c r="E52" i="71" s="1"/>
  <c r="U52" i="71" s="1"/>
  <c r="C55" i="71"/>
  <c r="E59" i="71"/>
  <c r="E60" i="71" s="1"/>
  <c r="U60" i="71" s="1"/>
  <c r="B63" i="71"/>
  <c r="B64" i="71" s="1"/>
  <c r="S64" i="71" s="1"/>
  <c r="BL425" i="3"/>
  <c r="BL426" i="3"/>
  <c r="BL458" i="3"/>
  <c r="BL479" i="3"/>
  <c r="G488" i="3"/>
  <c r="BA319" i="3"/>
  <c r="AZ319" i="3" s="1"/>
  <c r="G362" i="3"/>
  <c r="BL222" i="3"/>
  <c r="BA228" i="3"/>
  <c r="G251" i="3"/>
  <c r="BA260" i="3"/>
  <c r="G263" i="3"/>
  <c r="G274" i="3"/>
  <c r="BL283" i="3"/>
  <c r="BL284" i="3"/>
  <c r="G285" i="3"/>
  <c r="BA125" i="3"/>
  <c r="BL127" i="3"/>
  <c r="AZ127" i="3" s="1"/>
  <c r="G146" i="3"/>
  <c r="G155" i="3"/>
  <c r="G163" i="3"/>
  <c r="G172" i="3"/>
  <c r="G180" i="3"/>
  <c r="G29" i="3"/>
  <c r="BL29" i="3"/>
  <c r="G56" i="3"/>
  <c r="BA63" i="3"/>
  <c r="BL65" i="3"/>
  <c r="BL66" i="3"/>
  <c r="BA78" i="3"/>
  <c r="BL82" i="3"/>
  <c r="G83" i="3"/>
  <c r="BL99" i="3"/>
  <c r="G101" i="3"/>
  <c r="BA105" i="3"/>
  <c r="G1" i="68"/>
  <c r="G1" i="82"/>
  <c r="G1" i="83"/>
  <c r="F8" i="1"/>
  <c r="D53" i="43"/>
  <c r="E50" i="43" s="1"/>
  <c r="B48" i="43" s="1"/>
  <c r="C40" i="68"/>
  <c r="AB21" i="33"/>
  <c r="D87" i="71"/>
  <c r="D80" i="71"/>
  <c r="F31" i="71"/>
  <c r="F32" i="71" s="1"/>
  <c r="V32" i="71" s="1"/>
  <c r="F43" i="71"/>
  <c r="F44" i="71" s="1"/>
  <c r="V44" i="71" s="1"/>
  <c r="B55" i="71"/>
  <c r="B56" i="71" s="1"/>
  <c r="S56" i="71" s="1"/>
  <c r="AC31" i="35"/>
  <c r="G558" i="3"/>
  <c r="BA13" i="3"/>
  <c r="BL13" i="3"/>
  <c r="G408" i="3"/>
  <c r="G409" i="3"/>
  <c r="G417" i="3"/>
  <c r="G449" i="3"/>
  <c r="BA462" i="3"/>
  <c r="AZ462" i="3" s="1"/>
  <c r="BL465" i="3"/>
  <c r="BL466" i="3"/>
  <c r="BL328" i="3"/>
  <c r="AZ328" i="3" s="1"/>
  <c r="BA217" i="3"/>
  <c r="BL259" i="3"/>
  <c r="BL272" i="3"/>
  <c r="BA124" i="3"/>
  <c r="AZ124" i="3" s="1"/>
  <c r="BL135" i="3"/>
  <c r="AZ135" i="3" s="1"/>
  <c r="BL154" i="3"/>
  <c r="BL161" i="3"/>
  <c r="BA177" i="3"/>
  <c r="BL195" i="3"/>
  <c r="AZ195" i="3" s="1"/>
  <c r="BA196" i="3"/>
  <c r="AZ196" i="3" s="1"/>
  <c r="BA43" i="3"/>
  <c r="BA79" i="3"/>
  <c r="AZ79" i="3" s="1"/>
  <c r="C23" i="86"/>
  <c r="O23" i="86"/>
  <c r="U21" i="34"/>
  <c r="C25" i="40"/>
  <c r="B88" i="86"/>
  <c r="C79" i="71"/>
  <c r="B30" i="71"/>
  <c r="B31" i="71" s="1"/>
  <c r="Y35" i="71"/>
  <c r="Z35" i="71" s="1"/>
  <c r="F59" i="71"/>
  <c r="F60" i="71" s="1"/>
  <c r="V60" i="71" s="1"/>
  <c r="U76" i="71"/>
  <c r="AC11" i="39"/>
  <c r="AC38" i="39"/>
  <c r="U38" i="39"/>
  <c r="F43" i="39"/>
  <c r="S44" i="39"/>
  <c r="W43" i="39"/>
  <c r="H43" i="39"/>
  <c r="S42" i="39"/>
  <c r="U42" i="39"/>
  <c r="U41" i="39"/>
  <c r="AA41" i="39"/>
  <c r="AC41" i="39"/>
  <c r="U40" i="39"/>
  <c r="AA39" i="39"/>
  <c r="AB27" i="39"/>
  <c r="W25" i="39"/>
  <c r="AC31" i="39"/>
  <c r="U36" i="39"/>
  <c r="AC32" i="39"/>
  <c r="U31" i="39"/>
  <c r="U32" i="39"/>
  <c r="U37" i="39"/>
  <c r="W34" i="39"/>
  <c r="AB34" i="39"/>
  <c r="S31" i="39"/>
  <c r="S37" i="39"/>
  <c r="S34" i="39"/>
  <c r="W27" i="39"/>
  <c r="AA27" i="39"/>
  <c r="U25" i="39"/>
  <c r="S23" i="39"/>
  <c r="U21" i="39"/>
  <c r="S19" i="39"/>
  <c r="U19" i="39"/>
  <c r="AC17" i="39"/>
  <c r="S17" i="39"/>
  <c r="U17" i="39"/>
  <c r="S15" i="39"/>
  <c r="B58" i="43"/>
  <c r="C25" i="39"/>
  <c r="B68" i="43"/>
  <c r="B57" i="43"/>
  <c r="U11" i="39"/>
  <c r="AB8" i="39"/>
  <c r="S9" i="39"/>
  <c r="U9" i="39"/>
  <c r="F28" i="15"/>
  <c r="F28" i="67"/>
  <c r="F54" i="9"/>
  <c r="F32" i="15"/>
  <c r="F60" i="15" s="1"/>
  <c r="F30" i="68"/>
  <c r="F48" i="68" s="1"/>
  <c r="F32" i="67"/>
  <c r="F60" i="67" s="1"/>
  <c r="M18" i="67"/>
  <c r="F52" i="9"/>
  <c r="F31" i="12"/>
  <c r="C40" i="69"/>
  <c r="C21" i="68"/>
  <c r="C40" i="11"/>
  <c r="G1" i="67"/>
  <c r="B6" i="1"/>
  <c r="E6" i="1" s="1"/>
  <c r="K6" i="1"/>
  <c r="AP6" i="1" s="1"/>
  <c r="G1" i="15"/>
  <c r="G1" i="69"/>
  <c r="K1" i="12"/>
  <c r="BI5" i="3"/>
  <c r="BD5" i="3"/>
  <c r="BE5" i="3"/>
  <c r="BC5" i="3"/>
  <c r="BK5" i="3"/>
  <c r="BG5" i="3"/>
  <c r="E10" i="6" s="1"/>
  <c r="BP5" i="3"/>
  <c r="G29" i="6" s="1"/>
  <c r="E29" i="6" s="1"/>
  <c r="K15" i="1" s="1"/>
  <c r="BH5" i="3"/>
  <c r="BR5" i="3"/>
  <c r="BJ5" i="3"/>
  <c r="BS5" i="3"/>
  <c r="A15" i="62"/>
  <c r="B61" i="72" s="1"/>
  <c r="B16" i="53"/>
  <c r="B33" i="72" s="1"/>
  <c r="AZ388" i="3"/>
  <c r="U19" i="33"/>
  <c r="U15" i="21"/>
  <c r="U32" i="36"/>
  <c r="S43" i="33"/>
  <c r="U20" i="35"/>
  <c r="BM5" i="3"/>
  <c r="F29" i="6" s="1"/>
  <c r="AZ318" i="3"/>
  <c r="AZ347" i="3"/>
  <c r="AZ378" i="3"/>
  <c r="AZ566" i="3"/>
  <c r="AC33" i="33"/>
  <c r="W33" i="33"/>
  <c r="S20" i="35"/>
  <c r="AZ387" i="3"/>
  <c r="AZ364" i="3"/>
  <c r="AZ329" i="3"/>
  <c r="AA11" i="39"/>
  <c r="AZ419" i="3"/>
  <c r="AB45" i="21"/>
  <c r="S32" i="39"/>
  <c r="S20" i="36"/>
  <c r="W23" i="21"/>
  <c r="W25" i="33"/>
  <c r="W24" i="36"/>
  <c r="AZ559" i="3"/>
  <c r="AZ575" i="3"/>
  <c r="U34" i="35"/>
  <c r="AB34" i="35"/>
  <c r="J33" i="36"/>
  <c r="AC33" i="36" s="1"/>
  <c r="F33" i="36"/>
  <c r="H33" i="36"/>
  <c r="BF5" i="3"/>
  <c r="W14" i="33"/>
  <c r="AC27" i="33"/>
  <c r="AC23" i="37"/>
  <c r="AC9" i="21"/>
  <c r="D6" i="52"/>
  <c r="W33" i="34"/>
  <c r="AB33" i="34"/>
  <c r="AA36" i="21"/>
  <c r="BB5" i="3"/>
  <c r="AZ360" i="3"/>
  <c r="W12" i="37"/>
  <c r="AC12" i="37"/>
  <c r="AZ542" i="3"/>
  <c r="AA14" i="37"/>
  <c r="S14" i="37"/>
  <c r="H44" i="33"/>
  <c r="AA45" i="33"/>
  <c r="S45" i="33"/>
  <c r="G247" i="3"/>
  <c r="H5" i="3"/>
  <c r="C31" i="71"/>
  <c r="D30" i="71"/>
  <c r="AC35" i="33"/>
  <c r="S17" i="37"/>
  <c r="S13" i="21"/>
  <c r="U23" i="33"/>
  <c r="W17" i="21"/>
  <c r="AZ331" i="3"/>
  <c r="AZ322" i="3"/>
  <c r="AZ336" i="3"/>
  <c r="F36" i="35"/>
  <c r="H36" i="35"/>
  <c r="J36" i="35"/>
  <c r="AC36" i="35" s="1"/>
  <c r="AC23" i="39"/>
  <c r="W23" i="39"/>
  <c r="H45" i="39"/>
  <c r="F45" i="39"/>
  <c r="J45" i="39"/>
  <c r="W45" i="39" s="1"/>
  <c r="AB36" i="33"/>
  <c r="S21" i="39"/>
  <c r="W43" i="34"/>
  <c r="U42" i="33"/>
  <c r="AA35" i="33"/>
  <c r="AA34" i="33"/>
  <c r="AZ304" i="3"/>
  <c r="AZ532" i="3"/>
  <c r="U34" i="21"/>
  <c r="AB34" i="21"/>
  <c r="W44" i="33"/>
  <c r="AC44" i="33"/>
  <c r="J31" i="34"/>
  <c r="F31" i="34"/>
  <c r="H38" i="37"/>
  <c r="F38" i="37"/>
  <c r="AC9" i="39"/>
  <c r="W9" i="39"/>
  <c r="F14" i="39"/>
  <c r="H14" i="39"/>
  <c r="AC8" i="34"/>
  <c r="W8" i="34"/>
  <c r="AB37" i="37"/>
  <c r="AC34" i="33"/>
  <c r="AZ391" i="3"/>
  <c r="W40" i="37"/>
  <c r="AC40" i="37"/>
  <c r="AB26" i="33"/>
  <c r="U26" i="33"/>
  <c r="W44" i="39"/>
  <c r="AC44" i="39"/>
  <c r="J31" i="21"/>
  <c r="F31" i="21"/>
  <c r="H31" i="21"/>
  <c r="AZ528" i="3"/>
  <c r="AZ502" i="3"/>
  <c r="U34" i="40"/>
  <c r="G585" i="3"/>
  <c r="H9" i="33"/>
  <c r="AZ443" i="3"/>
  <c r="BA452" i="3"/>
  <c r="AZ372" i="3"/>
  <c r="AZ337" i="3"/>
  <c r="AZ309" i="3"/>
  <c r="W47" i="34"/>
  <c r="AZ515" i="3"/>
  <c r="AZ523" i="3"/>
  <c r="AZ569" i="3"/>
  <c r="AZ571" i="3"/>
  <c r="AZ516" i="3"/>
  <c r="AB46" i="34"/>
  <c r="U38" i="40"/>
  <c r="BL585" i="3"/>
  <c r="H9" i="34"/>
  <c r="F12" i="34"/>
  <c r="S12" i="34" s="1"/>
  <c r="H12" i="35"/>
  <c r="H12" i="36"/>
  <c r="BL402" i="3"/>
  <c r="BL419" i="3"/>
  <c r="BL427" i="3"/>
  <c r="BA458" i="3"/>
  <c r="AZ458" i="3" s="1"/>
  <c r="AZ487" i="3"/>
  <c r="AZ537" i="3"/>
  <c r="AZ518" i="3"/>
  <c r="AZ580" i="3"/>
  <c r="U45" i="33"/>
  <c r="AA44" i="34"/>
  <c r="U23" i="34"/>
  <c r="BA550" i="3"/>
  <c r="BL399" i="3"/>
  <c r="BL587" i="3"/>
  <c r="AZ587" i="3" s="1"/>
  <c r="BL586" i="3"/>
  <c r="AZ586" i="3" s="1"/>
  <c r="H23" i="36"/>
  <c r="J23" i="36"/>
  <c r="AZ313" i="3"/>
  <c r="AZ519" i="3"/>
  <c r="AZ573" i="3"/>
  <c r="AZ583" i="3"/>
  <c r="AZ568" i="3"/>
  <c r="G587" i="3"/>
  <c r="B79" i="43"/>
  <c r="BA407" i="3"/>
  <c r="AZ407" i="3" s="1"/>
  <c r="BL416" i="3"/>
  <c r="BL440" i="3"/>
  <c r="BA463" i="3"/>
  <c r="BA485" i="3"/>
  <c r="BL487" i="3"/>
  <c r="AZ579" i="3"/>
  <c r="AC11" i="35"/>
  <c r="W28" i="36"/>
  <c r="W25" i="37"/>
  <c r="BA413" i="3"/>
  <c r="BL423" i="3"/>
  <c r="AZ539" i="3"/>
  <c r="AZ402" i="3"/>
  <c r="BL406" i="3"/>
  <c r="AZ406" i="3" s="1"/>
  <c r="BA437" i="3"/>
  <c r="BL447" i="3"/>
  <c r="BA448" i="3"/>
  <c r="AZ448" i="3" s="1"/>
  <c r="BA385" i="3"/>
  <c r="BL408" i="3"/>
  <c r="BL411" i="3"/>
  <c r="BL413" i="3"/>
  <c r="G415" i="3"/>
  <c r="G416" i="3"/>
  <c r="BL417" i="3"/>
  <c r="BL418" i="3"/>
  <c r="BL420" i="3"/>
  <c r="G422" i="3"/>
  <c r="G423" i="3"/>
  <c r="BL424" i="3"/>
  <c r="AZ424" i="3" s="1"/>
  <c r="G426" i="3"/>
  <c r="G427" i="3"/>
  <c r="BL428" i="3"/>
  <c r="BL429" i="3"/>
  <c r="BL432" i="3"/>
  <c r="BL435" i="3"/>
  <c r="BL436" i="3"/>
  <c r="BL453" i="3"/>
  <c r="BL454" i="3"/>
  <c r="G458" i="3"/>
  <c r="BL459" i="3"/>
  <c r="G461" i="3"/>
  <c r="G462" i="3"/>
  <c r="BA465" i="3"/>
  <c r="AZ465" i="3" s="1"/>
  <c r="BA471" i="3"/>
  <c r="BL476" i="3"/>
  <c r="BL477" i="3"/>
  <c r="BL478" i="3"/>
  <c r="G479" i="3"/>
  <c r="G480" i="3"/>
  <c r="BL317" i="3"/>
  <c r="BL381" i="3"/>
  <c r="AZ381" i="3" s="1"/>
  <c r="BA388" i="3"/>
  <c r="BA212" i="3"/>
  <c r="BA216" i="3"/>
  <c r="AZ216" i="3" s="1"/>
  <c r="BA218" i="3"/>
  <c r="BL230" i="3"/>
  <c r="BL231" i="3"/>
  <c r="AZ231" i="3" s="1"/>
  <c r="G233" i="3"/>
  <c r="BA265" i="3"/>
  <c r="AZ265" i="3" s="1"/>
  <c r="BA288" i="3"/>
  <c r="BL298" i="3"/>
  <c r="G574" i="3"/>
  <c r="BL15" i="3"/>
  <c r="AZ15" i="3" s="1"/>
  <c r="BA398" i="3"/>
  <c r="BA399" i="3"/>
  <c r="BL464" i="3"/>
  <c r="BL467" i="3"/>
  <c r="BL468" i="3"/>
  <c r="BL470" i="3"/>
  <c r="AZ470" i="3" s="1"/>
  <c r="G472" i="3"/>
  <c r="G473" i="3"/>
  <c r="BL473" i="3"/>
  <c r="AZ473" i="3" s="1"/>
  <c r="BL474" i="3"/>
  <c r="G475" i="3"/>
  <c r="BA486" i="3"/>
  <c r="BA331" i="3"/>
  <c r="BA339" i="3"/>
  <c r="AZ339" i="3" s="1"/>
  <c r="G343" i="3"/>
  <c r="BA348" i="3"/>
  <c r="BA350" i="3"/>
  <c r="AZ350" i="3" s="1"/>
  <c r="BL212" i="3"/>
  <c r="BA551" i="3"/>
  <c r="AZ551" i="3" s="1"/>
  <c r="BL548" i="3"/>
  <c r="AZ548" i="3" s="1"/>
  <c r="BA401" i="3"/>
  <c r="BA403" i="3"/>
  <c r="BA404" i="3"/>
  <c r="BA405" i="3"/>
  <c r="BA441" i="3"/>
  <c r="BL471" i="3"/>
  <c r="BL475" i="3"/>
  <c r="BA483" i="3"/>
  <c r="BA489" i="3"/>
  <c r="BA491" i="3"/>
  <c r="BL324" i="3"/>
  <c r="AZ324" i="3" s="1"/>
  <c r="BA349" i="3"/>
  <c r="AZ349" i="3" s="1"/>
  <c r="BL353" i="3"/>
  <c r="AZ353" i="3" s="1"/>
  <c r="BA358" i="3"/>
  <c r="AZ358" i="3" s="1"/>
  <c r="BA368" i="3"/>
  <c r="AZ368" i="3" s="1"/>
  <c r="BL227" i="3"/>
  <c r="BL229" i="3"/>
  <c r="BA283" i="3"/>
  <c r="AZ283" i="3" s="1"/>
  <c r="G398" i="3"/>
  <c r="G399" i="3"/>
  <c r="BL400" i="3"/>
  <c r="AZ400" i="3" s="1"/>
  <c r="BA439" i="3"/>
  <c r="AZ439" i="3" s="1"/>
  <c r="BA440" i="3"/>
  <c r="BA442" i="3"/>
  <c r="BA445" i="3"/>
  <c r="BA447" i="3"/>
  <c r="BA449" i="3"/>
  <c r="BL484" i="3"/>
  <c r="BA488" i="3"/>
  <c r="AZ488" i="3" s="1"/>
  <c r="G349" i="3"/>
  <c r="BL386" i="3"/>
  <c r="BA392" i="3"/>
  <c r="AZ392" i="3" s="1"/>
  <c r="G397" i="3"/>
  <c r="BL210" i="3"/>
  <c r="BA250" i="3"/>
  <c r="H39" i="40"/>
  <c r="G551" i="3"/>
  <c r="BL550" i="3"/>
  <c r="G542" i="3"/>
  <c r="BL398" i="3"/>
  <c r="BL403" i="3"/>
  <c r="G405" i="3"/>
  <c r="BA408" i="3"/>
  <c r="BA409" i="3"/>
  <c r="AZ409" i="3" s="1"/>
  <c r="BA411" i="3"/>
  <c r="AZ411" i="3" s="1"/>
  <c r="BA417" i="3"/>
  <c r="AZ417" i="3" s="1"/>
  <c r="BA428" i="3"/>
  <c r="BA429" i="3"/>
  <c r="BA430" i="3"/>
  <c r="BA432" i="3"/>
  <c r="AZ432" i="3" s="1"/>
  <c r="BA434" i="3"/>
  <c r="BA436" i="3"/>
  <c r="BA438" i="3"/>
  <c r="G442" i="3"/>
  <c r="BA446" i="3"/>
  <c r="BA450" i="3"/>
  <c r="BA453" i="3"/>
  <c r="BA455" i="3"/>
  <c r="AZ455" i="3" s="1"/>
  <c r="BA480" i="3"/>
  <c r="BA481" i="3"/>
  <c r="BL489" i="3"/>
  <c r="BL491" i="3"/>
  <c r="BL492" i="3"/>
  <c r="BL332" i="3"/>
  <c r="BA367" i="3"/>
  <c r="AZ367" i="3" s="1"/>
  <c r="BL397" i="3"/>
  <c r="BA235" i="3"/>
  <c r="BA237" i="3"/>
  <c r="AZ237" i="3" s="1"/>
  <c r="BA257" i="3"/>
  <c r="AZ257" i="3" s="1"/>
  <c r="BL401" i="3"/>
  <c r="BL404" i="3"/>
  <c r="BL405" i="3"/>
  <c r="BL407" i="3"/>
  <c r="BA412" i="3"/>
  <c r="AZ412" i="3" s="1"/>
  <c r="BA414" i="3"/>
  <c r="AZ414" i="3" s="1"/>
  <c r="BA415" i="3"/>
  <c r="BA416" i="3"/>
  <c r="BA418" i="3"/>
  <c r="AZ418" i="3" s="1"/>
  <c r="BA421" i="3"/>
  <c r="AZ421" i="3" s="1"/>
  <c r="BA423" i="3"/>
  <c r="BA425" i="3"/>
  <c r="AZ425" i="3" s="1"/>
  <c r="BA426" i="3"/>
  <c r="BA427" i="3"/>
  <c r="BA433" i="3"/>
  <c r="AZ433" i="3" s="1"/>
  <c r="BA435" i="3"/>
  <c r="BL437" i="3"/>
  <c r="G439" i="3"/>
  <c r="BL441" i="3"/>
  <c r="BL442" i="3"/>
  <c r="BL444" i="3"/>
  <c r="AZ444" i="3" s="1"/>
  <c r="G446" i="3"/>
  <c r="G447" i="3"/>
  <c r="BL448" i="3"/>
  <c r="G450" i="3"/>
  <c r="G451" i="3"/>
  <c r="BA454" i="3"/>
  <c r="AZ454" i="3" s="1"/>
  <c r="BA457" i="3"/>
  <c r="AZ457" i="3" s="1"/>
  <c r="BA459" i="3"/>
  <c r="BA460" i="3"/>
  <c r="AZ460" i="3" s="1"/>
  <c r="BA461" i="3"/>
  <c r="AZ461" i="3" s="1"/>
  <c r="BA476" i="3"/>
  <c r="BA477" i="3"/>
  <c r="AZ477" i="3" s="1"/>
  <c r="BA478" i="3"/>
  <c r="G491" i="3"/>
  <c r="BA307" i="3"/>
  <c r="AZ307" i="3" s="1"/>
  <c r="G311" i="3"/>
  <c r="BA335" i="3"/>
  <c r="AZ335" i="3" s="1"/>
  <c r="G347" i="3"/>
  <c r="BA354" i="3"/>
  <c r="BA366" i="3"/>
  <c r="AZ366" i="3" s="1"/>
  <c r="BL375" i="3"/>
  <c r="AZ375" i="3" s="1"/>
  <c r="BL383" i="3"/>
  <c r="AZ383" i="3" s="1"/>
  <c r="BL219" i="3"/>
  <c r="BA233" i="3"/>
  <c r="AZ233" i="3" s="1"/>
  <c r="BL235" i="3"/>
  <c r="BL236" i="3"/>
  <c r="G237" i="3"/>
  <c r="BL238" i="3"/>
  <c r="BA248" i="3"/>
  <c r="BA255" i="3"/>
  <c r="AZ255" i="3" s="1"/>
  <c r="BA291" i="3"/>
  <c r="BL16" i="3"/>
  <c r="AZ16" i="3" s="1"/>
  <c r="BL410" i="3"/>
  <c r="BA422" i="3"/>
  <c r="AZ422" i="3" s="1"/>
  <c r="BL431" i="3"/>
  <c r="AZ431" i="3" s="1"/>
  <c r="BL434" i="3"/>
  <c r="AZ434" i="3" s="1"/>
  <c r="BL438" i="3"/>
  <c r="BL439" i="3"/>
  <c r="BL445" i="3"/>
  <c r="BL446" i="3"/>
  <c r="BL449" i="3"/>
  <c r="BL450" i="3"/>
  <c r="BL452" i="3"/>
  <c r="BL456" i="3"/>
  <c r="BA464" i="3"/>
  <c r="AZ464" i="3" s="1"/>
  <c r="BA466" i="3"/>
  <c r="AZ466" i="3" s="1"/>
  <c r="BA467" i="3"/>
  <c r="BA468" i="3"/>
  <c r="BL480" i="3"/>
  <c r="BL483" i="3"/>
  <c r="BA214" i="3"/>
  <c r="BL224" i="3"/>
  <c r="BA225" i="3"/>
  <c r="BA231" i="3"/>
  <c r="BA245" i="3"/>
  <c r="AZ245" i="3" s="1"/>
  <c r="BL146" i="3"/>
  <c r="AZ146" i="3" s="1"/>
  <c r="BA396" i="3"/>
  <c r="BA209" i="3"/>
  <c r="BL228" i="3"/>
  <c r="AZ228" i="3" s="1"/>
  <c r="BA230" i="3"/>
  <c r="AZ230" i="3" s="1"/>
  <c r="BA236" i="3"/>
  <c r="BA238" i="3"/>
  <c r="BA243" i="3"/>
  <c r="BL248" i="3"/>
  <c r="G250" i="3"/>
  <c r="BL250" i="3"/>
  <c r="G252" i="3"/>
  <c r="G254" i="3"/>
  <c r="BA259" i="3"/>
  <c r="AZ259" i="3" s="1"/>
  <c r="BA263" i="3"/>
  <c r="BA267" i="3"/>
  <c r="AZ267" i="3" s="1"/>
  <c r="BA269" i="3"/>
  <c r="AZ269" i="3" s="1"/>
  <c r="BA271" i="3"/>
  <c r="BA274" i="3"/>
  <c r="BA276" i="3"/>
  <c r="BA279" i="3"/>
  <c r="BA281" i="3"/>
  <c r="G286" i="3"/>
  <c r="BL286" i="3"/>
  <c r="AZ286" i="3" s="1"/>
  <c r="G289" i="3"/>
  <c r="G290" i="3"/>
  <c r="G291" i="3"/>
  <c r="BA116" i="3"/>
  <c r="AZ116" i="3" s="1"/>
  <c r="BL121" i="3"/>
  <c r="AZ121" i="3" s="1"/>
  <c r="BA133" i="3"/>
  <c r="AZ133" i="3" s="1"/>
  <c r="BA134" i="3"/>
  <c r="BA137" i="3"/>
  <c r="BA140" i="3"/>
  <c r="AZ140" i="3" s="1"/>
  <c r="G154" i="3"/>
  <c r="G156" i="3"/>
  <c r="BL169" i="3"/>
  <c r="BL170" i="3"/>
  <c r="G171" i="3"/>
  <c r="BL179" i="3"/>
  <c r="AZ179" i="3" s="1"/>
  <c r="BA201" i="3"/>
  <c r="BA21" i="3"/>
  <c r="BL24" i="3"/>
  <c r="BA30" i="3"/>
  <c r="BL44" i="3"/>
  <c r="BA60" i="3"/>
  <c r="AZ60" i="3" s="1"/>
  <c r="BL62" i="3"/>
  <c r="BL63" i="3"/>
  <c r="AZ63" i="3" s="1"/>
  <c r="C52" i="71"/>
  <c r="D84" i="71"/>
  <c r="C83" i="71"/>
  <c r="V24" i="71"/>
  <c r="E23" i="71"/>
  <c r="E22" i="71" s="1"/>
  <c r="E21" i="71" s="1"/>
  <c r="E20" i="71" s="1"/>
  <c r="BL243" i="3"/>
  <c r="BL247" i="3"/>
  <c r="BL249" i="3"/>
  <c r="BL251" i="3"/>
  <c r="BL260" i="3"/>
  <c r="G262" i="3"/>
  <c r="BL263" i="3"/>
  <c r="G264" i="3"/>
  <c r="BL270" i="3"/>
  <c r="AZ270" i="3" s="1"/>
  <c r="BA272" i="3"/>
  <c r="AZ272" i="3" s="1"/>
  <c r="BL275" i="3"/>
  <c r="AZ275" i="3" s="1"/>
  <c r="G277" i="3"/>
  <c r="G280" i="3"/>
  <c r="G282" i="3"/>
  <c r="BL285" i="3"/>
  <c r="BL287" i="3"/>
  <c r="BL115" i="3"/>
  <c r="AZ115" i="3" s="1"/>
  <c r="BL133" i="3"/>
  <c r="BL134" i="3"/>
  <c r="BL137" i="3"/>
  <c r="BA144" i="3"/>
  <c r="AZ144" i="3" s="1"/>
  <c r="BL155" i="3"/>
  <c r="AZ155" i="3" s="1"/>
  <c r="BL166" i="3"/>
  <c r="BA174" i="3"/>
  <c r="BL201" i="3"/>
  <c r="BL203" i="3"/>
  <c r="AZ203" i="3" s="1"/>
  <c r="BA19" i="3"/>
  <c r="BA94" i="3"/>
  <c r="BL96" i="3"/>
  <c r="C56" i="71"/>
  <c r="D55" i="71"/>
  <c r="F66" i="71"/>
  <c r="Q67" i="71"/>
  <c r="BL239" i="3"/>
  <c r="BL241" i="3"/>
  <c r="BL244" i="3"/>
  <c r="BL256" i="3"/>
  <c r="BL264" i="3"/>
  <c r="BL266" i="3"/>
  <c r="BL273" i="3"/>
  <c r="AZ273" i="3" s="1"/>
  <c r="BL277" i="3"/>
  <c r="BL282" i="3"/>
  <c r="BA297" i="3"/>
  <c r="BA302" i="3"/>
  <c r="G115" i="3"/>
  <c r="BA130" i="3"/>
  <c r="AZ130" i="3" s="1"/>
  <c r="BL149" i="3"/>
  <c r="AZ149" i="3" s="1"/>
  <c r="BL150" i="3"/>
  <c r="AZ150" i="3" s="1"/>
  <c r="BL162" i="3"/>
  <c r="AZ162" i="3" s="1"/>
  <c r="BL165" i="3"/>
  <c r="G166" i="3"/>
  <c r="BA173" i="3"/>
  <c r="BL175" i="3"/>
  <c r="AZ175" i="3" s="1"/>
  <c r="BL186" i="3"/>
  <c r="G187" i="3"/>
  <c r="BA197" i="3"/>
  <c r="G203" i="3"/>
  <c r="BA47" i="3"/>
  <c r="AZ47" i="3" s="1"/>
  <c r="BL50" i="3"/>
  <c r="AZ50" i="3" s="1"/>
  <c r="BL51" i="3"/>
  <c r="BA70" i="3"/>
  <c r="BL86" i="3"/>
  <c r="BL103" i="3"/>
  <c r="T72" i="71"/>
  <c r="C71" i="71"/>
  <c r="BL217" i="3"/>
  <c r="AZ217" i="3" s="1"/>
  <c r="BA219" i="3"/>
  <c r="AZ219" i="3" s="1"/>
  <c r="BA221" i="3"/>
  <c r="BA223" i="3"/>
  <c r="BL232" i="3"/>
  <c r="BL234" i="3"/>
  <c r="BL261" i="3"/>
  <c r="BL271" i="3"/>
  <c r="BL274" i="3"/>
  <c r="BA296" i="3"/>
  <c r="BL138" i="3"/>
  <c r="BA142" i="3"/>
  <c r="BA157" i="3"/>
  <c r="BA67" i="3"/>
  <c r="F34" i="71"/>
  <c r="F35" i="71" s="1"/>
  <c r="F36" i="71" s="1"/>
  <c r="V36" i="71" s="1"/>
  <c r="AB33" i="71"/>
  <c r="AA35" i="71"/>
  <c r="C64" i="71"/>
  <c r="T64" i="71" s="1"/>
  <c r="D63" i="71"/>
  <c r="BA333" i="3"/>
  <c r="BL346" i="3"/>
  <c r="AZ346" i="3" s="1"/>
  <c r="BA384" i="3"/>
  <c r="AZ384" i="3" s="1"/>
  <c r="BL213" i="3"/>
  <c r="BL215" i="3"/>
  <c r="BA222" i="3"/>
  <c r="BA224" i="3"/>
  <c r="BA226" i="3"/>
  <c r="BA294" i="3"/>
  <c r="BA298" i="3"/>
  <c r="BL301" i="3"/>
  <c r="AZ301" i="3" s="1"/>
  <c r="BL302" i="3"/>
  <c r="BA128" i="3"/>
  <c r="AZ128" i="3" s="1"/>
  <c r="BA156" i="3"/>
  <c r="AZ156" i="3" s="1"/>
  <c r="BA160" i="3"/>
  <c r="AZ160" i="3" s="1"/>
  <c r="BL173" i="3"/>
  <c r="BL183" i="3"/>
  <c r="AZ183" i="3" s="1"/>
  <c r="BA26" i="3"/>
  <c r="BL28" i="3"/>
  <c r="BA33" i="3"/>
  <c r="BL35" i="3"/>
  <c r="G50" i="3"/>
  <c r="BA65" i="3"/>
  <c r="AZ65" i="3" s="1"/>
  <c r="AC29" i="39"/>
  <c r="W29" i="39"/>
  <c r="BA482" i="3"/>
  <c r="BA484" i="3"/>
  <c r="AZ484" i="3" s="1"/>
  <c r="BA303" i="3"/>
  <c r="AZ303" i="3" s="1"/>
  <c r="BL314" i="3"/>
  <c r="AZ314" i="3" s="1"/>
  <c r="G315" i="3"/>
  <c r="BA332" i="3"/>
  <c r="AZ332" i="3" s="1"/>
  <c r="G364" i="3"/>
  <c r="BA370" i="3"/>
  <c r="AZ370" i="3" s="1"/>
  <c r="BA386" i="3"/>
  <c r="BL218" i="3"/>
  <c r="BL220" i="3"/>
  <c r="AZ220" i="3" s="1"/>
  <c r="BL221" i="3"/>
  <c r="G222" i="3"/>
  <c r="BL223" i="3"/>
  <c r="G224" i="3"/>
  <c r="BA227" i="3"/>
  <c r="BA229" i="3"/>
  <c r="BA247" i="3"/>
  <c r="AZ247" i="3" s="1"/>
  <c r="BA249" i="3"/>
  <c r="BA251" i="3"/>
  <c r="AZ251" i="3" s="1"/>
  <c r="BA253" i="3"/>
  <c r="BA290" i="3"/>
  <c r="G297" i="3"/>
  <c r="BL299" i="3"/>
  <c r="G300" i="3"/>
  <c r="BL113" i="3"/>
  <c r="BA118" i="3"/>
  <c r="BA122" i="3"/>
  <c r="BL125" i="3"/>
  <c r="AZ125" i="3" s="1"/>
  <c r="BL126" i="3"/>
  <c r="AZ126" i="3" s="1"/>
  <c r="G130" i="3"/>
  <c r="BL157" i="3"/>
  <c r="BL159" i="3"/>
  <c r="AZ159" i="3" s="1"/>
  <c r="G160" i="3"/>
  <c r="BA180" i="3"/>
  <c r="AZ180" i="3" s="1"/>
  <c r="BL182" i="3"/>
  <c r="AZ182" i="3" s="1"/>
  <c r="BL193" i="3"/>
  <c r="BL194" i="3"/>
  <c r="AZ194" i="3" s="1"/>
  <c r="G18" i="3"/>
  <c r="BA25" i="3"/>
  <c r="BL34" i="3"/>
  <c r="BA62" i="3"/>
  <c r="BA66" i="3"/>
  <c r="AZ66" i="3" s="1"/>
  <c r="BL67" i="3"/>
  <c r="BA98" i="3"/>
  <c r="BL100" i="3"/>
  <c r="T40" i="71"/>
  <c r="D40" i="71"/>
  <c r="C28" i="71"/>
  <c r="Y25" i="71"/>
  <c r="Z25" i="71" s="1"/>
  <c r="Y26" i="71"/>
  <c r="Z26" i="71" s="1"/>
  <c r="Y27" i="71"/>
  <c r="Z27" i="71" s="1"/>
  <c r="Y28" i="71"/>
  <c r="Z28" i="71" s="1"/>
  <c r="AA38" i="71"/>
  <c r="AA39" i="71"/>
  <c r="AA37" i="71"/>
  <c r="C60" i="71"/>
  <c r="D59" i="71"/>
  <c r="N67" i="71"/>
  <c r="B66" i="71"/>
  <c r="BL385" i="3"/>
  <c r="BA397" i="3"/>
  <c r="AZ397" i="3" s="1"/>
  <c r="BA210" i="3"/>
  <c r="BL225" i="3"/>
  <c r="BL226" i="3"/>
  <c r="AZ226" i="3" s="1"/>
  <c r="BA239" i="3"/>
  <c r="AZ239" i="3" s="1"/>
  <c r="BA241" i="3"/>
  <c r="BA244" i="3"/>
  <c r="AZ244" i="3" s="1"/>
  <c r="BA246" i="3"/>
  <c r="BA252" i="3"/>
  <c r="AZ252" i="3" s="1"/>
  <c r="BA254" i="3"/>
  <c r="AZ254" i="3" s="1"/>
  <c r="BA256" i="3"/>
  <c r="AZ256" i="3" s="1"/>
  <c r="BA258" i="3"/>
  <c r="BA268" i="3"/>
  <c r="BA277" i="3"/>
  <c r="AZ277" i="3" s="1"/>
  <c r="BA282" i="3"/>
  <c r="AZ282" i="3" s="1"/>
  <c r="BA284" i="3"/>
  <c r="AZ284" i="3" s="1"/>
  <c r="BL290" i="3"/>
  <c r="BL291" i="3"/>
  <c r="BL293" i="3"/>
  <c r="AZ293" i="3" s="1"/>
  <c r="BL294" i="3"/>
  <c r="BL297" i="3"/>
  <c r="BL300" i="3"/>
  <c r="BA117" i="3"/>
  <c r="BL130" i="3"/>
  <c r="BA152" i="3"/>
  <c r="AZ152" i="3" s="1"/>
  <c r="BA154" i="3"/>
  <c r="AZ154" i="3" s="1"/>
  <c r="BA168" i="3"/>
  <c r="AZ168" i="3" s="1"/>
  <c r="BL205" i="3"/>
  <c r="BA77" i="3"/>
  <c r="AZ77" i="3" s="1"/>
  <c r="W21" i="33"/>
  <c r="AC21" i="33"/>
  <c r="AA18" i="36"/>
  <c r="S18" i="36"/>
  <c r="AB28" i="71"/>
  <c r="BA176" i="3"/>
  <c r="AZ176" i="3" s="1"/>
  <c r="BA178" i="3"/>
  <c r="G182" i="3"/>
  <c r="BA192" i="3"/>
  <c r="AZ192" i="3" s="1"/>
  <c r="BL197" i="3"/>
  <c r="G198" i="3"/>
  <c r="BL199" i="3"/>
  <c r="AZ199" i="3" s="1"/>
  <c r="BA20" i="3"/>
  <c r="BL25" i="3"/>
  <c r="BL27" i="3"/>
  <c r="BA38" i="3"/>
  <c r="BA41" i="3"/>
  <c r="BA42" i="3"/>
  <c r="G46" i="3"/>
  <c r="G47" i="3"/>
  <c r="BL48" i="3"/>
  <c r="BA59" i="3"/>
  <c r="G61" i="3"/>
  <c r="BL61" i="3"/>
  <c r="G64" i="3"/>
  <c r="G67" i="3"/>
  <c r="BL68" i="3"/>
  <c r="G72" i="3"/>
  <c r="BL73" i="3"/>
  <c r="G81" i="3"/>
  <c r="BA86" i="3"/>
  <c r="BA87" i="3"/>
  <c r="BA91" i="3"/>
  <c r="AZ91" i="3" s="1"/>
  <c r="BA108" i="3"/>
  <c r="AZ108" i="3" s="1"/>
  <c r="BA110" i="3"/>
  <c r="S21" i="37"/>
  <c r="B77" i="43"/>
  <c r="AA18" i="35"/>
  <c r="AA28" i="71"/>
  <c r="E79" i="71"/>
  <c r="E78" i="71" s="1"/>
  <c r="AB25" i="71"/>
  <c r="C43" i="71"/>
  <c r="C35" i="71"/>
  <c r="N68" i="71"/>
  <c r="AB32" i="71"/>
  <c r="X33" i="71"/>
  <c r="BL40" i="3"/>
  <c r="AZ40" i="3" s="1"/>
  <c r="BL41" i="3"/>
  <c r="BL45" i="3"/>
  <c r="BA58" i="3"/>
  <c r="AZ58" i="3" s="1"/>
  <c r="BL59" i="3"/>
  <c r="BL60" i="3"/>
  <c r="BA89" i="3"/>
  <c r="BA103" i="3"/>
  <c r="BA104" i="3"/>
  <c r="BA106" i="3"/>
  <c r="BL108" i="3"/>
  <c r="BL111" i="3"/>
  <c r="X28" i="71"/>
  <c r="BL143" i="3"/>
  <c r="AZ143" i="3" s="1"/>
  <c r="BL177" i="3"/>
  <c r="AZ177" i="3" s="1"/>
  <c r="BA186" i="3"/>
  <c r="BA190" i="3"/>
  <c r="BA204" i="3"/>
  <c r="AZ204" i="3" s="1"/>
  <c r="BA18" i="3"/>
  <c r="BL21" i="3"/>
  <c r="G23" i="3"/>
  <c r="BA37" i="3"/>
  <c r="G39" i="3"/>
  <c r="BL39" i="3"/>
  <c r="AZ39" i="3" s="1"/>
  <c r="G43" i="3"/>
  <c r="G44" i="3"/>
  <c r="BA56" i="3"/>
  <c r="BA57" i="3"/>
  <c r="AZ57" i="3" s="1"/>
  <c r="BL58" i="3"/>
  <c r="G60" i="3"/>
  <c r="BA84" i="3"/>
  <c r="BL88" i="3"/>
  <c r="AZ88" i="3" s="1"/>
  <c r="G90" i="3"/>
  <c r="BL90" i="3"/>
  <c r="BL92" i="3"/>
  <c r="BA101" i="3"/>
  <c r="G108" i="3"/>
  <c r="G109" i="3"/>
  <c r="BL112" i="3"/>
  <c r="W18" i="35"/>
  <c r="D39" i="71"/>
  <c r="AA3" i="71"/>
  <c r="D62" i="71"/>
  <c r="U68" i="71"/>
  <c r="X31" i="71"/>
  <c r="AA34" i="71"/>
  <c r="AB35" i="71"/>
  <c r="B51" i="71"/>
  <c r="B52" i="71" s="1"/>
  <c r="S52" i="71" s="1"/>
  <c r="B60" i="71"/>
  <c r="S60" i="71" s="1"/>
  <c r="BL123" i="3"/>
  <c r="AZ123" i="3" s="1"/>
  <c r="G143" i="3"/>
  <c r="G175" i="3"/>
  <c r="G176" i="3"/>
  <c r="BL178" i="3"/>
  <c r="BA185" i="3"/>
  <c r="BL191" i="3"/>
  <c r="AZ191" i="3" s="1"/>
  <c r="G192" i="3"/>
  <c r="BA205" i="3"/>
  <c r="AZ205" i="3" s="1"/>
  <c r="G20" i="3"/>
  <c r="BL20" i="3"/>
  <c r="BA29" i="3"/>
  <c r="AZ29" i="3" s="1"/>
  <c r="BA36" i="3"/>
  <c r="BL38" i="3"/>
  <c r="BA52" i="3"/>
  <c r="AZ52" i="3" s="1"/>
  <c r="BA53" i="3"/>
  <c r="AZ53" i="3" s="1"/>
  <c r="BA54" i="3"/>
  <c r="AZ54" i="3" s="1"/>
  <c r="BL57" i="3"/>
  <c r="BA82" i="3"/>
  <c r="AZ82" i="3" s="1"/>
  <c r="G86" i="3"/>
  <c r="G87" i="3"/>
  <c r="BL94" i="3"/>
  <c r="BA100" i="3"/>
  <c r="BA102" i="3"/>
  <c r="BL105" i="3"/>
  <c r="AZ105" i="3" s="1"/>
  <c r="G107" i="3"/>
  <c r="BL107" i="3"/>
  <c r="K13" i="1"/>
  <c r="M13" i="1" s="1"/>
  <c r="O13" i="1" s="1"/>
  <c r="P13" i="1" s="1"/>
  <c r="AC21" i="21"/>
  <c r="AC21" i="37"/>
  <c r="X36" i="71"/>
  <c r="AA30" i="71"/>
  <c r="B32" i="71"/>
  <c r="S32" i="71" s="1"/>
  <c r="AB34" i="71"/>
  <c r="AB31" i="71"/>
  <c r="AA36" i="71"/>
  <c r="B47" i="71"/>
  <c r="B48" i="71" s="1"/>
  <c r="S48" i="71" s="1"/>
  <c r="BL118" i="3"/>
  <c r="BA153" i="3"/>
  <c r="BA164" i="3"/>
  <c r="AZ164" i="3" s="1"/>
  <c r="BA166" i="3"/>
  <c r="BA169" i="3"/>
  <c r="BL171" i="3"/>
  <c r="AZ171" i="3" s="1"/>
  <c r="G174" i="3"/>
  <c r="BA184" i="3"/>
  <c r="AZ184" i="3" s="1"/>
  <c r="BL187" i="3"/>
  <c r="AZ187" i="3" s="1"/>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G85" i="3"/>
  <c r="BL85" i="3"/>
  <c r="G96" i="3"/>
  <c r="BL97" i="3"/>
  <c r="AZ97" i="3" s="1"/>
  <c r="BL101" i="3"/>
  <c r="BL102" i="3"/>
  <c r="G104" i="3"/>
  <c r="BL106" i="3"/>
  <c r="F3" i="35"/>
  <c r="O67" i="71"/>
  <c r="AB27" i="71"/>
  <c r="X26" i="71"/>
  <c r="Y29" i="71"/>
  <c r="Z29" i="71" s="1"/>
  <c r="E38" i="71"/>
  <c r="E39" i="71" s="1"/>
  <c r="E40" i="71" s="1"/>
  <c r="U40" i="71" s="1"/>
  <c r="AB37" i="71"/>
  <c r="BA198" i="3"/>
  <c r="AZ198" i="3" s="1"/>
  <c r="G204" i="3"/>
  <c r="BL206" i="3"/>
  <c r="BA27" i="3"/>
  <c r="G30" i="3"/>
  <c r="BL30" i="3"/>
  <c r="AZ30" i="3" s="1"/>
  <c r="BL31" i="3"/>
  <c r="G35" i="3"/>
  <c r="G36" i="3"/>
  <c r="BA48" i="3"/>
  <c r="AZ48" i="3" s="1"/>
  <c r="BA49" i="3"/>
  <c r="AZ49" i="3" s="1"/>
  <c r="BA51" i="3"/>
  <c r="AZ51" i="3" s="1"/>
  <c r="G54" i="3"/>
  <c r="BL56" i="3"/>
  <c r="BA61" i="3"/>
  <c r="BA68" i="3"/>
  <c r="AZ68" i="3" s="1"/>
  <c r="BA73" i="3"/>
  <c r="BA80" i="3"/>
  <c r="G84" i="3"/>
  <c r="BL84" i="3"/>
  <c r="G99" i="3"/>
  <c r="U29" i="39"/>
  <c r="C29" i="39"/>
  <c r="C66" i="71"/>
  <c r="AB26" i="71"/>
  <c r="X32" i="71"/>
  <c r="F38" i="71"/>
  <c r="F39" i="71" s="1"/>
  <c r="F40" i="71" s="1"/>
  <c r="V40" i="71" s="1"/>
  <c r="BL70" i="3"/>
  <c r="BL71" i="3"/>
  <c r="AZ71" i="3" s="1"/>
  <c r="BL72" i="3"/>
  <c r="BL75" i="3"/>
  <c r="BL81" i="3"/>
  <c r="BL83" i="3"/>
  <c r="BA90" i="3"/>
  <c r="AZ90" i="3" s="1"/>
  <c r="BA111" i="3"/>
  <c r="AZ111" i="3" s="1"/>
  <c r="E35" i="71"/>
  <c r="E36" i="71" s="1"/>
  <c r="U36" i="71" s="1"/>
  <c r="AB36" i="7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42" i="3"/>
  <c r="AZ449" i="3"/>
  <c r="AZ452" i="3"/>
  <c r="AZ467" i="3"/>
  <c r="AZ468" i="3"/>
  <c r="W35" i="39"/>
  <c r="F27" i="34"/>
  <c r="C21" i="39"/>
  <c r="U9" i="36"/>
  <c r="U14" i="37"/>
  <c r="H12" i="21"/>
  <c r="G526" i="3"/>
  <c r="AZ420" i="3"/>
  <c r="AZ436" i="3"/>
  <c r="AZ446" i="3"/>
  <c r="AZ450" i="3"/>
  <c r="G28" i="6"/>
  <c r="U26" i="21"/>
  <c r="W36" i="39"/>
  <c r="U23" i="40"/>
  <c r="AA39" i="37"/>
  <c r="AC16" i="36"/>
  <c r="AB12" i="33"/>
  <c r="C27" i="39"/>
  <c r="U40" i="40"/>
  <c r="AC9" i="40"/>
  <c r="J12" i="21"/>
  <c r="B73" i="43"/>
  <c r="B76" i="43"/>
  <c r="F9" i="36"/>
  <c r="J40" i="40"/>
  <c r="G562" i="3"/>
  <c r="AZ426" i="3"/>
  <c r="AZ463" i="3"/>
  <c r="AZ38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G278" i="3"/>
  <c r="BA474" i="3"/>
  <c r="BA475" i="3"/>
  <c r="AZ475" i="3" s="1"/>
  <c r="BL481" i="3"/>
  <c r="AZ481" i="3" s="1"/>
  <c r="BL482" i="3"/>
  <c r="AZ482" i="3" s="1"/>
  <c r="G483" i="3"/>
  <c r="BL485" i="3"/>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290" i="3"/>
  <c r="AZ134"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73" i="3"/>
  <c r="AZ106" i="3"/>
  <c r="G200" i="3"/>
  <c r="G207" i="3"/>
  <c r="BA23" i="3"/>
  <c r="AZ23" i="3" s="1"/>
  <c r="BA24" i="3"/>
  <c r="AZ24" i="3" s="1"/>
  <c r="BL26" i="3"/>
  <c r="BL32" i="3"/>
  <c r="BA34" i="3"/>
  <c r="AZ34" i="3" s="1"/>
  <c r="BA35" i="3"/>
  <c r="AZ35" i="3" s="1"/>
  <c r="BL37" i="3"/>
  <c r="AZ37" i="3" s="1"/>
  <c r="BL42" i="3"/>
  <c r="AZ42" i="3" s="1"/>
  <c r="BA44" i="3"/>
  <c r="AZ44" i="3" s="1"/>
  <c r="AZ56" i="3"/>
  <c r="BA206" i="3"/>
  <c r="BL22" i="3"/>
  <c r="AZ22" i="3" s="1"/>
  <c r="BL33" i="3"/>
  <c r="AZ33" i="3" s="1"/>
  <c r="BL43" i="3"/>
  <c r="AZ43" i="3" s="1"/>
  <c r="BL46" i="3"/>
  <c r="AZ46" i="3" s="1"/>
  <c r="AZ92" i="3"/>
  <c r="BL78" i="3"/>
  <c r="BA83" i="3"/>
  <c r="G91" i="3"/>
  <c r="BL95" i="3"/>
  <c r="AZ95" i="3" s="1"/>
  <c r="BL98" i="3"/>
  <c r="AZ98" i="3" s="1"/>
  <c r="BL109" i="3"/>
  <c r="AZ109" i="3" s="1"/>
  <c r="AB21" i="21"/>
  <c r="AZ78" i="3"/>
  <c r="G77" i="3"/>
  <c r="BA81" i="3"/>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43" i="67"/>
  <c r="J15" i="67"/>
  <c r="F7" i="67"/>
  <c r="M29" i="67"/>
  <c r="L47" i="67"/>
  <c r="F6" i="15"/>
  <c r="L48" i="67"/>
  <c r="F40" i="67"/>
  <c r="M22" i="67"/>
  <c r="M28" i="15"/>
  <c r="F36" i="67"/>
  <c r="F13" i="67"/>
  <c r="D4" i="73"/>
  <c r="M24" i="67"/>
  <c r="D7" i="73"/>
  <c r="F38" i="67"/>
  <c r="F36" i="15"/>
  <c r="F37" i="67"/>
  <c r="M9" i="67"/>
  <c r="F38" i="15"/>
  <c r="F26" i="15"/>
  <c r="D3" i="73"/>
  <c r="J15" i="15"/>
  <c r="F26" i="67"/>
  <c r="M23" i="67"/>
  <c r="F16" i="15"/>
  <c r="F42" i="67"/>
  <c r="M6" i="67"/>
  <c r="M8" i="67"/>
  <c r="M26" i="67"/>
  <c r="M28" i="67"/>
  <c r="F9" i="67"/>
  <c r="D5" i="73"/>
  <c r="F6" i="67"/>
  <c r="F8" i="67"/>
  <c r="C76" i="67"/>
  <c r="F37" i="15"/>
  <c r="F16" i="67"/>
  <c r="F42" i="15"/>
  <c r="AB39" i="39" l="1"/>
  <c r="S40" i="39"/>
  <c r="W40" i="39"/>
  <c r="U14" i="33"/>
  <c r="AB14" i="33"/>
  <c r="E15" i="6"/>
  <c r="E64" i="39" s="1"/>
  <c r="AZ81" i="3"/>
  <c r="AZ61" i="3"/>
  <c r="AZ190" i="3"/>
  <c r="AZ214" i="3"/>
  <c r="P28" i="86"/>
  <c r="G44" i="86"/>
  <c r="C44" i="86" s="1"/>
  <c r="C42" i="86" s="1"/>
  <c r="G8" i="1"/>
  <c r="W12" i="35"/>
  <c r="AC12" i="35"/>
  <c r="AB12" i="40"/>
  <c r="U12" i="40"/>
  <c r="AB28" i="21"/>
  <c r="U28" i="21"/>
  <c r="J7" i="37"/>
  <c r="E12" i="6"/>
  <c r="E57" i="40" s="1"/>
  <c r="AZ83" i="3"/>
  <c r="AZ32" i="3"/>
  <c r="AZ474" i="3"/>
  <c r="AZ232" i="3"/>
  <c r="AZ72" i="3"/>
  <c r="AZ153" i="3"/>
  <c r="AZ100" i="3"/>
  <c r="AZ186" i="3"/>
  <c r="AZ103" i="3"/>
  <c r="AZ59" i="3"/>
  <c r="AZ227" i="3"/>
  <c r="AZ294" i="3"/>
  <c r="AZ274" i="3"/>
  <c r="AZ415" i="3"/>
  <c r="S12" i="40"/>
  <c r="AA12" i="40"/>
  <c r="P29" i="86"/>
  <c r="AC32" i="40"/>
  <c r="W32" i="40"/>
  <c r="AZ107" i="3"/>
  <c r="AZ26" i="3"/>
  <c r="AZ117" i="3"/>
  <c r="AA12" i="34"/>
  <c r="AZ18" i="3"/>
  <c r="AZ38" i="3"/>
  <c r="AZ210" i="3"/>
  <c r="AZ302" i="3"/>
  <c r="P25" i="86"/>
  <c r="AZ181" i="3"/>
  <c r="AC12" i="40"/>
  <c r="W12" i="40"/>
  <c r="AZ87" i="3"/>
  <c r="AZ114" i="3"/>
  <c r="AZ266" i="3"/>
  <c r="AZ268" i="3"/>
  <c r="W36" i="35"/>
  <c r="AZ207" i="3"/>
  <c r="AZ224" i="3"/>
  <c r="AZ297" i="3"/>
  <c r="AZ459" i="3"/>
  <c r="AZ447" i="3"/>
  <c r="AZ491" i="3"/>
  <c r="AZ212" i="3"/>
  <c r="AC28" i="21"/>
  <c r="AA44" i="33"/>
  <c r="T8" i="86"/>
  <c r="V8" i="86" s="1"/>
  <c r="T6" i="86"/>
  <c r="V6" i="86" s="1"/>
  <c r="T7" i="86"/>
  <c r="V7" i="86" s="1"/>
  <c r="C37" i="86"/>
  <c r="T15" i="86"/>
  <c r="V15" i="86" s="1"/>
  <c r="C33" i="86"/>
  <c r="T10" i="86"/>
  <c r="V10" i="86" s="1"/>
  <c r="T14" i="86"/>
  <c r="V14" i="86" s="1"/>
  <c r="T3" i="86"/>
  <c r="V3" i="86" s="1"/>
  <c r="C38" i="86"/>
  <c r="T2" i="86"/>
  <c r="V2" i="86" s="1"/>
  <c r="T11" i="86"/>
  <c r="V11" i="86" s="1"/>
  <c r="C39" i="86"/>
  <c r="T9" i="86"/>
  <c r="V9" i="86" s="1"/>
  <c r="T16" i="86"/>
  <c r="V16" i="86" s="1"/>
  <c r="T12" i="86"/>
  <c r="V12" i="86" s="1"/>
  <c r="C40" i="86"/>
  <c r="C41" i="86"/>
  <c r="T5" i="86"/>
  <c r="V5" i="86" s="1"/>
  <c r="T4" i="86"/>
  <c r="V4" i="86" s="1"/>
  <c r="T13" i="86"/>
  <c r="V13" i="86" s="1"/>
  <c r="K8" i="1"/>
  <c r="M8" i="1" s="1"/>
  <c r="O8" i="1" s="1"/>
  <c r="P8" i="1" s="1"/>
  <c r="E7" i="12"/>
  <c r="W25" i="35"/>
  <c r="AC25" i="35"/>
  <c r="U25" i="37"/>
  <c r="AB25" i="37"/>
  <c r="AA44" i="21"/>
  <c r="S44" i="21"/>
  <c r="E14" i="6"/>
  <c r="E63" i="39" s="1"/>
  <c r="AZ485" i="3"/>
  <c r="AZ110" i="3"/>
  <c r="AZ222" i="3"/>
  <c r="AZ453" i="3"/>
  <c r="AZ430" i="3"/>
  <c r="AZ445" i="3"/>
  <c r="AZ489" i="3"/>
  <c r="AZ401" i="3"/>
  <c r="AZ471" i="3"/>
  <c r="D79" i="71"/>
  <c r="C78" i="71"/>
  <c r="D78" i="71" s="1"/>
  <c r="P26" i="86"/>
  <c r="E66" i="71"/>
  <c r="P67" i="71"/>
  <c r="AZ469" i="3"/>
  <c r="AB25" i="35"/>
  <c r="U25" i="35"/>
  <c r="AA25" i="37"/>
  <c r="S25" i="37"/>
  <c r="F119" i="39"/>
  <c r="G119" i="39" s="1"/>
  <c r="H119" i="39" s="1"/>
  <c r="I119" i="39" s="1"/>
  <c r="J119" i="39" s="1"/>
  <c r="K119" i="39" s="1"/>
  <c r="L119" i="39" s="1"/>
  <c r="M119" i="39" s="1"/>
  <c r="J39" i="39"/>
  <c r="AC13" i="21"/>
  <c r="W13" i="21"/>
  <c r="AC44" i="21"/>
  <c r="W44" i="21"/>
  <c r="S47" i="34"/>
  <c r="AA47" i="34"/>
  <c r="E13" i="6"/>
  <c r="AZ113" i="3"/>
  <c r="AZ122" i="3"/>
  <c r="AZ423" i="3"/>
  <c r="AZ429" i="3"/>
  <c r="P27" i="86"/>
  <c r="K7" i="1"/>
  <c r="M7" i="1" s="1"/>
  <c r="O7" i="1" s="1"/>
  <c r="P7" i="1" s="1"/>
  <c r="D7" i="12"/>
  <c r="AC9" i="36"/>
  <c r="W9" i="36"/>
  <c r="AB32" i="40"/>
  <c r="U32" i="40"/>
  <c r="U13" i="21"/>
  <c r="AB13" i="21"/>
  <c r="AA13" i="34"/>
  <c r="S13" i="34"/>
  <c r="AZ45" i="3"/>
  <c r="AZ438" i="3"/>
  <c r="AZ248" i="3"/>
  <c r="AZ428" i="3"/>
  <c r="AC9" i="33"/>
  <c r="W9" i="33"/>
  <c r="U2" i="43"/>
  <c r="V21" i="1"/>
  <c r="Y20" i="1"/>
  <c r="U39" i="37"/>
  <c r="AB39" i="37"/>
  <c r="S32" i="40"/>
  <c r="AA32" i="40"/>
  <c r="W13" i="34"/>
  <c r="AC13" i="34"/>
  <c r="U43" i="39"/>
  <c r="AB43" i="39"/>
  <c r="AA43" i="39"/>
  <c r="S43" i="39"/>
  <c r="F11" i="83"/>
  <c r="M11" i="83"/>
  <c r="J10" i="83" s="1"/>
  <c r="M11" i="82"/>
  <c r="J10" i="82" s="1"/>
  <c r="F11" i="82"/>
  <c r="C30" i="68"/>
  <c r="C48" i="68"/>
  <c r="M6" i="1"/>
  <c r="O6" i="1" s="1"/>
  <c r="F66" i="15"/>
  <c r="F64" i="15"/>
  <c r="C27" i="15"/>
  <c r="F51" i="67"/>
  <c r="Q71" i="67"/>
  <c r="F65" i="67"/>
  <c r="F66" i="67"/>
  <c r="M7" i="67"/>
  <c r="J6" i="67" s="1"/>
  <c r="J18" i="67" s="1"/>
  <c r="F50" i="67"/>
  <c r="L56" i="67"/>
  <c r="J53" i="67"/>
  <c r="F1" i="67" s="1"/>
  <c r="I54" i="67"/>
  <c r="J57" i="67"/>
  <c r="J55" i="67" s="1"/>
  <c r="J58" i="67" s="1"/>
  <c r="Q50" i="67" s="1"/>
  <c r="F71" i="67"/>
  <c r="C6" i="67"/>
  <c r="C32" i="67" s="1"/>
  <c r="F68" i="67"/>
  <c r="F64" i="67"/>
  <c r="N59" i="67"/>
  <c r="L59" i="67"/>
  <c r="Q61" i="67" s="1"/>
  <c r="L58" i="67"/>
  <c r="Q73" i="67" s="1"/>
  <c r="C27" i="67"/>
  <c r="E26" i="43"/>
  <c r="G26" i="43"/>
  <c r="G30" i="6"/>
  <c r="G31" i="6" s="1"/>
  <c r="J25" i="1" s="1"/>
  <c r="N94" i="46"/>
  <c r="J26" i="43"/>
  <c r="N370" i="46"/>
  <c r="F26" i="43"/>
  <c r="D26" i="43" s="1"/>
  <c r="C25" i="43" s="1"/>
  <c r="J7" i="36"/>
  <c r="AC7" i="36" s="1"/>
  <c r="V36" i="36" s="1"/>
  <c r="I36" i="36" s="1"/>
  <c r="F65" i="15"/>
  <c r="F31" i="15"/>
  <c r="AZ299" i="3"/>
  <c r="AZ84" i="3"/>
  <c r="AZ20" i="3"/>
  <c r="D56" i="71"/>
  <c r="T56" i="71"/>
  <c r="D83" i="71"/>
  <c r="C82" i="71"/>
  <c r="D82" i="71" s="1"/>
  <c r="AC31" i="34"/>
  <c r="W31" i="34"/>
  <c r="D31" i="71"/>
  <c r="C32" i="71"/>
  <c r="AB33" i="36"/>
  <c r="U33" i="36"/>
  <c r="AZ170" i="3"/>
  <c r="AZ285" i="3"/>
  <c r="AZ223" i="3"/>
  <c r="AZ70" i="3"/>
  <c r="AZ440" i="3"/>
  <c r="AB9" i="34"/>
  <c r="U9" i="34"/>
  <c r="AB14" i="39"/>
  <c r="U14" i="39"/>
  <c r="S45" i="39"/>
  <c r="AA45" i="39"/>
  <c r="AA33" i="36"/>
  <c r="S33" i="36"/>
  <c r="S31" i="34"/>
  <c r="AA31" i="34"/>
  <c r="G5" i="3"/>
  <c r="B3" i="3" s="1"/>
  <c r="E484" i="3" s="1"/>
  <c r="AZ142" i="3"/>
  <c r="C36" i="71"/>
  <c r="D35" i="71"/>
  <c r="AZ173" i="3"/>
  <c r="AZ94" i="3"/>
  <c r="T52" i="71"/>
  <c r="D52" i="71"/>
  <c r="AZ271" i="3"/>
  <c r="AZ483" i="3"/>
  <c r="AZ476" i="3"/>
  <c r="AZ435" i="3"/>
  <c r="AZ416" i="3"/>
  <c r="AZ550" i="3"/>
  <c r="U31" i="21"/>
  <c r="AB31" i="21"/>
  <c r="S14" i="39"/>
  <c r="AA14" i="39"/>
  <c r="U45" i="39"/>
  <c r="AB45" i="39"/>
  <c r="D20" i="53"/>
  <c r="B40" i="72" s="1"/>
  <c r="AZ279" i="3"/>
  <c r="AZ101" i="3"/>
  <c r="C44" i="71"/>
  <c r="D43" i="71"/>
  <c r="N65" i="71"/>
  <c r="N66" i="71"/>
  <c r="AZ19" i="3"/>
  <c r="AZ21" i="3"/>
  <c r="AZ441" i="3"/>
  <c r="AZ399" i="3"/>
  <c r="AB9" i="33"/>
  <c r="U9" i="33"/>
  <c r="S31" i="21"/>
  <c r="AA31" i="21"/>
  <c r="S36" i="35"/>
  <c r="AA36" i="35"/>
  <c r="E28" i="6"/>
  <c r="K14" i="1" s="1"/>
  <c r="AZ234" i="3"/>
  <c r="AZ75" i="3"/>
  <c r="AZ31" i="3"/>
  <c r="AZ169" i="3"/>
  <c r="AZ41" i="3"/>
  <c r="AZ241" i="3"/>
  <c r="AZ118" i="3"/>
  <c r="AZ249" i="3"/>
  <c r="AZ201" i="3"/>
  <c r="AZ137" i="3"/>
  <c r="AZ243" i="3"/>
  <c r="AZ427" i="3"/>
  <c r="U39" i="40"/>
  <c r="AB39" i="40"/>
  <c r="AZ405" i="3"/>
  <c r="AZ398" i="3"/>
  <c r="AC31" i="21"/>
  <c r="W31" i="21"/>
  <c r="AZ25" i="3"/>
  <c r="U12" i="35"/>
  <c r="AB12" i="35"/>
  <c r="E59" i="40"/>
  <c r="AZ80" i="3"/>
  <c r="AZ206" i="3"/>
  <c r="AZ492" i="3"/>
  <c r="AZ333" i="3"/>
  <c r="O65" i="71"/>
  <c r="O66" i="71"/>
  <c r="D66" i="71"/>
  <c r="AZ166" i="3"/>
  <c r="AZ62" i="3"/>
  <c r="AZ67" i="3"/>
  <c r="C70" i="71"/>
  <c r="D70" i="71" s="1"/>
  <c r="D71" i="71"/>
  <c r="AZ263" i="3"/>
  <c r="AZ238" i="3"/>
  <c r="AZ235" i="3"/>
  <c r="AZ480" i="3"/>
  <c r="AZ408" i="3"/>
  <c r="AZ250" i="3"/>
  <c r="AZ404" i="3"/>
  <c r="AZ218" i="3"/>
  <c r="AZ437" i="3"/>
  <c r="AZ413" i="3"/>
  <c r="AC23" i="36"/>
  <c r="W23" i="36"/>
  <c r="S38" i="37"/>
  <c r="AA38" i="37"/>
  <c r="AB44" i="33"/>
  <c r="U44" i="33"/>
  <c r="AZ102" i="3"/>
  <c r="AZ86" i="3"/>
  <c r="AZ27" i="3"/>
  <c r="AZ178" i="3"/>
  <c r="T60" i="71"/>
  <c r="D60" i="71"/>
  <c r="D28" i="71"/>
  <c r="U28" i="71" s="1"/>
  <c r="T28" i="71"/>
  <c r="C27" i="71"/>
  <c r="AZ229" i="3"/>
  <c r="AZ386" i="3"/>
  <c r="AZ298" i="3"/>
  <c r="AZ157" i="3"/>
  <c r="AZ197" i="3"/>
  <c r="AZ291" i="3"/>
  <c r="AZ403" i="3"/>
  <c r="AB23" i="36"/>
  <c r="U23" i="36"/>
  <c r="AB12" i="36"/>
  <c r="U12" i="36"/>
  <c r="AB38" i="37"/>
  <c r="U38" i="37"/>
  <c r="AB36" i="35"/>
  <c r="U36" i="35"/>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J24" i="1" s="1"/>
  <c r="E51" i="40"/>
  <c r="E16" i="6"/>
  <c r="E58" i="40"/>
  <c r="E62" i="39"/>
  <c r="D5" i="43"/>
  <c r="C7" i="43"/>
  <c r="C5" i="43" s="1"/>
  <c r="D10" i="52"/>
  <c r="D125" i="9"/>
  <c r="D11" i="52" s="1"/>
  <c r="B7" i="74"/>
  <c r="C7" i="74" s="1"/>
  <c r="F67" i="39"/>
  <c r="F59" i="67"/>
  <c r="H7" i="37"/>
  <c r="AB7" i="37" s="1"/>
  <c r="T42" i="37" s="1"/>
  <c r="G42" i="37" s="1"/>
  <c r="H7" i="33"/>
  <c r="J7" i="33"/>
  <c r="D65" i="40"/>
  <c r="E63" i="40"/>
  <c r="F48" i="35"/>
  <c r="AA7" i="36"/>
  <c r="R36" i="36" s="1"/>
  <c r="AC7" i="37"/>
  <c r="W7" i="37"/>
  <c r="F7" i="33"/>
  <c r="E58" i="21"/>
  <c r="F7" i="37"/>
  <c r="M17" i="67"/>
  <c r="P28" i="43"/>
  <c r="B66" i="40" s="1"/>
  <c r="P25" i="43"/>
  <c r="P29" i="43"/>
  <c r="P27" i="43"/>
  <c r="B70" i="39" s="1"/>
  <c r="M11" i="67"/>
  <c r="J10" i="67" s="1"/>
  <c r="F11" i="15"/>
  <c r="M11" i="15"/>
  <c r="J10" i="15" s="1"/>
  <c r="F11" i="67"/>
  <c r="AE11" i="1"/>
  <c r="AE9" i="1"/>
  <c r="AE12" i="1"/>
  <c r="AE10" i="1"/>
  <c r="F9" i="15"/>
  <c r="F6" i="83"/>
  <c r="M26" i="83"/>
  <c r="C76" i="83"/>
  <c r="F40" i="83"/>
  <c r="M6" i="15"/>
  <c r="F26" i="82"/>
  <c r="F9" i="82"/>
  <c r="F38" i="82"/>
  <c r="F40" i="82"/>
  <c r="F41" i="67"/>
  <c r="L48" i="15"/>
  <c r="M8" i="83"/>
  <c r="F43" i="83"/>
  <c r="L47" i="83"/>
  <c r="M28" i="83"/>
  <c r="F43" i="15"/>
  <c r="F6" i="82"/>
  <c r="M26" i="82"/>
  <c r="F43" i="82"/>
  <c r="F8" i="82"/>
  <c r="F8" i="15"/>
  <c r="M22" i="15"/>
  <c r="F37" i="83"/>
  <c r="M29" i="83"/>
  <c r="M6" i="83"/>
  <c r="M9" i="15"/>
  <c r="M9" i="82"/>
  <c r="M6" i="82"/>
  <c r="F36" i="82"/>
  <c r="M24" i="15"/>
  <c r="F13" i="15"/>
  <c r="F40" i="15"/>
  <c r="C76" i="15"/>
  <c r="F16" i="82"/>
  <c r="M22" i="82"/>
  <c r="M23" i="15"/>
  <c r="L47" i="15"/>
  <c r="M26" i="15"/>
  <c r="F16" i="83"/>
  <c r="F38" i="83"/>
  <c r="J15" i="83"/>
  <c r="M8" i="15"/>
  <c r="M23" i="82"/>
  <c r="L48" i="82"/>
  <c r="C76" i="82"/>
  <c r="M29" i="15"/>
  <c r="G1" i="73"/>
  <c r="F13" i="83"/>
  <c r="F36" i="83"/>
  <c r="M24" i="83"/>
  <c r="L48" i="83"/>
  <c r="L47" i="82"/>
  <c r="M29" i="82"/>
  <c r="M8" i="82"/>
  <c r="F26" i="83"/>
  <c r="F42" i="83"/>
  <c r="F7" i="83"/>
  <c r="F9" i="83"/>
  <c r="F37" i="82"/>
  <c r="J15" i="82"/>
  <c r="F13" i="82"/>
  <c r="C16" i="67"/>
  <c r="M9" i="83"/>
  <c r="M23" i="83"/>
  <c r="M22" i="83"/>
  <c r="F8" i="83"/>
  <c r="F7" i="15"/>
  <c r="F42" i="82"/>
  <c r="M28" i="82"/>
  <c r="F7" i="82"/>
  <c r="M24" i="82"/>
  <c r="C16" i="15"/>
  <c r="M7" i="82" l="1"/>
  <c r="J6" i="82" s="1"/>
  <c r="F50" i="82"/>
  <c r="F50" i="15"/>
  <c r="M7" i="15"/>
  <c r="J6" i="15" s="1"/>
  <c r="J18" i="15" s="1"/>
  <c r="F51" i="83"/>
  <c r="F65" i="82"/>
  <c r="C12" i="83"/>
  <c r="F50" i="83"/>
  <c r="M7" i="83"/>
  <c r="J6" i="83" s="1"/>
  <c r="C27" i="83"/>
  <c r="L58" i="82"/>
  <c r="N59" i="82"/>
  <c r="I54" i="83"/>
  <c r="J57" i="83"/>
  <c r="J55" i="83" s="1"/>
  <c r="J58" i="83" s="1"/>
  <c r="Q50" i="83" s="1"/>
  <c r="F64" i="83"/>
  <c r="Q71" i="82"/>
  <c r="I54" i="82"/>
  <c r="J57" i="82"/>
  <c r="J55" i="82" s="1"/>
  <c r="J58" i="82" s="1"/>
  <c r="Q50" i="82" s="1"/>
  <c r="F66" i="83"/>
  <c r="L58" i="15"/>
  <c r="Q60" i="15" s="1"/>
  <c r="N59" i="15"/>
  <c r="Q71" i="15"/>
  <c r="F68" i="15"/>
  <c r="F64" i="82"/>
  <c r="F65" i="83"/>
  <c r="F51" i="15"/>
  <c r="C49" i="15" s="1"/>
  <c r="C6" i="15"/>
  <c r="C32" i="15" s="1"/>
  <c r="F51" i="82"/>
  <c r="F71" i="82"/>
  <c r="C6" i="82"/>
  <c r="C10" i="82" s="1"/>
  <c r="C5" i="82" s="1"/>
  <c r="F71" i="15"/>
  <c r="L58" i="83"/>
  <c r="N59" i="83"/>
  <c r="F71" i="83"/>
  <c r="I54" i="15"/>
  <c r="J57" i="15"/>
  <c r="J55" i="15" s="1"/>
  <c r="J58" i="15" s="1"/>
  <c r="Q50" i="15" s="1"/>
  <c r="F68" i="82"/>
  <c r="F66" i="82"/>
  <c r="C27" i="82"/>
  <c r="F68" i="83"/>
  <c r="Q71" i="83"/>
  <c r="C6" i="83"/>
  <c r="G42" i="86"/>
  <c r="I42" i="86" s="1"/>
  <c r="E42" i="86"/>
  <c r="G37" i="86"/>
  <c r="I37" i="86" s="1"/>
  <c r="E37" i="86"/>
  <c r="W7" i="36"/>
  <c r="G41" i="86"/>
  <c r="I41" i="86" s="1"/>
  <c r="E41" i="86"/>
  <c r="G38" i="86"/>
  <c r="I38" i="86" s="1"/>
  <c r="E38" i="86"/>
  <c r="L24" i="1"/>
  <c r="J26" i="1"/>
  <c r="L26" i="1" s="1"/>
  <c r="J23" i="1"/>
  <c r="G40" i="86"/>
  <c r="I40" i="86" s="1"/>
  <c r="E40" i="86"/>
  <c r="AZ5" i="3"/>
  <c r="U3" i="43"/>
  <c r="V22" i="1"/>
  <c r="Y21" i="1"/>
  <c r="Q16" i="1"/>
  <c r="F27" i="69" s="1"/>
  <c r="C47" i="69" s="1"/>
  <c r="D45" i="69" s="1"/>
  <c r="K16" i="1"/>
  <c r="E30" i="6"/>
  <c r="J27" i="1"/>
  <c r="L27" i="1" s="1"/>
  <c r="L25" i="1"/>
  <c r="L23" i="1" s="1"/>
  <c r="K23" i="1" s="1"/>
  <c r="J5" i="82"/>
  <c r="J24" i="82" s="1"/>
  <c r="AC39" i="39"/>
  <c r="W39" i="39"/>
  <c r="P65" i="71"/>
  <c r="P66" i="71"/>
  <c r="H16" i="1"/>
  <c r="J5" i="83"/>
  <c r="J24" i="83" s="1"/>
  <c r="G39" i="86"/>
  <c r="I39" i="86" s="1"/>
  <c r="E39" i="86"/>
  <c r="E33" i="86"/>
  <c r="C34" i="86"/>
  <c r="E34" i="86" s="1"/>
  <c r="K26" i="6"/>
  <c r="M26" i="6" s="1"/>
  <c r="I26" i="6" s="1"/>
  <c r="S26" i="6" s="1"/>
  <c r="G16" i="1"/>
  <c r="F10" i="39" s="1"/>
  <c r="S10" i="39" s="1"/>
  <c r="C53" i="83"/>
  <c r="C10" i="83"/>
  <c r="C53" i="82"/>
  <c r="J5" i="67"/>
  <c r="J24" i="67" s="1"/>
  <c r="F27" i="11"/>
  <c r="C49" i="67"/>
  <c r="Q52" i="67"/>
  <c r="Q60" i="67"/>
  <c r="Q74" i="67"/>
  <c r="J10" i="39"/>
  <c r="W10" i="39" s="1"/>
  <c r="P6" i="1"/>
  <c r="C13" i="12" s="1"/>
  <c r="F27" i="68"/>
  <c r="C47" i="68" s="1"/>
  <c r="D45" i="68" s="1"/>
  <c r="J10" i="40"/>
  <c r="AC10" i="40" s="1"/>
  <c r="H10" i="40"/>
  <c r="AB10" i="40" s="1"/>
  <c r="AA10" i="39"/>
  <c r="F10" i="40"/>
  <c r="S10" i="40" s="1"/>
  <c r="H10" i="39"/>
  <c r="U10" i="39" s="1"/>
  <c r="E263" i="3"/>
  <c r="E570" i="3"/>
  <c r="E142" i="3"/>
  <c r="E560" i="3"/>
  <c r="E368" i="3"/>
  <c r="E331" i="3"/>
  <c r="E382" i="3"/>
  <c r="E334" i="3"/>
  <c r="E523" i="3"/>
  <c r="E397" i="3"/>
  <c r="E209" i="3"/>
  <c r="E427" i="3"/>
  <c r="E131" i="3"/>
  <c r="E311" i="3"/>
  <c r="E91" i="3"/>
  <c r="E567" i="3"/>
  <c r="E358" i="3"/>
  <c r="E254" i="3"/>
  <c r="E122" i="3"/>
  <c r="E493" i="3"/>
  <c r="E242" i="3"/>
  <c r="E201" i="3"/>
  <c r="E70" i="3"/>
  <c r="E362" i="3"/>
  <c r="E277" i="3"/>
  <c r="E180" i="3"/>
  <c r="E143" i="3"/>
  <c r="E162" i="3"/>
  <c r="E31" i="3"/>
  <c r="E193" i="3"/>
  <c r="E290" i="3"/>
  <c r="E151" i="3"/>
  <c r="E166" i="3"/>
  <c r="E32" i="3"/>
  <c r="E330" i="3"/>
  <c r="E221" i="3"/>
  <c r="E97" i="3"/>
  <c r="E126" i="3"/>
  <c r="E208" i="3"/>
  <c r="E82" i="3"/>
  <c r="E373" i="3"/>
  <c r="E520" i="3"/>
  <c r="E552" i="3"/>
  <c r="E339" i="3"/>
  <c r="E178" i="3"/>
  <c r="E188" i="3"/>
  <c r="E197" i="3"/>
  <c r="E249" i="3"/>
  <c r="E135" i="3"/>
  <c r="E74" i="3"/>
  <c r="E270" i="3"/>
  <c r="E519" i="3"/>
  <c r="E295" i="3"/>
  <c r="Q6" i="3"/>
  <c r="E390" i="3"/>
  <c r="E93" i="3"/>
  <c r="E138" i="3"/>
  <c r="E346" i="3"/>
  <c r="E456" i="3"/>
  <c r="E240" i="3"/>
  <c r="E161" i="3"/>
  <c r="E119" i="3"/>
  <c r="E563" i="3"/>
  <c r="E509" i="3"/>
  <c r="E557" i="3"/>
  <c r="E146" i="3"/>
  <c r="E181" i="3"/>
  <c r="E528" i="3"/>
  <c r="E388" i="3"/>
  <c r="AS6" i="3"/>
  <c r="E150" i="3"/>
  <c r="E314" i="3"/>
  <c r="E395" i="3"/>
  <c r="E516" i="3"/>
  <c r="E444" i="3"/>
  <c r="E256" i="3"/>
  <c r="E128" i="3"/>
  <c r="E565" i="3"/>
  <c r="O6" i="3"/>
  <c r="E403" i="3"/>
  <c r="E475" i="3"/>
  <c r="E504" i="3"/>
  <c r="E341" i="3"/>
  <c r="E421" i="3"/>
  <c r="E524" i="3"/>
  <c r="E299" i="3"/>
  <c r="E40" i="3"/>
  <c r="E83" i="3"/>
  <c r="AF6" i="3"/>
  <c r="E199" i="3"/>
  <c r="E510" i="3"/>
  <c r="E517" i="3"/>
  <c r="E544" i="3"/>
  <c r="E300" i="3"/>
  <c r="E381" i="3"/>
  <c r="E391" i="3"/>
  <c r="E206" i="3"/>
  <c r="E525" i="3"/>
  <c r="E452" i="3"/>
  <c r="E78"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76" i="3"/>
  <c r="E42" i="3"/>
  <c r="E534" i="3"/>
  <c r="E324" i="3"/>
  <c r="E543" i="3"/>
  <c r="E108" i="3"/>
  <c r="E392" i="3"/>
  <c r="E365" i="3"/>
  <c r="E24" i="3"/>
  <c r="E48" i="3"/>
  <c r="E374" i="3"/>
  <c r="AD6" i="3"/>
  <c r="E136" i="3"/>
  <c r="E168" i="3"/>
  <c r="E212" i="3"/>
  <c r="E435" i="3"/>
  <c r="E371" i="3"/>
  <c r="E81" i="3"/>
  <c r="E251" i="3"/>
  <c r="E470" i="3"/>
  <c r="E16" i="3"/>
  <c r="AH6" i="3"/>
  <c r="L6" i="3"/>
  <c r="E38" i="3"/>
  <c r="E340" i="3"/>
  <c r="E460" i="3"/>
  <c r="E500" i="3"/>
  <c r="E297" i="3"/>
  <c r="E187" i="3"/>
  <c r="E474" i="3"/>
  <c r="E207" i="3"/>
  <c r="R6" i="3"/>
  <c r="E56" i="3"/>
  <c r="E425" i="3"/>
  <c r="E23" i="3"/>
  <c r="E283" i="3"/>
  <c r="E96" i="3"/>
  <c r="E113" i="3"/>
  <c r="E469" i="3"/>
  <c r="E104" i="3"/>
  <c r="E35"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85" i="3"/>
  <c r="E410" i="3"/>
  <c r="E361" i="3"/>
  <c r="AK6" i="3"/>
  <c r="E465" i="3"/>
  <c r="E327" i="3"/>
  <c r="E489" i="3"/>
  <c r="E431" i="3"/>
  <c r="E387" i="3"/>
  <c r="E385" i="3"/>
  <c r="E369" i="3"/>
  <c r="E466" i="3"/>
  <c r="E152" i="3"/>
  <c r="E467" i="3"/>
  <c r="E33" i="3"/>
  <c r="E513" i="3"/>
  <c r="E129" i="3"/>
  <c r="E287" i="3"/>
  <c r="E512" i="3"/>
  <c r="E225" i="3"/>
  <c r="E232"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447" i="3"/>
  <c r="E441" i="3"/>
  <c r="E439" i="3"/>
  <c r="E495" i="3"/>
  <c r="E214" i="3"/>
  <c r="E109" i="3"/>
  <c r="E445" i="3"/>
  <c r="E296" i="3"/>
  <c r="E139" i="3"/>
  <c r="E541" i="3"/>
  <c r="E192" i="3"/>
  <c r="E46" i="3"/>
  <c r="E144" i="3"/>
  <c r="E21" i="3"/>
  <c r="E174" i="3"/>
  <c r="E205" i="3"/>
  <c r="E451" i="3"/>
  <c r="E243" i="3"/>
  <c r="E370"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8" i="3"/>
  <c r="E378" i="3"/>
  <c r="E255" i="3"/>
  <c r="E292" i="3"/>
  <c r="E103" i="3"/>
  <c r="E184" i="3"/>
  <c r="E281" i="3"/>
  <c r="E383" i="3"/>
  <c r="E140" i="3"/>
  <c r="E360" i="3"/>
  <c r="E326" i="3"/>
  <c r="E393" i="3"/>
  <c r="E483" i="3"/>
  <c r="E133" i="3"/>
  <c r="E186" i="3"/>
  <c r="E61" i="3"/>
  <c r="I6" i="3"/>
  <c r="E272" i="3"/>
  <c r="E39" i="3"/>
  <c r="E398" i="3"/>
  <c r="AQ6" i="3"/>
  <c r="E492" i="3"/>
  <c r="E148" i="3"/>
  <c r="E278" i="3"/>
  <c r="AJ6" i="3"/>
  <c r="E345" i="3"/>
  <c r="E106" i="3"/>
  <c r="E568" i="3"/>
  <c r="E261" i="3"/>
  <c r="E508" i="3"/>
  <c r="E505" i="3"/>
  <c r="E111" i="3"/>
  <c r="E85" i="3"/>
  <c r="E415" i="3"/>
  <c r="E239" i="3"/>
  <c r="E581" i="3"/>
  <c r="E203" i="3"/>
  <c r="E434" i="3"/>
  <c r="E304" i="3"/>
  <c r="E328" i="3"/>
  <c r="E547" i="3"/>
  <c r="E471" i="3"/>
  <c r="E167" i="3"/>
  <c r="E375" i="3"/>
  <c r="E312" i="3"/>
  <c r="E218" i="3"/>
  <c r="E170" i="3"/>
  <c r="E463" i="3"/>
  <c r="E342" i="3"/>
  <c r="E522" i="3"/>
  <c r="E363" i="3"/>
  <c r="E458" i="3"/>
  <c r="E481" i="3"/>
  <c r="E66" i="3"/>
  <c r="E182" i="3"/>
  <c r="E189" i="3"/>
  <c r="E347" i="3"/>
  <c r="E433" i="3"/>
  <c r="E130" i="3"/>
  <c r="E282" i="3"/>
  <c r="E443" i="3"/>
  <c r="E55" i="3"/>
  <c r="E156" i="3"/>
  <c r="E169" i="3"/>
  <c r="E153" i="3"/>
  <c r="E432" i="3"/>
  <c r="E438" i="3"/>
  <c r="E154" i="3"/>
  <c r="E582" i="3"/>
  <c r="E250" i="3"/>
  <c r="E176" i="3"/>
  <c r="E455" i="3"/>
  <c r="J6" i="3"/>
  <c r="E412" i="3"/>
  <c r="E75" i="3"/>
  <c r="E479" i="3"/>
  <c r="E526" i="3"/>
  <c r="E577" i="3"/>
  <c r="E399" i="3"/>
  <c r="E231" i="3"/>
  <c r="E530" i="3"/>
  <c r="E478" i="3"/>
  <c r="E450" i="3"/>
  <c r="E583" i="3"/>
  <c r="E230" i="3"/>
  <c r="E553" i="3"/>
  <c r="P6" i="3"/>
  <c r="E496" i="3"/>
  <c r="AA6" i="3"/>
  <c r="E298" i="3"/>
  <c r="E501" i="3"/>
  <c r="E548" i="3"/>
  <c r="E532" i="3"/>
  <c r="E459" i="3"/>
  <c r="E464" i="3"/>
  <c r="E65" i="3"/>
  <c r="E364" i="3"/>
  <c r="E15" i="3"/>
  <c r="E490" i="3"/>
  <c r="E356" i="3"/>
  <c r="E332" i="3"/>
  <c r="I3" i="6"/>
  <c r="E273" i="3"/>
  <c r="E301" i="3"/>
  <c r="AR6" i="3"/>
  <c r="E269" i="3"/>
  <c r="E551" i="3"/>
  <c r="E252" i="3"/>
  <c r="E303" i="3"/>
  <c r="E317" i="3"/>
  <c r="E352" i="3"/>
  <c r="E90" i="3"/>
  <c r="E123" i="3"/>
  <c r="E333" i="3"/>
  <c r="E13" i="3"/>
  <c r="E355" i="3"/>
  <c r="E487" i="3"/>
  <c r="E100" i="3"/>
  <c r="E268" i="3"/>
  <c r="E485" i="3"/>
  <c r="E468" i="3"/>
  <c r="E216" i="3"/>
  <c r="E343" i="3"/>
  <c r="E414" i="3"/>
  <c r="E253" i="3"/>
  <c r="X6" i="3"/>
  <c r="E215" i="3"/>
  <c r="AO6" i="3"/>
  <c r="E423" i="3"/>
  <c r="M6" i="3"/>
  <c r="E377" i="3"/>
  <c r="E89" i="3"/>
  <c r="E472" i="3"/>
  <c r="E350" i="3"/>
  <c r="E561" i="3"/>
  <c r="E384" i="3"/>
  <c r="E271" i="3"/>
  <c r="E527" i="3"/>
  <c r="E578" i="3"/>
  <c r="V6" i="3"/>
  <c r="E30" i="3"/>
  <c r="E164" i="3"/>
  <c r="E424" i="3"/>
  <c r="E402" i="3"/>
  <c r="E506" i="3"/>
  <c r="AM6" i="3"/>
  <c r="E145" i="3"/>
  <c r="E313" i="3"/>
  <c r="Y6" i="3"/>
  <c r="E284" i="3"/>
  <c r="E521" i="3"/>
  <c r="E147" i="3"/>
  <c r="E60" i="3"/>
  <c r="E440" i="3"/>
  <c r="E26" i="3"/>
  <c r="E264" i="3"/>
  <c r="E499" i="3"/>
  <c r="M14" i="1"/>
  <c r="M16" i="1" s="1"/>
  <c r="Q73" i="15"/>
  <c r="F59" i="15"/>
  <c r="AB7" i="36"/>
  <c r="T36" i="36" s="1"/>
  <c r="G36" i="36" s="1"/>
  <c r="M17" i="15"/>
  <c r="J5" i="15"/>
  <c r="J24" i="15" s="1"/>
  <c r="AY6" i="3"/>
  <c r="AY34" i="3" s="1"/>
  <c r="E3" i="6"/>
  <c r="E49" i="3"/>
  <c r="E428" i="3"/>
  <c r="E420" i="3"/>
  <c r="E408" i="3"/>
  <c r="E173" i="3"/>
  <c r="E102" i="3"/>
  <c r="E235" i="3"/>
  <c r="AL6" i="3"/>
  <c r="E309" i="3"/>
  <c r="E233" i="3"/>
  <c r="E310" i="3"/>
  <c r="E64" i="3"/>
  <c r="E389" i="3"/>
  <c r="E95" i="3"/>
  <c r="E554" i="3"/>
  <c r="E442" i="3"/>
  <c r="E536" i="3"/>
  <c r="E349" i="3"/>
  <c r="E37" i="3"/>
  <c r="AP6" i="3"/>
  <c r="E502" i="3"/>
  <c r="E539" i="3"/>
  <c r="D36" i="71"/>
  <c r="T36" i="71"/>
  <c r="C26" i="71"/>
  <c r="D26" i="71" s="1"/>
  <c r="D27" i="71"/>
  <c r="E158" i="3"/>
  <c r="E220" i="3"/>
  <c r="E115" i="3"/>
  <c r="E497" i="3"/>
  <c r="E405" i="3"/>
  <c r="E22" i="3"/>
  <c r="E34" i="3"/>
  <c r="E18" i="3"/>
  <c r="E198" i="3"/>
  <c r="E63" i="3"/>
  <c r="E67" i="3"/>
  <c r="E267" i="3"/>
  <c r="E409" i="3"/>
  <c r="E241" i="3"/>
  <c r="E417" i="3"/>
  <c r="E449" i="3"/>
  <c r="E575" i="3"/>
  <c r="D44" i="71"/>
  <c r="T44" i="71"/>
  <c r="E80" i="3"/>
  <c r="E190" i="3"/>
  <c r="E41" i="3"/>
  <c r="E556" i="3"/>
  <c r="T6" i="3"/>
  <c r="E308" i="3"/>
  <c r="E86" i="3"/>
  <c r="E482" i="3"/>
  <c r="E494" i="3"/>
  <c r="E68" i="3"/>
  <c r="E84" i="3"/>
  <c r="E160" i="3"/>
  <c r="E59" i="3"/>
  <c r="E258" i="3"/>
  <c r="E491" i="3"/>
  <c r="E430" i="3"/>
  <c r="E286" i="3"/>
  <c r="T32" i="71"/>
  <c r="D3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V2" i="43" s="1"/>
  <c r="T6" i="43"/>
  <c r="V6" i="43" s="1"/>
  <c r="T5" i="43"/>
  <c r="C33" i="43"/>
  <c r="C40" i="43"/>
  <c r="C37" i="43"/>
  <c r="C41" i="43"/>
  <c r="K21" i="6"/>
  <c r="S8" i="1" s="1"/>
  <c r="E8" i="70" s="1"/>
  <c r="K25" i="6"/>
  <c r="K20" i="6"/>
  <c r="K23" i="6"/>
  <c r="K22" i="6"/>
  <c r="E31" i="6"/>
  <c r="K24" i="6"/>
  <c r="K19" i="6"/>
  <c r="S6" i="1" s="1"/>
  <c r="AY318" i="3"/>
  <c r="AY45" i="3"/>
  <c r="AY166" i="3"/>
  <c r="AY171" i="3"/>
  <c r="AY157" i="3"/>
  <c r="AY49" i="3"/>
  <c r="AY368" i="3"/>
  <c r="AY101" i="3"/>
  <c r="AY509" i="3"/>
  <c r="AY38" i="3"/>
  <c r="AY205" i="3"/>
  <c r="AY216" i="3"/>
  <c r="AY113" i="3"/>
  <c r="AY315" i="3"/>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82"/>
  <c r="C16" i="83"/>
  <c r="M27" i="67"/>
  <c r="M27" i="15"/>
  <c r="C17" i="83"/>
  <c r="C16" i="82"/>
  <c r="M27" i="83"/>
  <c r="J26" i="83" l="1"/>
  <c r="F45" i="69"/>
  <c r="C29" i="69"/>
  <c r="D27" i="69" s="1"/>
  <c r="C49" i="82"/>
  <c r="C61" i="82" s="1"/>
  <c r="AY233" i="3"/>
  <c r="AY61" i="3"/>
  <c r="AY485" i="3"/>
  <c r="AY267" i="3"/>
  <c r="AY383" i="3"/>
  <c r="AY142" i="3"/>
  <c r="AY27" i="3"/>
  <c r="AY542" i="3"/>
  <c r="AY251" i="3"/>
  <c r="AY507" i="3"/>
  <c r="AY82" i="3"/>
  <c r="AY57" i="3"/>
  <c r="AY90" i="3"/>
  <c r="AY177" i="3"/>
  <c r="AY149" i="3"/>
  <c r="AY473" i="3"/>
  <c r="D37" i="11"/>
  <c r="B14" i="74"/>
  <c r="C30" i="86"/>
  <c r="B2" i="86" s="1"/>
  <c r="B3" i="86" s="1"/>
  <c r="U4" i="43"/>
  <c r="V4" i="43" s="1"/>
  <c r="Y22" i="1"/>
  <c r="V23" i="1"/>
  <c r="AY153" i="3"/>
  <c r="AY146" i="3"/>
  <c r="C33" i="83"/>
  <c r="C32" i="83"/>
  <c r="AY359" i="3"/>
  <c r="AY456" i="3"/>
  <c r="AY81" i="3"/>
  <c r="AY67" i="3"/>
  <c r="AY19" i="3"/>
  <c r="AY110" i="3"/>
  <c r="AY466" i="3"/>
  <c r="AY458" i="3"/>
  <c r="AY582" i="3"/>
  <c r="AY403" i="3"/>
  <c r="AY178" i="3"/>
  <c r="BQ6" i="3"/>
  <c r="AY381" i="3"/>
  <c r="AY77" i="3"/>
  <c r="AY382" i="3"/>
  <c r="F28" i="12"/>
  <c r="C49" i="83"/>
  <c r="C61" i="83" s="1"/>
  <c r="AY32" i="3"/>
  <c r="AY198" i="3"/>
  <c r="BM6" i="3"/>
  <c r="BT6" i="3"/>
  <c r="AY413" i="3"/>
  <c r="AY550" i="3"/>
  <c r="AY20" i="3"/>
  <c r="AY351" i="3"/>
  <c r="AY515" i="3"/>
  <c r="AY272" i="3"/>
  <c r="AY17" i="3"/>
  <c r="AY338" i="3"/>
  <c r="AY469" i="3"/>
  <c r="AY453" i="3"/>
  <c r="AY449" i="3"/>
  <c r="AY52" i="3"/>
  <c r="AY435" i="3"/>
  <c r="AY447" i="3"/>
  <c r="AY581" i="3"/>
  <c r="AY397" i="3"/>
  <c r="AY420" i="3"/>
  <c r="AY225" i="3"/>
  <c r="AY519" i="3"/>
  <c r="AY522" i="3"/>
  <c r="AY323" i="3"/>
  <c r="AY480" i="3"/>
  <c r="AY422" i="3"/>
  <c r="AY332" i="3"/>
  <c r="AY392" i="3"/>
  <c r="AY452" i="3"/>
  <c r="AY115" i="3"/>
  <c r="J26" i="82"/>
  <c r="Q73" i="83"/>
  <c r="Q60" i="83"/>
  <c r="Q73" i="82"/>
  <c r="Q60" i="82"/>
  <c r="C5" i="83"/>
  <c r="C38" i="83" s="1"/>
  <c r="AY565" i="3"/>
  <c r="AY197" i="3"/>
  <c r="AY386" i="3"/>
  <c r="AY288" i="3"/>
  <c r="AY399" i="3"/>
  <c r="AY135" i="3"/>
  <c r="AY468" i="3"/>
  <c r="AY379" i="3"/>
  <c r="AY481" i="3"/>
  <c r="AY240" i="3"/>
  <c r="AY538" i="3"/>
  <c r="AY136" i="3"/>
  <c r="AY431" i="3"/>
  <c r="AY354" i="3"/>
  <c r="AY167" i="3"/>
  <c r="AY234" i="3"/>
  <c r="AY483" i="3"/>
  <c r="AY212" i="3"/>
  <c r="AY186" i="3"/>
  <c r="AY311" i="3"/>
  <c r="AY348" i="3"/>
  <c r="AY118" i="3"/>
  <c r="AY358" i="3"/>
  <c r="AY124" i="3"/>
  <c r="J28" i="1"/>
  <c r="L28" i="1" s="1"/>
  <c r="L22" i="1" s="1"/>
  <c r="J22" i="1"/>
  <c r="J31" i="1"/>
  <c r="AY71" i="3"/>
  <c r="AY479" i="3"/>
  <c r="AY528" i="3"/>
  <c r="AY321" i="3"/>
  <c r="AY184" i="3"/>
  <c r="AY156" i="3"/>
  <c r="AY266" i="3"/>
  <c r="BB6" i="3"/>
  <c r="AY229" i="3"/>
  <c r="AY40" i="3"/>
  <c r="AY163" i="3"/>
  <c r="AY317" i="3"/>
  <c r="AY133" i="3"/>
  <c r="AY470" i="3"/>
  <c r="V3" i="43"/>
  <c r="C31" i="86"/>
  <c r="C32" i="82"/>
  <c r="C33" i="82"/>
  <c r="J19" i="83"/>
  <c r="J18" i="83"/>
  <c r="J19" i="82"/>
  <c r="J18" i="82"/>
  <c r="F24" i="83"/>
  <c r="L36" i="86"/>
  <c r="C48" i="67"/>
  <c r="C66" i="67" s="1"/>
  <c r="L36" i="43"/>
  <c r="L37" i="43" s="1"/>
  <c r="N37" i="43" s="1"/>
  <c r="F24" i="82"/>
  <c r="C38" i="82"/>
  <c r="F45" i="68"/>
  <c r="U10" i="40"/>
  <c r="AB10" i="39"/>
  <c r="O14" i="1"/>
  <c r="O16" i="1" s="1"/>
  <c r="D3" i="37"/>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C14"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400"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72" i="3"/>
  <c r="AY204" i="3"/>
  <c r="AY236" i="3"/>
  <c r="AY66" i="3"/>
  <c r="M18" i="9"/>
  <c r="B118" i="9" s="1"/>
  <c r="B1" i="74" s="1"/>
  <c r="E6" i="6"/>
  <c r="D19" i="11"/>
  <c r="C19" i="11" s="1"/>
  <c r="C17" i="4"/>
  <c r="B4" i="52" s="1"/>
  <c r="B43" i="72" s="1"/>
  <c r="D3" i="33"/>
  <c r="D3" i="21"/>
  <c r="AY54" i="3"/>
  <c r="AY172" i="3"/>
  <c r="AY476" i="3"/>
  <c r="AY15" i="3"/>
  <c r="AY576" i="3"/>
  <c r="AY47" i="3"/>
  <c r="AY336" i="3"/>
  <c r="BD6" i="3"/>
  <c r="AY241" i="3"/>
  <c r="BL6" i="3"/>
  <c r="AY378" i="3"/>
  <c r="AY63" i="3"/>
  <c r="AY506" i="3"/>
  <c r="AY344" i="3"/>
  <c r="AY158" i="3"/>
  <c r="AY520" i="3"/>
  <c r="AY258" i="3"/>
  <c r="AY255" i="3"/>
  <c r="AY540" i="3"/>
  <c r="AY489" i="3"/>
  <c r="AY532" i="3"/>
  <c r="AY325" i="3"/>
  <c r="AY211" i="3"/>
  <c r="AY85" i="3"/>
  <c r="AY526" i="3"/>
  <c r="AY510" i="3"/>
  <c r="AY446" i="3"/>
  <c r="AY210" i="3"/>
  <c r="AY104" i="3"/>
  <c r="AY231" i="3"/>
  <c r="AY201" i="3"/>
  <c r="AY541" i="3"/>
  <c r="AY395" i="3"/>
  <c r="AY261" i="3"/>
  <c r="AY111" i="3"/>
  <c r="AY51" i="3"/>
  <c r="AY273" i="3"/>
  <c r="AY512" i="3"/>
  <c r="AY221" i="3"/>
  <c r="AY94" i="3"/>
  <c r="AY579" i="3"/>
  <c r="AY313" i="3"/>
  <c r="AY189" i="3"/>
  <c r="AY536" i="3"/>
  <c r="AY275" i="3"/>
  <c r="AY286" i="3"/>
  <c r="AY573" i="3"/>
  <c r="AY350" i="3"/>
  <c r="AY508" i="3"/>
  <c r="AY356" i="3"/>
  <c r="AY222" i="3"/>
  <c r="AY89" i="3"/>
  <c r="AY425" i="3"/>
  <c r="AY495" i="3"/>
  <c r="AY462" i="3"/>
  <c r="AY242" i="3"/>
  <c r="AY109" i="3"/>
  <c r="AY247" i="3"/>
  <c r="AY190" i="3"/>
  <c r="AY533" i="3"/>
  <c r="AY180" i="3"/>
  <c r="AY123" i="3"/>
  <c r="AY276" i="3"/>
  <c r="AY107" i="3"/>
  <c r="AY432" i="3"/>
  <c r="AY429" i="3"/>
  <c r="AY99" i="3"/>
  <c r="AY121" i="3"/>
  <c r="AY393" i="3"/>
  <c r="AY274" i="3"/>
  <c r="AY196" i="3"/>
  <c r="AY566" i="3"/>
  <c r="AY62" i="3"/>
  <c r="AY320" i="3"/>
  <c r="AY13" i="3"/>
  <c r="AY563" i="3"/>
  <c r="AY352" i="3"/>
  <c r="AY277" i="3"/>
  <c r="AY560" i="3"/>
  <c r="AY232" i="3"/>
  <c r="AY407" i="3"/>
  <c r="AY329" i="3"/>
  <c r="AY194" i="3"/>
  <c r="AY572" i="3"/>
  <c r="AY291" i="3"/>
  <c r="AY557" i="3"/>
  <c r="AY220" i="3"/>
  <c r="AY559" i="3"/>
  <c r="AY254" i="3"/>
  <c r="AY555" i="3"/>
  <c r="AY444" i="3"/>
  <c r="AY546" i="3"/>
  <c r="AY457" i="3"/>
  <c r="BJ6" i="3"/>
  <c r="AY263" i="3"/>
  <c r="AY206" i="3"/>
  <c r="AY569" i="3"/>
  <c r="AY26" i="3"/>
  <c r="AY28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433" i="3"/>
  <c r="AY106" i="3"/>
  <c r="AY50" i="3"/>
  <c r="AY95" i="3"/>
  <c r="D14" i="12"/>
  <c r="D17" i="12" s="1"/>
  <c r="C17" i="12" s="1"/>
  <c r="AC6" i="3"/>
  <c r="L18" i="9"/>
  <c r="H6" i="3"/>
  <c r="D3" i="34"/>
  <c r="C48" i="15"/>
  <c r="C66" i="15" s="1"/>
  <c r="F24" i="67"/>
  <c r="C24" i="67" s="1"/>
  <c r="F25" i="12"/>
  <c r="F22" i="69"/>
  <c r="F41" i="69" s="1"/>
  <c r="F24" i="15"/>
  <c r="C24" i="15" s="1"/>
  <c r="F22" i="68"/>
  <c r="F41" i="68" s="1"/>
  <c r="F22" i="11"/>
  <c r="D116" i="43"/>
  <c r="C17" i="71"/>
  <c r="D18" i="71"/>
  <c r="M21" i="6"/>
  <c r="I21" i="6" s="1"/>
  <c r="S21" i="6" s="1"/>
  <c r="E6" i="70"/>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C17" i="15"/>
  <c r="C17" i="82"/>
  <c r="C14" i="83"/>
  <c r="C14" i="67"/>
  <c r="C48" i="82" l="1"/>
  <c r="C15" i="83"/>
  <c r="C18" i="83"/>
  <c r="C34" i="43"/>
  <c r="E34" i="43" s="1"/>
  <c r="L31" i="1"/>
  <c r="K31" i="1" s="1"/>
  <c r="K22" i="1"/>
  <c r="E7" i="70"/>
  <c r="C48" i="83"/>
  <c r="Y23" i="1"/>
  <c r="Y25" i="1" s="1"/>
  <c r="W25" i="1" s="1"/>
  <c r="U5" i="43"/>
  <c r="V5" i="43" s="1"/>
  <c r="V25" i="1"/>
  <c r="C24" i="83"/>
  <c r="O36" i="86"/>
  <c r="N36" i="86"/>
  <c r="M36" i="86"/>
  <c r="L37" i="86"/>
  <c r="Q36" i="86"/>
  <c r="P36" i="86"/>
  <c r="C60" i="67"/>
  <c r="N36" i="43"/>
  <c r="P36" i="43"/>
  <c r="Q36" i="43"/>
  <c r="O36" i="43"/>
  <c r="M37" i="43"/>
  <c r="P37" i="43"/>
  <c r="O37" i="43"/>
  <c r="Q37" i="43"/>
  <c r="M36" i="43"/>
  <c r="C24" i="82"/>
  <c r="C24" i="11"/>
  <c r="C28" i="11"/>
  <c r="C27" i="11" s="1"/>
  <c r="B23" i="1"/>
  <c r="C26" i="11" s="1"/>
  <c r="D22" i="11" s="1"/>
  <c r="B24" i="1"/>
  <c r="C29" i="11"/>
  <c r="D27" i="11" s="1"/>
  <c r="C29" i="68"/>
  <c r="D27" i="68" s="1"/>
  <c r="C60" i="15"/>
  <c r="H24" i="6"/>
  <c r="H21" i="6"/>
  <c r="E6" i="3"/>
  <c r="H25" i="6"/>
  <c r="R25" i="6" s="1"/>
  <c r="R12" i="1" s="1"/>
  <c r="C44" i="11"/>
  <c r="D41" i="11" s="1"/>
  <c r="C44" i="68"/>
  <c r="D41" i="68" s="1"/>
  <c r="C44" i="69"/>
  <c r="D41" i="69" s="1"/>
  <c r="C26" i="69"/>
  <c r="D22" i="69" s="1"/>
  <c r="H22" i="6"/>
  <c r="R22" i="6" s="1"/>
  <c r="R9" i="1" s="1"/>
  <c r="C16" i="71"/>
  <c r="M23" i="43" s="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3"/>
  <c r="C14" i="15"/>
  <c r="C14" i="82"/>
  <c r="M21" i="83"/>
  <c r="M21" i="82"/>
  <c r="B6" i="76"/>
  <c r="F35" i="82"/>
  <c r="E6" i="76"/>
  <c r="C19" i="83" l="1"/>
  <c r="C20" i="83" s="1"/>
  <c r="C26" i="83" s="1"/>
  <c r="C66" i="82"/>
  <c r="C60" i="82"/>
  <c r="C15" i="82"/>
  <c r="C18" i="82"/>
  <c r="C23" i="83"/>
  <c r="C29" i="83" s="1"/>
  <c r="C66" i="83"/>
  <c r="C60" i="83"/>
  <c r="Q37" i="86"/>
  <c r="P37" i="86"/>
  <c r="O37" i="86"/>
  <c r="N37" i="86"/>
  <c r="M37" i="86"/>
  <c r="M59" i="83"/>
  <c r="L59" i="83" s="1"/>
  <c r="M59" i="82"/>
  <c r="L59" i="82" s="1"/>
  <c r="J53" i="82"/>
  <c r="J53" i="83"/>
  <c r="J53" i="15"/>
  <c r="C25" i="11"/>
  <c r="J59" i="83"/>
  <c r="J60" i="83" s="1"/>
  <c r="J20" i="83"/>
  <c r="J17" i="83" s="1"/>
  <c r="F63" i="83"/>
  <c r="C62" i="83" s="1"/>
  <c r="C34" i="83"/>
  <c r="C31" i="83" s="1"/>
  <c r="J20" i="82"/>
  <c r="J17" i="82" s="1"/>
  <c r="C34" i="82"/>
  <c r="C31" i="82" s="1"/>
  <c r="F63" i="82"/>
  <c r="C62" i="82" s="1"/>
  <c r="C59" i="82" s="1"/>
  <c r="C26" i="68"/>
  <c r="D22" i="68" s="1"/>
  <c r="C23" i="11"/>
  <c r="F34" i="68"/>
  <c r="M59" i="67"/>
  <c r="M59" i="15"/>
  <c r="L59" i="15" s="1"/>
  <c r="C29" i="12"/>
  <c r="D28" i="12" s="1"/>
  <c r="F50" i="68"/>
  <c r="C26" i="12"/>
  <c r="D25" i="12" s="1"/>
  <c r="C18" i="12"/>
  <c r="E2" i="70"/>
  <c r="C15" i="71"/>
  <c r="T16" i="71"/>
  <c r="D16"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2" l="1"/>
  <c r="J14" i="83"/>
  <c r="Q49" i="83"/>
  <c r="C57" i="83"/>
  <c r="C64" i="83" s="1"/>
  <c r="C13" i="83"/>
  <c r="C37" i="83" s="1"/>
  <c r="C36" i="83"/>
  <c r="U16" i="71"/>
  <c r="M23" i="86"/>
  <c r="C20" i="82"/>
  <c r="C59" i="83"/>
  <c r="C22" i="11"/>
  <c r="C31" i="11" s="1"/>
  <c r="L56" i="15"/>
  <c r="Q52" i="15"/>
  <c r="F1" i="15"/>
  <c r="L56" i="83"/>
  <c r="Q52" i="83"/>
  <c r="F1" i="83"/>
  <c r="L56" i="82"/>
  <c r="F1" i="82"/>
  <c r="Q52" i="82"/>
  <c r="Q61" i="82"/>
  <c r="Q74" i="82"/>
  <c r="Q74" i="83"/>
  <c r="Q61" i="83"/>
  <c r="Q61" i="15"/>
  <c r="Q74" i="15"/>
  <c r="J59" i="82"/>
  <c r="J60" i="82" s="1"/>
  <c r="Q48" i="82" s="1"/>
  <c r="Q48" i="83"/>
  <c r="C37" i="68"/>
  <c r="C36" i="68"/>
  <c r="C34" i="68"/>
  <c r="C21" i="12"/>
  <c r="C22" i="12" s="1"/>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7" i="1"/>
  <c r="AE8" i="1"/>
  <c r="AE6" i="1"/>
  <c r="C30" i="83" l="1"/>
  <c r="C39" i="83" s="1"/>
  <c r="Q69" i="83" s="1"/>
  <c r="C56" i="83"/>
  <c r="C65" i="83" s="1"/>
  <c r="C58" i="83" s="1"/>
  <c r="C67" i="83" s="1"/>
  <c r="Q70" i="83"/>
  <c r="C26" i="82"/>
  <c r="C75" i="83"/>
  <c r="C23" i="82"/>
  <c r="J13" i="83"/>
  <c r="J23" i="83" s="1"/>
  <c r="J22" i="83"/>
  <c r="L57" i="83"/>
  <c r="L60" i="83" s="1"/>
  <c r="L46" i="83" s="1"/>
  <c r="C38" i="68"/>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L51" i="83"/>
  <c r="F41" i="15"/>
  <c r="F35" i="15"/>
  <c r="F41" i="82"/>
  <c r="F41" i="83"/>
  <c r="M21" i="67"/>
  <c r="M21" i="15"/>
  <c r="F35" i="67"/>
  <c r="C80" i="83" l="1"/>
  <c r="C79" i="83" s="1"/>
  <c r="Q67" i="83"/>
  <c r="Q68" i="83"/>
  <c r="I39" i="83"/>
  <c r="J16" i="83"/>
  <c r="J25" i="83" s="1"/>
  <c r="C29" i="82"/>
  <c r="J14" i="82" s="1"/>
  <c r="F69" i="15"/>
  <c r="C40" i="83"/>
  <c r="C83" i="83" s="1"/>
  <c r="C82" i="83" s="1"/>
  <c r="F69" i="83"/>
  <c r="C68" i="83" s="1"/>
  <c r="C71" i="83" s="1"/>
  <c r="J29" i="83"/>
  <c r="J29" i="82"/>
  <c r="F69" i="82"/>
  <c r="Q57" i="83"/>
  <c r="Q66" i="83"/>
  <c r="L57" i="82"/>
  <c r="L60" i="82" s="1"/>
  <c r="L46" i="82" s="1"/>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7" i="82" l="1"/>
  <c r="C64" i="82" s="1"/>
  <c r="C36" i="82"/>
  <c r="Q49" i="82"/>
  <c r="C13" i="82"/>
  <c r="C75" i="82" s="1"/>
  <c r="J22" i="82"/>
  <c r="J13" i="82"/>
  <c r="J23" i="82" s="1"/>
  <c r="B2" i="83"/>
  <c r="E8" i="12" s="1"/>
  <c r="C43" i="83"/>
  <c r="C46" i="83"/>
  <c r="Q65" i="83"/>
  <c r="Q75" i="83" s="1"/>
  <c r="Q56" i="83"/>
  <c r="Q62" i="83" s="1"/>
  <c r="Q47" i="83"/>
  <c r="Q53" i="83" s="1"/>
  <c r="Q57" i="82"/>
  <c r="Q66" i="82"/>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70" i="82" l="1"/>
  <c r="J16" i="82"/>
  <c r="J25" i="82" s="1"/>
  <c r="C56" i="82"/>
  <c r="C65" i="82" s="1"/>
  <c r="C58" i="82" s="1"/>
  <c r="C67" i="82" s="1"/>
  <c r="C68" i="82" s="1"/>
  <c r="C71" i="82" s="1"/>
  <c r="C37" i="82"/>
  <c r="C30" i="82" s="1"/>
  <c r="C39" i="82" s="1"/>
  <c r="C80" i="82" s="1"/>
  <c r="C79" i="82" s="1"/>
  <c r="B3" i="83"/>
  <c r="E6" i="12" s="1"/>
  <c r="C46" i="68"/>
  <c r="C45" i="68" s="1"/>
  <c r="C41"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82"/>
  <c r="L51" i="67"/>
  <c r="I39" i="82" l="1"/>
  <c r="C40" i="82"/>
  <c r="B2" i="82" s="1"/>
  <c r="Q69" i="82"/>
  <c r="Q68" i="82" s="1"/>
  <c r="Q67" i="82"/>
  <c r="Q69" i="15"/>
  <c r="Q68" i="15" s="1"/>
  <c r="I39" i="15"/>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Q47" i="82" l="1"/>
  <c r="Q53" i="82" s="1"/>
  <c r="Q65" i="82"/>
  <c r="Q75" i="82" s="1"/>
  <c r="C46" i="82"/>
  <c r="Q56" i="82"/>
  <c r="Q62" i="82" s="1"/>
  <c r="C43" i="82"/>
  <c r="C83" i="82"/>
  <c r="C82" i="82" s="1"/>
  <c r="B3" i="82"/>
  <c r="D6" i="12" s="1"/>
  <c r="D8" i="12"/>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11" i="1"/>
  <c r="AO12" i="1"/>
  <c r="AO8" i="1"/>
  <c r="AO7" i="1"/>
  <c r="R48" i="39" l="1"/>
  <c r="C47" i="39" s="1"/>
  <c r="C7" i="71"/>
  <c r="D8" i="71"/>
  <c r="L46" i="15"/>
  <c r="B2" i="15" s="1"/>
  <c r="C8" i="12" s="1"/>
  <c r="C4" i="12"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0" i="39" s="1"/>
  <c r="F60" i="39" s="1"/>
  <c r="C31" i="12"/>
  <c r="C23" i="12"/>
  <c r="B6" i="70"/>
  <c r="B2" i="70" s="1"/>
  <c r="B3" i="70" s="1"/>
  <c r="B3" i="15"/>
  <c r="C6" i="12" s="1"/>
  <c r="D7" i="71"/>
  <c r="C6" i="71"/>
  <c r="I46" i="40"/>
  <c r="J46" i="40" s="1"/>
  <c r="R43" i="40"/>
  <c r="E42" i="40"/>
  <c r="G47" i="40"/>
  <c r="H47" i="40" s="1"/>
  <c r="G46" i="40"/>
  <c r="H46" i="40" s="1"/>
  <c r="B63" i="39" l="1"/>
  <c r="F63" i="39" s="1"/>
  <c r="B56" i="39"/>
  <c r="F56" i="39" s="1"/>
  <c r="B59" i="39"/>
  <c r="F59" i="39" s="1"/>
  <c r="B61" i="39"/>
  <c r="F61" i="39" s="1"/>
  <c r="B64" i="39"/>
  <c r="F64" i="39" s="1"/>
  <c r="B62" i="39"/>
  <c r="F62" i="39" s="1"/>
  <c r="B58" i="39"/>
  <c r="F58" i="39" s="1"/>
  <c r="B57" i="39"/>
  <c r="F57" i="39" s="1"/>
  <c r="C27" i="12"/>
  <c r="C25" i="12" s="1"/>
  <c r="C30" i="12"/>
  <c r="C28" i="12" s="1"/>
  <c r="D6" i="71"/>
  <c r="C5" i="71"/>
  <c r="C42" i="40"/>
  <c r="C43" i="40"/>
  <c r="E47" i="40"/>
  <c r="F47" i="40" s="1"/>
  <c r="E46" i="40"/>
  <c r="F46" i="40" s="1"/>
  <c r="I47" i="40"/>
  <c r="J47" i="40" s="1"/>
  <c r="D5" i="71" l="1"/>
  <c r="M24" i="43" s="1"/>
  <c r="M24" i="86"/>
  <c r="F65" i="39"/>
  <c r="B2" i="39" s="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B3" i="39" l="1"/>
  <c r="C6" i="68"/>
  <c r="D102" i="9"/>
  <c r="D21" i="9"/>
  <c r="B3" i="12"/>
  <c r="D20" i="9"/>
  <c r="C7" i="68" l="1"/>
  <c r="C5" i="68" s="1"/>
  <c r="D103" i="9"/>
  <c r="C23" i="68" l="1"/>
  <c r="C20" i="68"/>
  <c r="C28" i="68" l="1"/>
  <c r="C27" i="68" s="1"/>
  <c r="C25" i="68"/>
  <c r="C22" i="68" s="1"/>
  <c r="C31" i="68" l="1"/>
  <c r="C52" i="68" s="1"/>
  <c r="B2" i="68" s="1"/>
  <c r="C19" i="9"/>
  <c r="C57" i="68" l="1"/>
  <c r="C56" i="68" s="1"/>
  <c r="C102" i="9"/>
  <c r="C21" i="9"/>
  <c r="D22" i="9"/>
  <c r="G19" i="9"/>
  <c r="B3" i="68"/>
  <c r="D34" i="9"/>
  <c r="D35" i="9"/>
  <c r="C20" i="9"/>
  <c r="G21" i="9" l="1"/>
  <c r="C27" i="9"/>
  <c r="D27" i="9" s="1"/>
  <c r="C103" i="9"/>
  <c r="G20" i="9"/>
  <c r="C32" i="9" s="1"/>
  <c r="C35" i="9" l="1"/>
  <c r="H118" i="9"/>
  <c r="D14" i="74" s="1"/>
  <c r="G14" i="74" s="1"/>
  <c r="B6" i="74" s="1"/>
  <c r="D6" i="74" s="1"/>
  <c r="E14" i="74" l="1"/>
  <c r="B5" i="74"/>
  <c r="D5" i="74" s="1"/>
  <c r="F14" i="74"/>
  <c r="H101" i="9"/>
  <c r="C104" i="9"/>
  <c r="H4" i="52"/>
  <c r="H119" i="9"/>
  <c r="H5" i="52" s="1"/>
  <c r="I118" i="9"/>
  <c r="C34" i="9"/>
  <c r="D118" i="9" s="1"/>
  <c r="F118" i="9"/>
  <c r="F119" i="9" l="1"/>
  <c r="F5" i="52" s="1"/>
  <c r="B53" i="72" s="1"/>
  <c r="F4" i="52"/>
  <c r="B51" i="72" s="1"/>
  <c r="G118" i="9"/>
  <c r="G4" i="52" s="1"/>
  <c r="B52" i="72" s="1"/>
  <c r="D119" i="9"/>
  <c r="D5" i="52" s="1"/>
  <c r="B49" i="72" s="1"/>
  <c r="D4" i="52"/>
  <c r="B47" i="72" s="1"/>
  <c r="I4" i="52"/>
  <c r="H102" i="9"/>
  <c r="C105" i="9"/>
  <c r="H107" i="9"/>
  <c r="M48" i="9"/>
  <c r="D45" i="9"/>
  <c r="D5" i="53"/>
  <c r="E118" i="9" l="1"/>
  <c r="E4" i="52" s="1"/>
  <c r="B48" i="72" s="1"/>
  <c r="D6" i="53"/>
  <c r="B22" i="72" s="1"/>
  <c r="B20" i="72"/>
  <c r="C5" i="74"/>
  <c r="D7" i="53"/>
  <c r="B21" i="72" s="1"/>
  <c r="C64" i="9"/>
  <c r="C63" i="9" s="1"/>
  <c r="C67" i="9" s="1"/>
  <c r="C78" i="9"/>
  <c r="C73" i="9" s="1"/>
  <c r="D52" i="9"/>
  <c r="C85" i="9"/>
  <c r="C93" i="9"/>
  <c r="C86" i="9" s="1"/>
  <c r="C72" i="9"/>
  <c r="D55" i="9"/>
  <c r="M53" i="9" s="1"/>
  <c r="D53" i="9"/>
  <c r="D122" i="9"/>
  <c r="H108" i="9"/>
  <c r="M49" i="9"/>
  <c r="D13" i="53"/>
  <c r="L63" i="9" l="1"/>
  <c r="M63" i="9" s="1"/>
  <c r="L65" i="9"/>
  <c r="M65" i="9" s="1"/>
  <c r="L67" i="9"/>
  <c r="M67" i="9" s="1"/>
  <c r="L68" i="9"/>
  <c r="M68" i="9" s="1"/>
  <c r="L66" i="9"/>
  <c r="M66" i="9" s="1"/>
  <c r="L64" i="9"/>
  <c r="M64" i="9" s="1"/>
  <c r="C95" i="9"/>
  <c r="D8" i="52"/>
  <c r="D123" i="9"/>
  <c r="D9" i="52" s="1"/>
  <c r="B30" i="72"/>
  <c r="D14" i="53"/>
  <c r="B32" i="72" s="1"/>
  <c r="D15" i="53"/>
  <c r="B31" i="72" s="1"/>
  <c r="C6" i="74"/>
  <c r="D59" i="9"/>
  <c r="M55" i="9" s="1"/>
  <c r="C68" i="9"/>
  <c r="D54" i="9" s="1"/>
  <c r="C79" i="9"/>
  <c r="C96" i="9" l="1"/>
  <c r="E96" i="9" s="1"/>
  <c r="E97" i="9" s="1"/>
  <c r="C80" i="9"/>
  <c r="E80" i="9" s="1"/>
  <c r="E81"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<sst xmlns="http://schemas.openxmlformats.org/spreadsheetml/2006/main" count="11736" uniqueCount="4033">
  <si>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</si>
  <si>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</si>
  <si>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</si>
  <si>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</si>
  <si>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</si>
  <si>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</si>
  <si>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</si>
  <si>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</si>
  <si>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</si>
  <si>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</si>
  <si>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</si>
  <si>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</si>
  <si>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</si>
  <si>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</si>
  <si>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</si>
  <si>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</si>
  <si>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</si>
  <si>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</si>
  <si>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</si>
  <si>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</si>
  <si>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</si>
  <si>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</si>
  <si>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</si>
  <si>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</si>
  <si>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</si>
  <si>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</si>
  <si>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</si>
  <si>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</si>
  <si>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</si>
  <si>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</si>
  <si>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</si>
  <si>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</si>
  <si>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</si>
  <si>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</si>
  <si>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</si>
  <si>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</si>
  <si>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</si>
  <si>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</si>
  <si>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</si>
  <si>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</si>
  <si>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</si>
  <si>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</si>
  <si>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</si>
  <si>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</si>
  <si>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</si>
  <si>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</si>
  <si>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</si>
  <si>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</si>
  <si>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</si>
  <si>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</si>
  <si>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</si>
  <si>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</si>
  <si>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</si>
  <si>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</si>
  <si>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</si>
  <si>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</si>
  <si>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</si>
  <si>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</si>
  <si>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</si>
  <si>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</si>
  <si>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</si>
  <si>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</si>
  <si>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</si>
  <si>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</si>
  <si>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</si>
  <si>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</si>
  <si>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</si>
  <si>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</si>
  <si>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</si>
  <si>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</si>
  <si>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</si>
  <si>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</si>
  <si>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</si>
  <si>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</si>
  <si>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</si>
  <si>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</si>
  <si>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</si>
  <si>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</si>
  <si>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</si>
  <si>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</si>
  <si>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</si>
  <si>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</si>
  <si>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</si>
  <si>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</si>
  <si>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</si>
  <si>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</si>
  <si>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</si>
  <si>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</si>
  <si>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</si>
  <si>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</si>
  <si>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</si>
  <si>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</si>
  <si>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</si>
  <si>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</si>
  <si>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</si>
  <si>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</si>
  <si>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</si>
  <si>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</si>
  <si>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</si>
  <si>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</si>
  <si>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</si>
  <si>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</si>
  <si>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</si>
  <si>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</si>
  <si>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</si>
  <si>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</si>
  <si>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</si>
  <si>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</si>
  <si>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</si>
  <si>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</si>
  <si>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</si>
  <si>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</si>
  <si>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</si>
  <si>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</si>
  <si>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</si>
  <si>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</si>
  <si>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</si>
  <si>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</si>
  <si>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</si>
  <si>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</si>
  <si>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</si>
  <si>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</si>
  <si>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</si>
  <si>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</si>
  <si>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</si>
  <si>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</si>
  <si>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</si>
  <si>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</si>
  <si>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</si>
  <si>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</si>
  <si>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</si>
  <si>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</si>
  <si>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</si>
  <si>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</si>
  <si>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</si>
  <si>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</si>
  <si>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</si>
  <si>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</si>
  <si>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</si>
  <si>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</si>
  <si>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</si>
  <si>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</si>
  <si>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</si>
  <si>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</si>
  <si>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</si>
  <si>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</si>
  <si>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</si>
  <si>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</si>
  <si>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</si>
  <si>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</si>
  <si>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</si>
  <si>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</si>
  <si>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</si>
  <si>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</si>
  <si>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</si>
  <si>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</si>
  <si>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</si>
  <si>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</si>
  <si>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</si>
  <si>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</si>
  <si>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</si>
  <si>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</si>
  <si>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</si>
  <si>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</si>
  <si>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</si>
  <si>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</si>
  <si>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</si>
  <si>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</si>
  <si>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</si>
  <si>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</si>
  <si>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</si>
  <si>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</si>
  <si>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</si>
  <si>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</si>
  <si>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</si>
  <si>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</si>
  <si>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</si>
  <si>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</si>
  <si>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</si>
  <si>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</si>
  <si>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</si>
  <si>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</si>
  <si>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</si>
  <si>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</si>
  <si>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</si>
  <si>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</si>
  <si>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</si>
  <si>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</si>
  <si>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</si>
  <si>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</si>
  <si>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</si>
  <si>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</si>
  <si>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</si>
  <si>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</si>
  <si>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</si>
  <si>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</si>
  <si>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</si>
  <si>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</si>
  <si>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</si>
  <si>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</si>
  <si>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</si>
  <si>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</si>
  <si>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</si>
  <si>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</si>
  <si>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</si>
  <si>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</si>
  <si>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</si>
  <si>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</si>
  <si>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</si>
  <si>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</si>
  <si>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</si>
  <si>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</si>
  <si>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</si>
  <si>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</si>
  <si>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</si>
  <si>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</si>
  <si>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</si>
  <si>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</si>
  <si>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</si>
  <si>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</si>
  <si>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</si>
  <si>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</si>
  <si>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</si>
  <si>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</si>
  <si>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</si>
  <si>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</si>
  <si>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</si>
  <si>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</si>
  <si>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</si>
  <si>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</si>
  <si>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</si>
  <si>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</si>
  <si>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</si>
  <si>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</si>
  <si>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</si>
  <si>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</si>
  <si>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</si>
  <si>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</si>
  <si>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</si>
  <si>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</si>
  <si>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</si>
  <si>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</si>
  <si>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</si>
  <si>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</si>
  <si>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</si>
  <si>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</si>
  <si>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</si>
  <si>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</si>
  <si>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</si>
  <si>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</si>
  <si>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</si>
  <si>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</si>
  <si>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</si>
  <si>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</si>
  <si>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</si>
  <si>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</si>
  <si>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</si>
  <si>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</si>
  <si>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</si>
  <si>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</si>
  <si>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</si>
  <si>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</si>
  <si>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</si>
  <si>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</si>
  <si>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</si>
  <si>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</si>
  <si>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</si>
  <si>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</si>
  <si>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</si>
  <si>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</si>
  <si>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</si>
  <si>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</si>
  <si>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</si>
  <si>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</si>
  <si>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</si>
  <si>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</si>
  <si>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</si>
  <si>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</si>
  <si>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</si>
  <si>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</si>
  <si>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</si>
  <si>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</si>
  <si>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</si>
  <si>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</si>
  <si>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</si>
  <si>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</si>
  <si>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</si>
  <si>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</si>
  <si>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</si>
  <si>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</si>
  <si>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</si>
  <si>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</si>
  <si>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</si>
  <si>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</si>
  <si>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</si>
  <si>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</si>
  <si>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</si>
  <si>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</si>
  <si>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</si>
  <si>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</si>
  <si>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</si>
  <si>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</si>
  <si>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</si>
  <si>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</si>
  <si>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</si>
  <si>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</si>
  <si>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</si>
  <si>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</si>
  <si>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</si>
  <si>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</si>
  <si>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</si>
  <si>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</si>
  <si>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</si>
  <si>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</si>
  <si>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</si>
  <si>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</si>
  <si>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</si>
  <si>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</si>
  <si>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</si>
  <si>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</si>
  <si>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</si>
  <si>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</si>
  <si>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</si>
  <si>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</si>
  <si>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</si>
  <si>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</si>
  <si>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</si>
  <si>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</si>
  <si>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</si>
  <si>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</si>
  <si>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</si>
  <si>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</si>
  <si>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</si>
  <si>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</si>
  <si>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</si>
  <si>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</si>
  <si>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</si>
  <si>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</si>
  <si>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</si>
  <si>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</si>
  <si>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</si>
  <si>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</si>
  <si>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</si>
  <si>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</si>
  <si>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</si>
  <si>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</si>
  <si>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</si>
  <si>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</si>
  <si>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</si>
  <si>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</si>
  <si>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</si>
  <si>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</si>
  <si>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</si>
  <si>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</si>
  <si>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</si>
  <si>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</si>
  <si>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</si>
  <si>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</si>
  <si>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</si>
  <si>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</si>
  <si>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</si>
  <si>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</si>
  <si>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</si>
  <si>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</si>
  <si>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</si>
  <si>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</si>
  <si>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</si>
  <si>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</si>
  <si>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</si>
  <si>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</si>
  <si>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</si>
  <si>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</si>
  <si>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</si>
  <si>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</si>
  <si>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</si>
  <si>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</si>
  <si>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</si>
  <si>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</si>
  <si>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</si>
  <si>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</si>
  <si>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</si>
  <si>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</si>
  <si>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</si>
  <si>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</si>
  <si>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</si>
  <si>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</si>
  <si>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</si>
  <si>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</si>
  <si>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</si>
  <si>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</si>
  <si>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</si>
  <si>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</si>
  <si>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</si>
  <si>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</si>
  <si>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</si>
  <si>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</si>
  <si>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</si>
  <si>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</si>
  <si>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</si>
  <si>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</si>
  <si>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</si>
  <si>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</si>
  <si>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</si>
  <si>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</si>
  <si>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</si>
  <si>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</si>
  <si>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</si>
  <si>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</si>
  <si>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</si>
  <si>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</si>
  <si>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</si>
  <si>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</si>
  <si>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</si>
  <si>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</si>
  <si>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</si>
  <si>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</si>
  <si>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</si>
  <si>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</si>
  <si>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</si>
  <si>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</si>
  <si>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</si>
  <si>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</si>
  <si>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</si>
  <si>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</si>
  <si>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</si>
  <si>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</si>
  <si>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</si>
  <si>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</si>
  <si>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</si>
  <si>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</si>
  <si>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</si>
  <si>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</si>
  <si>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</si>
  <si>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</si>
  <si>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</si>
  <si>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</si>
  <si>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</si>
  <si>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</si>
  <si>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</si>
  <si>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</si>
  <si>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</si>
  <si>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</si>
  <si>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</si>
  <si>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</si>
  <si>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</si>
  <si>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</si>
  <si>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</si>
  <si>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</si>
  <si>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</si>
  <si>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</si>
  <si>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</si>
  <si>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</si>
  <si>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</si>
  <si>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</si>
  <si>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</si>
  <si>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</si>
  <si>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</si>
  <si>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</si>
  <si>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</si>
  <si>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</si>
  <si>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</si>
  <si>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</si>
  <si>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</si>
  <si>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</si>
  <si>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</si>
  <si>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</si>
  <si>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</si>
  <si>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</si>
  <si>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</si>
  <si>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</si>
  <si>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</si>
  <si>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</si>
  <si>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</si>
  <si>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</si>
  <si>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</si>
  <si>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</si>
  <si>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</si>
  <si>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</si>
  <si>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</si>
  <si>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</si>
  <si>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</si>
  <si>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</si>
  <si>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</si>
  <si>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</si>
  <si>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</si>
  <si>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</si>
  <si>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</si>
  <si>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</si>
  <si>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</si>
  <si>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</si>
  <si>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</si>
  <si>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</si>
  <si>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</si>
  <si>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</si>
  <si>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</si>
  <si>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</si>
  <si>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</si>
  <si>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</si>
  <si>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</si>
  <si>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</si>
  <si>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</si>
  <si>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</si>
  <si>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</si>
  <si>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</si>
  <si>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</si>
  <si>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</si>
  <si>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</si>
  <si>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</si>
  <si>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</si>
  <si>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</si>
  <si>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</si>
  <si>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</si>
  <si>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</si>
  <si>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</si>
  <si>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</si>
  <si>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</si>
  <si>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</si>
  <si>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</si>
  <si>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</si>
  <si>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</si>
  <si>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</si>
  <si>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</si>
  <si>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</si>
  <si>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</si>
  <si>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</si>
  <si>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</si>
  <si>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</si>
  <si>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</si>
  <si>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</si>
  <si>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</si>
  <si>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</si>
  <si>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</si>
  <si>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</si>
  <si>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</si>
  <si>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</si>
  <si>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</si>
  <si>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</si>
  <si>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</si>
  <si>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</si>
  <si>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</si>
  <si>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</si>
  <si>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</si>
  <si>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</si>
  <si>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</si>
  <si>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</si>
  <si>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</si>
  <si>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</si>
  <si>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</si>
  <si>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</si>
  <si>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</si>
  <si>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</si>
  <si>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</si>
  <si>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</si>
  <si>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</si>
  <si>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</si>
  <si>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</si>
  <si>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</si>
  <si>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</si>
  <si>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</si>
  <si>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</si>
  <si>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</si>
  <si>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</si>
  <si>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</si>
  <si>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</si>
  <si>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</si>
  <si>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</si>
  <si>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</si>
  <si>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</si>
  <si>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</si>
  <si>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</si>
  <si>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</si>
  <si>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</si>
  <si>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</si>
  <si>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</si>
  <si>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</si>
  <si>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</si>
  <si>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</si>
  <si>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</si>
  <si>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</si>
  <si>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</si>
  <si>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</si>
  <si>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</si>
  <si>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</si>
  <si>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</si>
  <si>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</si>
  <si>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</si>
  <si>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</si>
  <si>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</si>
  <si>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</si>
  <si>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</si>
  <si>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</si>
  <si>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</si>
  <si>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</si>
  <si>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</si>
  <si>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</si>
  <si>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</si>
  <si>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</si>
  <si>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</si>
  <si>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</si>
  <si>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</si>
  <si>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</si>
  <si>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</si>
  <si>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</si>
  <si>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</si>
  <si>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</si>
  <si>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</si>
  <si>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</si>
  <si>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</si>
  <si>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</si>
  <si>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</si>
  <si>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</si>
  <si>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</si>
  <si>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</si>
  <si>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</si>
  <si>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</si>
  <si>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</si>
  <si>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</si>
  <si>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</si>
  <si>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</si>
  <si>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</si>
  <si>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</si>
  <si>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</si>
  <si>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</si>
  <si>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</si>
  <si>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</si>
  <si>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</si>
  <si>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</si>
  <si>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</si>
  <si>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</si>
  <si>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</si>
  <si>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</si>
  <si>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</si>
  <si>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</si>
  <si>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</si>
  <si>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</si>
  <si>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</si>
  <si>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</si>
  <si>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</si>
  <si>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</si>
  <si>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</si>
  <si>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</si>
  <si>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</si>
  <si>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</si>
  <si>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</si>
  <si>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</si>
  <si>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</si>
  <si>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</si>
  <si>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</si>
  <si>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</si>
  <si>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</si>
  <si>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</si>
  <si>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</si>
  <si>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</si>
  <si>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</si>
  <si>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</si>
  <si>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</si>
  <si>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</si>
  <si>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</si>
  <si>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</si>
  <si>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</si>
  <si>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</si>
  <si>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</si>
  <si>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</si>
  <si>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</si>
  <si>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</si>
  <si>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</si>
  <si>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</si>
  <si>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</si>
  <si>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</si>
  <si>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</si>
  <si>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</si>
  <si>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</si>
  <si>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</si>
  <si>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</si>
  <si>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</si>
  <si>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</si>
  <si>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</si>
  <si>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</si>
  <si>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</si>
  <si>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</si>
  <si>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</si>
  <si>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</si>
  <si>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</si>
  <si>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</si>
  <si>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</si>
  <si>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</si>
  <si>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</si>
  <si>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</si>
  <si>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</si>
  <si>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</si>
  <si>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</si>
  <si>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</si>
  <si>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</si>
  <si>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</si>
  <si>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</si>
  <si>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</si>
  <si>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</si>
  <si>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</si>
  <si>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</si>
  <si>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</si>
  <si>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</si>
  <si>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</si>
  <si>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</si>
  <si>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</si>
  <si>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</si>
  <si>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</si>
  <si>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</si>
  <si>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</si>
  <si>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</si>
  <si>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</si>
  <si>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</si>
  <si>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</si>
  <si>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</si>
  <si>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</si>
  <si>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</si>
  <si>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</si>
  <si>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</si>
  <si>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</si>
  <si>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</si>
  <si>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</si>
  <si>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</si>
  <si>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</si>
  <si>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</si>
  <si>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</si>
  <si>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</si>
  <si>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</si>
  <si>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</si>
  <si>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</si>
  <si>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</si>
  <si>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</si>
  <si>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</si>
  <si>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</si>
  <si>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</si>
  <si>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</si>
  <si>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</si>
  <si>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</si>
  <si>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</si>
  <si>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</si>
  <si>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</si>
  <si>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</si>
  <si>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</si>
  <si>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</si>
  <si>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</si>
  <si>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</si>
  <si>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</si>
  <si>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</si>
  <si>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</si>
  <si>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</si>
  <si>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</si>
  <si>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</si>
  <si>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</si>
  <si>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</si>
  <si>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</si>
  <si>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</si>
  <si>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</si>
  <si>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</si>
  <si>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</si>
  <si>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</si>
  <si>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</si>
  <si>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</si>
  <si>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</si>
  <si>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</si>
  <si>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</si>
  <si>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</si>
  <si>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</si>
  <si>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</si>
  <si>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</si>
  <si>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</si>
  <si>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</si>
  <si>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</si>
  <si>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</si>
  <si>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</si>
  <si>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</si>
  <si>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</si>
  <si>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</si>
  <si>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</si>
  <si>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</si>
  <si>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</si>
  <si>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</si>
  <si>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</si>
  <si>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</si>
  <si>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</si>
  <si>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</si>
  <si>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</si>
  <si>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</si>
  <si>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</si>
  <si>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</si>
  <si>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</si>
  <si>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</si>
  <si>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</si>
  <si>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</si>
  <si>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</si>
  <si>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</si>
  <si>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</si>
  <si>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</si>
  <si>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</si>
  <si>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</si>
  <si>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</si>
  <si>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</si>
  <si>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</si>
  <si>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</si>
  <si>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</si>
  <si>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</si>
  <si>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</si>
  <si>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</si>
  <si>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</si>
  <si>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</si>
  <si>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</si>
  <si>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</si>
  <si>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</si>
  <si>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</si>
  <si>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</si>
  <si>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</si>
  <si>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</si>
  <si>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</si>
  <si>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</si>
  <si>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</si>
  <si>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</si>
  <si>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</si>
  <si>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</si>
  <si>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</si>
  <si>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</si>
  <si>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</si>
  <si>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</si>
  <si>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</si>
  <si>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</si>
  <si>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</si>
  <si>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</si>
  <si>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</si>
  <si>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</si>
  <si>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</si>
  <si>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</si>
  <si>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</si>
  <si>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</si>
  <si>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</si>
  <si>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</si>
  <si>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</si>
  <si>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</si>
  <si>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</si>
  <si>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</si>
  <si>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</si>
  <si>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</si>
  <si>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</si>
  <si>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</si>
  <si>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</si>
  <si>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</si>
  <si>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</si>
  <si>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</si>
  <si>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</si>
  <si>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</si>
  <si>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</si>
  <si>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</si>
  <si>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</si>
  <si>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</si>
  <si>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</si>
  <si>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</si>
  <si>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</si>
  <si>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</si>
  <si>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</si>
  <si>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</si>
  <si>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</si>
  <si>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</si>
  <si>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</si>
  <si>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</si>
  <si>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</si>
  <si>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</si>
  <si>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</si>
  <si>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</si>
  <si>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</si>
  <si>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</si>
  <si>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</si>
  <si>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</si>
  <si>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</si>
  <si>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</si>
  <si>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</si>
  <si>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</si>
  <si>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</si>
  <si>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</si>
  <si>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</si>
  <si>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</si>
  <si>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</si>
  <si>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</si>
  <si>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</si>
  <si>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</si>
  <si>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</si>
  <si>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</si>
  <si>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</si>
  <si>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</si>
  <si>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</si>
  <si>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</si>
  <si>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</si>
  <si>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</si>
  <si>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</si>
  <si>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</si>
  <si>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</si>
  <si>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</si>
  <si>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</si>
  <si>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</si>
  <si>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</si>
  <si>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</si>
  <si>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</si>
  <si>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</si>
  <si>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</si>
  <si>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</si>
  <si>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</si>
  <si>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</si>
  <si>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</si>
  <si>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</si>
  <si>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</si>
  <si>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</si>
  <si>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</si>
  <si>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</si>
  <si>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</si>
  <si>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</si>
  <si>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</si>
  <si>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</si>
  <si>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</si>
  <si>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</si>
  <si>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</si>
  <si>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</si>
  <si>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</si>
  <si>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</si>
  <si>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</si>
  <si>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</si>
  <si>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</si>
  <si>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</si>
  <si>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</si>
  <si>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</si>
  <si>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</si>
  <si>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</si>
  <si>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</si>
  <si>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</si>
  <si>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</si>
  <si>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</si>
  <si>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</si>
  <si>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</si>
  <si>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</si>
  <si>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</si>
  <si>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</si>
  <si>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</si>
  <si>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</si>
  <si>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</si>
  <si>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</si>
  <si>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</si>
  <si>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</si>
  <si>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</si>
  <si>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</si>
  <si>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</si>
  <si>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</si>
  <si>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</si>
  <si>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</si>
  <si>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</si>
  <si>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</si>
  <si>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</si>
  <si>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</si>
  <si>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</si>
  <si>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</si>
  <si>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</si>
  <si>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</si>
  <si>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</si>
  <si>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</si>
  <si>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</si>
  <si>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</si>
  <si>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</si>
  <si>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</si>
  <si>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</si>
  <si>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</si>
  <si>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</si>
  <si>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</si>
  <si>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</si>
  <si>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</si>
  <si>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</si>
  <si>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</si>
  <si>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</si>
  <si>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</si>
  <si>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</si>
  <si>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</si>
  <si>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</si>
  <si>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</si>
  <si>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</si>
  <si>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</si>
  <si>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</si>
  <si>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</si>
  <si>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</si>
  <si>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</si>
  <si>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</si>
  <si>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</si>
  <si>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</si>
  <si>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</si>
  <si>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</si>
  <si>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</si>
  <si>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</si>
  <si>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</si>
  <si>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</si>
  <si>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</si>
  <si>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</si>
  <si>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</si>
  <si>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</si>
  <si>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</si>
  <si>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</si>
  <si>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</si>
  <si>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</si>
  <si>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</si>
  <si>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</si>
  <si>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</si>
  <si>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</si>
  <si>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</si>
  <si>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</si>
  <si>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</si>
  <si>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</si>
  <si>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</si>
  <si>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</si>
  <si>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</si>
  <si>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</si>
  <si>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</si>
  <si>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</si>
  <si>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</si>
  <si>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</si>
  <si>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</si>
  <si>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</si>
  <si>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</si>
  <si>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</si>
  <si>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</si>
  <si>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</si>
  <si>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</si>
  <si>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</si>
  <si>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</si>
  <si>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</si>
  <si>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</si>
  <si>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</si>
  <si>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</si>
  <si>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</si>
  <si>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</si>
  <si>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</si>
  <si>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</si>
  <si>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</si>
  <si>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</si>
  <si>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</si>
  <si>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</si>
  <si>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</si>
  <si>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</si>
  <si>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</si>
  <si>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</si>
  <si>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</si>
  <si>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</si>
  <si>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</si>
  <si>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</si>
  <si>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</si>
  <si>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</si>
  <si>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</si>
  <si>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</si>
  <si>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</si>
  <si>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</si>
  <si>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</si>
  <si>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</si>
  <si>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</si>
  <si>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</si>
  <si>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</si>
  <si>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</si>
  <si>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</si>
  <si>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</si>
  <si>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</si>
  <si>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</si>
  <si>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</si>
  <si>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</si>
  <si>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</si>
  <si>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</si>
  <si>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</si>
  <si>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</si>
  <si>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</si>
  <si>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</si>
  <si>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</si>
  <si>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</si>
  <si>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</si>
  <si>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</si>
  <si>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</si>
  <si>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</si>
  <si>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</si>
  <si>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</si>
  <si>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</si>
  <si>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</si>
  <si>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</si>
  <si>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</si>
  <si>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</si>
  <si>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</si>
  <si>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</si>
  <si>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</si>
  <si>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</si>
  <si>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</si>
  <si>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</si>
  <si>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</si>
  <si>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</si>
  <si>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</si>
  <si>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</si>
  <si>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</si>
  <si>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</si>
  <si>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</si>
  <si>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</si>
  <si>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</si>
  <si>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</si>
  <si>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</si>
  <si>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</si>
  <si>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</si>
  <si>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</si>
  <si>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</si>
  <si>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</si>
  <si>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</si>
  <si>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</si>
  <si>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</si>
  <si>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</si>
  <si>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</si>
  <si>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</si>
  <si>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</si>
  <si>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</si>
  <si>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</si>
  <si>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</si>
  <si>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</si>
  <si>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</si>
  <si>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</si>
  <si>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</si>
  <si>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</si>
  <si>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</si>
  <si>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</si>
  <si>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</si>
  <si>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</si>
  <si>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</si>
  <si>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</si>
  <si>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</si>
  <si>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</si>
  <si>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</si>
  <si>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</si>
  <si>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</si>
  <si>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</si>
  <si>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</si>
  <si>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</si>
  <si>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</si>
  <si>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</si>
  <si>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</si>
  <si>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</si>
  <si>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</si>
  <si>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</si>
  <si>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</si>
  <si>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</si>
  <si>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</si>
  <si>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</si>
  <si>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</si>
  <si>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</si>
  <si>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</si>
  <si>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</si>
  <si>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</si>
  <si>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</si>
  <si>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</si>
  <si>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</si>
  <si>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</si>
  <si>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</si>
  <si>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</si>
  <si>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</si>
  <si>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</si>
  <si>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</si>
  <si>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</si>
  <si>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</si>
  <si>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</si>
  <si>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</si>
  <si>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</si>
  <si>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</si>
  <si>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</si>
  <si>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</si>
  <si>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</si>
  <si>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</si>
  <si>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</si>
  <si>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</si>
  <si>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</si>
  <si>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</si>
  <si>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</si>
  <si>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</si>
  <si>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</si>
  <si>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</si>
  <si>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</si>
  <si>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</si>
  <si>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</si>
  <si>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</si>
  <si>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</si>
  <si>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</si>
  <si>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</si>
  <si>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</si>
  <si>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</si>
  <si>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</si>
  <si>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</si>
  <si>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</si>
  <si>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</si>
  <si>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</si>
  <si>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</si>
  <si>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</si>
  <si>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</si>
  <si>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</si>
  <si>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</si>
  <si>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</si>
  <si>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</si>
  <si>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</si>
  <si>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</si>
  <si>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</si>
  <si>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</si>
  <si>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</si>
  <si>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</si>
  <si>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</si>
  <si>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</si>
  <si>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</si>
  <si>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</si>
  <si>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</si>
  <si>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</si>
  <si>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</si>
  <si>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</si>
  <si>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</si>
  <si>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</si>
  <si>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</si>
  <si>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</si>
  <si>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</si>
  <si>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</si>
  <si>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</si>
  <si>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</si>
  <si>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</si>
  <si>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</si>
  <si>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</si>
  <si>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</si>
  <si>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</si>
  <si>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</si>
  <si>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</si>
  <si>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</si>
  <si>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</si>
  <si>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</si>
  <si>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</si>
  <si>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</si>
  <si>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</si>
  <si>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</si>
  <si>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</si>
  <si>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</si>
  <si>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</si>
  <si>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</si>
  <si>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</si>
  <si>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</si>
  <si>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</si>
  <si>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</si>
  <si>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</si>
  <si>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</si>
  <si>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</si>
  <si>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</si>
  <si>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</si>
  <si>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</si>
  <si>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</si>
  <si>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</si>
  <si>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</si>
  <si>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</si>
  <si>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</si>
  <si>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</si>
  <si>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</si>
  <si>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</si>
  <si>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</si>
  <si>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</si>
  <si>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</si>
  <si>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</si>
  <si>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</si>
  <si>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</si>
  <si>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</si>
  <si>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</si>
  <si>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</si>
  <si>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</si>
  <si>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</si>
  <si>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</si>
  <si>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</si>
  <si>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</si>
  <si>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</si>
  <si>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</si>
  <si>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</si>
  <si>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</si>
  <si>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</si>
  <si>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</si>
  <si>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</si>
  <si>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</si>
  <si>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</si>
  <si>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</si>
  <si>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</si>
  <si>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</si>
  <si>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</si>
  <si>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</si>
  <si>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</si>
  <si>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</si>
  <si>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</si>
  <si>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</si>
  <si>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</si>
  <si>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</si>
  <si>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</si>
  <si>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</si>
  <si>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</si>
  <si>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</si>
  <si>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</si>
  <si>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</si>
  <si>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</si>
  <si>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</si>
  <si>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</si>
  <si>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</si>
  <si>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</si>
  <si>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</si>
  <si>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</si>
  <si>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</si>
  <si>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</si>
  <si>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</si>
  <si>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</si>
  <si>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</si>
  <si>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</si>
  <si>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</si>
  <si>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</si>
  <si>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</si>
  <si>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</si>
  <si>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</si>
  <si>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</si>
  <si>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</si>
  <si>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</si>
  <si>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</si>
  <si>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</si>
  <si>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</si>
  <si>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</si>
  <si>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</si>
  <si>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</si>
  <si>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</si>
  <si>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</si>
  <si>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</si>
  <si>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</si>
  <si>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</si>
  <si>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</si>
  <si>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</si>
  <si>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</si>
  <si>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</si>
  <si>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</si>
  <si>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</si>
  <si>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</si>
  <si>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</si>
  <si>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</si>
  <si>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</si>
  <si>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</si>
  <si>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</si>
  <si>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</si>
  <si>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</si>
  <si>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</si>
  <si>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</si>
  <si>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</si>
  <si>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</si>
  <si>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</si>
  <si>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</si>
  <si>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</si>
  <si>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</si>
  <si>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</si>
  <si>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</si>
  <si>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</si>
  <si>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</si>
  <si>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</si>
  <si>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</si>
  <si>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</si>
  <si>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</si>
  <si>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</si>
  <si>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</si>
  <si>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</si>
  <si>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</si>
  <si>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</si>
  <si>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</si>
  <si>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</si>
  <si>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</si>
  <si>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</si>
  <si>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</si>
  <si>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</si>
  <si>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</si>
  <si>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</si>
  <si>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</si>
  <si>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</si>
  <si>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</si>
  <si>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</si>
  <si>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</si>
  <si>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</si>
  <si>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</si>
  <si>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</si>
  <si>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</si>
  <si>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</si>
  <si>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</si>
  <si>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</si>
  <si>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</si>
  <si>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</si>
  <si>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</si>
  <si>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</si>
  <si>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</si>
  <si>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</si>
  <si>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</si>
  <si>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</si>
  <si>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</si>
  <si>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</si>
  <si>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</si>
  <si>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</si>
  <si>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</si>
  <si>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</si>
  <si>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</si>
  <si>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</si>
  <si>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</si>
  <si>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</si>
  <si>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</si>
  <si>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</si>
  <si>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</si>
  <si>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</si>
  <si>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</si>
  <si>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</si>
  <si>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</si>
  <si>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</si>
  <si>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</si>
  <si>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</si>
  <si>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</si>
  <si>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</si>
  <si>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</si>
  <si>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</si>
  <si>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</si>
  <si>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</si>
  <si>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</si>
  <si>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</si>
  <si>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</si>
  <si>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</si>
  <si>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</si>
  <si>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</si>
  <si>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</si>
  <si>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</si>
  <si>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</si>
  <si>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</si>
  <si>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</si>
  <si>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</si>
  <si>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</si>
  <si>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</si>
  <si>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</si>
  <si>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</si>
  <si>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</si>
  <si>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</si>
  <si>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</si>
  <si>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</si>
  <si>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</si>
  <si>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</si>
  <si>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</si>
  <si>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</si>
  <si>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</si>
  <si>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</si>
  <si>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</si>
  <si>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</si>
  <si>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</si>
  <si>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</si>
  <si>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</si>
  <si>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</si>
  <si>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</si>
  <si>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</si>
  <si>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</si>
  <si>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</si>
  <si>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</si>
  <si>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</si>
  <si>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</si>
  <si>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</si>
  <si>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</si>
  <si>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</si>
  <si>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</si>
  <si>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</si>
  <si>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</si>
  <si>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</si>
  <si>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</si>
  <si>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</si>
  <si>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</si>
  <si>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</si>
  <si>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</si>
  <si>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</si>
  <si>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</si>
  <si>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</si>
  <si>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</si>
  <si>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</si>
  <si>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</si>
  <si>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</si>
  <si>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</si>
  <si>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</si>
  <si>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</si>
  <si>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</si>
  <si>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</si>
  <si>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</si>
  <si>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</si>
  <si>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</si>
  <si>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</si>
  <si>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</si>
  <si>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</si>
  <si>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</si>
  <si>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</si>
  <si>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</si>
  <si>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</si>
  <si>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</si>
  <si>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</si>
  <si>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</si>
  <si>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</si>
  <si>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</si>
  <si>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</si>
  <si>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</si>
  <si>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</si>
  <si>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</si>
  <si>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</si>
  <si>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</si>
  <si>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</si>
  <si>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</si>
  <si>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</si>
  <si>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</si>
  <si>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</si>
  <si>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</si>
  <si>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</si>
  <si>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</si>
  <si>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</si>
  <si>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</si>
  <si>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</si>
  <si>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</si>
  <si>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</si>
  <si>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</si>
  <si>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</si>
  <si>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</si>
  <si>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</si>
  <si>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</si>
  <si>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</si>
  <si>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</si>
  <si>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</si>
  <si>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</si>
  <si>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</si>
  <si>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</si>
  <si>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</si>
  <si>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</si>
  <si>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</si>
  <si>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</si>
  <si>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</si>
  <si>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</si>
  <si>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</si>
  <si>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</si>
  <si>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</si>
  <si>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</si>
  <si>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</si>
  <si>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</si>
  <si>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</si>
  <si>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</si>
  <si>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</si>
  <si>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</si>
  <si>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</si>
  <si>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</si>
  <si>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</si>
  <si>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</si>
  <si>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</si>
  <si>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</si>
  <si>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</si>
  <si>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</si>
  <si>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</si>
  <si>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</si>
  <si>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</si>
  <si>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</si>
  <si>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</si>
  <si>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</si>
  <si>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</si>
  <si>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</si>
  <si>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</si>
  <si>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</si>
  <si>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</si>
  <si>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</si>
  <si>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</si>
  <si>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</si>
  <si>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</si>
  <si>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</si>
  <si>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</si>
  <si>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</si>
  <si>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</si>
  <si>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</si>
  <si>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</si>
  <si>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</si>
  <si>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</si>
  <si>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</si>
  <si>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</si>
  <si>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</si>
  <si>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</si>
  <si>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</si>
  <si>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</si>
  <si>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</si>
  <si>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</si>
  <si>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</si>
  <si>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</si>
  <si>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</si>
  <si>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</si>
  <si>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</si>
  <si>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</si>
  <si>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</si>
  <si>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</si>
  <si>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</si>
  <si>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</si>
  <si>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</si>
  <si>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</si>
  <si>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</si>
  <si>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</si>
  <si>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</si>
  <si>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</si>
  <si>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</si>
  <si>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</si>
  <si>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</si>
  <si>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</si>
  <si>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</si>
  <si>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</si>
  <si>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</si>
  <si>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</si>
  <si>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</si>
  <si>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</si>
  <si>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</si>
  <si>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</si>
  <si>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</si>
  <si>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</si>
  <si>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</si>
  <si>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</si>
  <si>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</si>
  <si>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</si>
  <si>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</si>
  <si>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</si>
  <si>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</si>
  <si>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</si>
  <si>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</si>
  <si>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</si>
  <si>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</si>
  <si>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</si>
  <si>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</si>
  <si>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</si>
  <si>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</si>
  <si>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</si>
  <si>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</si>
  <si>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</si>
  <si>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</si>
  <si>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</si>
  <si>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</si>
  <si>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</si>
  <si>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</si>
  <si>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</si>
  <si>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</si>
  <si>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</si>
  <si>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</si>
  <si>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</si>
  <si>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</si>
  <si>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</si>
  <si>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</si>
  <si>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</si>
  <si>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</si>
  <si>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</si>
  <si>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</si>
  <si>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</si>
  <si>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</si>
  <si>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</si>
  <si>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</si>
  <si>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</si>
  <si>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</si>
  <si>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</si>
  <si>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</si>
  <si>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</si>
  <si>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</si>
  <si>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</si>
  <si>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</si>
  <si>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</si>
  <si>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</si>
  <si>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</si>
  <si>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</si>
  <si>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</si>
  <si>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</si>
  <si>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</si>
  <si>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</si>
  <si>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</si>
  <si>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</si>
  <si>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</si>
  <si>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</si>
  <si>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</si>
  <si>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</si>
  <si>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</si>
  <si>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</si>
  <si>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</si>
  <si>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</si>
  <si>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</si>
  <si>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</si>
  <si>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</si>
  <si>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</si>
  <si>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</si>
  <si>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</si>
  <si>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</si>
  <si>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</si>
  <si>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</si>
  <si>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</si>
  <si>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</si>
  <si>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</si>
  <si>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</si>
  <si>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</si>
  <si>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</si>
  <si>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</si>
  <si>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</si>
  <si>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</si>
  <si>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</si>
  <si>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</si>
  <si>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</si>
  <si>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</si>
  <si>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</si>
  <si>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</si>
  <si>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</si>
  <si>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</si>
  <si>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</si>
  <si>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</si>
  <si>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</si>
  <si>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</si>
  <si>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</si>
  <si>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</si>
  <si>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</si>
  <si>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</si>
  <si>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</si>
  <si>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</si>
  <si>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</si>
  <si>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</si>
  <si>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</si>
  <si>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</si>
  <si>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</si>
  <si>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</si>
  <si>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</si>
  <si>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</si>
  <si>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</si>
  <si>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</si>
  <si>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</si>
  <si>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</si>
  <si>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</si>
  <si>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</si>
  <si>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</si>
  <si>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</si>
  <si>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</si>
  <si>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</si>
  <si>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</si>
  <si>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</si>
  <si>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</si>
  <si>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</si>
  <si>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</si>
  <si>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</si>
  <si>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</si>
  <si>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</si>
  <si>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</si>
  <si>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</si>
  <si>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</si>
  <si>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</si>
  <si>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</si>
  <si>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</si>
  <si>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</si>
  <si>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</si>
  <si>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</si>
  <si>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</si>
  <si>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</si>
  <si>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</si>
  <si>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</si>
  <si>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</si>
  <si>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</si>
  <si>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</si>
  <si>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</si>
  <si>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</si>
  <si>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</si>
  <si>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</si>
  <si>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</si>
  <si>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</si>
  <si>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</si>
  <si>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</si>
  <si>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</si>
  <si>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</si>
  <si>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</si>
  <si>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</si>
  <si>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</si>
  <si>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</si>
  <si>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</si>
  <si>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</si>
  <si>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</si>
  <si>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</si>
  <si>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</si>
  <si>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</si>
  <si>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</si>
  <si>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</si>
  <si>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</si>
  <si>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</si>
  <si>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</si>
  <si>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</si>
  <si>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</si>
  <si>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</si>
  <si>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</si>
  <si>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</si>
  <si>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</si>
  <si>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</si>
  <si>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</si>
  <si>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</si>
  <si>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</si>
  <si>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</si>
  <si>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</si>
  <si>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</si>
  <si>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</si>
  <si>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</si>
  <si>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</si>
  <si>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</si>
  <si>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</si>
  <si>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</si>
  <si>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</si>
  <si>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</si>
  <si>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</si>
  <si>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</si>
  <si>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</si>
  <si>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</si>
  <si>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</si>
  <si>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</si>
  <si>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</si>
  <si>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</si>
  <si>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</si>
  <si>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</si>
  <si>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</si>
  <si>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</si>
  <si>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</si>
  <si>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</si>
  <si>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</si>
  <si>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</si>
  <si>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</si>
  <si>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</si>
  <si>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</si>
  <si>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</si>
  <si>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</si>
  <si>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</si>
  <si>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</si>
  <si>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</si>
  <si>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</si>
  <si>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</si>
  <si>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</si>
  <si>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</si>
  <si>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</si>
  <si>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</si>
  <si>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</si>
  <si>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</si>
  <si>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</si>
  <si>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</si>
  <si>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</si>
  <si>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</si>
  <si>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</si>
  <si>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</si>
  <si>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</si>
  <si>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</si>
  <si>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</si>
  <si>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</si>
  <si>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</si>
  <si>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</si>
  <si>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</si>
  <si>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</si>
  <si>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</si>
  <si>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</si>
  <si>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</si>
  <si>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</si>
  <si>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</si>
  <si>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</si>
  <si>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</si>
  <si>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</si>
  <si>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</si>
  <si>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</si>
  <si>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</si>
  <si>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</si>
  <si>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</si>
  <si>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</si>
  <si>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</si>
  <si>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</si>
  <si>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</si>
  <si>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</si>
  <si>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</si>
  <si>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</si>
  <si>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</si>
  <si>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</si>
  <si>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</si>
  <si>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</si>
  <si>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</si>
  <si>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</si>
  <si>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</si>
  <si>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</si>
  <si>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</si>
  <si>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</si>
  <si>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</si>
  <si>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</si>
  <si>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</si>
  <si>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</si>
  <si>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</si>
  <si>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</si>
  <si>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</si>
  <si>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</si>
  <si>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</si>
  <si>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</si>
  <si>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</si>
  <si>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</si>
  <si>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</si>
  <si>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</si>
  <si>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</si>
  <si>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</si>
  <si>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</si>
  <si>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</si>
  <si>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</si>
  <si>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</si>
  <si>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</si>
  <si>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</si>
  <si>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</si>
  <si>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</si>
  <si>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</si>
  <si>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</si>
  <si>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</si>
  <si>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</si>
  <si>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</si>
  <si>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</si>
  <si>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</si>
  <si>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</si>
  <si>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</si>
  <si>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</si>
  <si>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</si>
  <si>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</si>
  <si>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</si>
  <si>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</si>
  <si>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</si>
  <si>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</si>
  <si>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</si>
  <si>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</si>
  <si>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</si>
  <si>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</si>
  <si>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</si>
  <si>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</si>
  <si>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</si>
  <si>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</si>
  <si>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</si>
  <si>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</si>
  <si>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</si>
  <si>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</si>
  <si>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</si>
  <si>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</si>
  <si>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</si>
  <si>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</si>
  <si>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</si>
  <si>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</si>
  <si>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</si>
  <si>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</si>
  <si>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</si>
  <si>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</si>
  <si>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</si>
  <si>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</si>
  <si>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</si>
  <si>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</si>
  <si>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</si>
  <si>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</si>
  <si>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</si>
  <si>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</si>
  <si>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</si>
  <si>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</si>
  <si>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</si>
  <si>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</si>
  <si>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</si>
  <si>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</si>
  <si>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</si>
  <si>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</si>
  <si>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</si>
  <si>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</si>
  <si>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</si>
  <si>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</si>
  <si>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</si>
  <si>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</si>
  <si>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</si>
  <si>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</si>
  <si>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</si>
  <si>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</si>
  <si>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</si>
  <si>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</si>
  <si>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</si>
  <si>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</si>
  <si>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</si>
  <si>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</si>
  <si>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</si>
  <si>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</si>
  <si>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</si>
  <si>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</si>
  <si>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</si>
  <si>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</si>
  <si>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</si>
  <si>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</si>
  <si>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</si>
  <si>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</si>
  <si>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</si>
  <si>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</si>
  <si>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</si>
  <si>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</si>
  <si>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</si>
  <si>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</si>
  <si>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</si>
  <si>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</si>
  <si>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</si>
  <si>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</si>
  <si>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</si>
  <si>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</si>
  <si>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</si>
  <si>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</si>
  <si>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</si>
  <si>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</si>
  <si>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</si>
  <si>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</si>
  <si>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</si>
  <si>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</si>
  <si>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</si>
  <si>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</si>
  <si>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</si>
  <si>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</si>
  <si>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</si>
  <si>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</si>
  <si>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</si>
  <si>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</si>
  <si>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</si>
  <si>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</si>
  <si>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</si>
  <si>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</si>
  <si>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</si>
  <si>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</si>
  <si>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</si>
  <si>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</si>
  <si>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</si>
  <si>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</si>
  <si>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</si>
  <si>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</si>
  <si>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</si>
  <si>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</si>
  <si>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</si>
  <si>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</si>
  <si>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</si>
  <si>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</si>
  <si>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</si>
  <si>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</si>
  <si>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</si>
  <si>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</si>
  <si>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</si>
  <si>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</si>
  <si>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</si>
  <si>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</si>
  <si>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</si>
  <si>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</si>
  <si>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</si>
  <si>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</si>
  <si>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</si>
  <si>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</si>
  <si>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</si>
  <si>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</si>
  <si>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</si>
  <si>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</si>
  <si>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</si>
  <si>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</si>
  <si>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</si>
  <si>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</si>
  <si>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</si>
  <si>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</si>
  <si>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</si>
  <si>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</si>
  <si>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</si>
  <si>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</si>
  <si>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</si>
  <si>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</si>
  <si>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</si>
  <si>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</si>
  <si>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</si>
  <si>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</si>
  <si>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</si>
  <si>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</si>
  <si>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</si>
  <si>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</si>
  <si>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</si>
  <si>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</si>
  <si>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</si>
  <si>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</si>
  <si>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</si>
  <si>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</si>
  <si>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</si>
  <si>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</si>
  <si>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</si>
  <si>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</si>
  <si>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</si>
  <si>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</si>
  <si>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</si>
  <si>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</si>
  <si>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</si>
  <si>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</si>
  <si>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</si>
  <si>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</si>
  <si>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</si>
  <si>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</si>
  <si>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</si>
  <si>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</si>
  <si>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</si>
  <si>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</si>
  <si>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</si>
  <si>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</si>
  <si>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</si>
  <si>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</si>
  <si>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</si>
  <si>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</si>
  <si>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</si>
  <si>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</si>
  <si>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</si>
  <si>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</si>
  <si>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</si>
  <si>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</si>
  <si>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</si>
  <si>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</si>
  <si>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</si>
  <si>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</si>
  <si>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</si>
  <si>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</si>
  <si>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</si>
  <si>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</si>
  <si>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</si>
  <si>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</si>
  <si>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</si>
  <si>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</si>
  <si>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</si>
  <si>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</si>
  <si>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</si>
  <si>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</si>
  <si>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</si>
  <si>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</si>
  <si>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</si>
  <si>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</si>
  <si>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</si>
  <si>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</si>
  <si>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</si>
  <si>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</si>
  <si>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</si>
  <si>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</si>
  <si>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</si>
  <si>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</si>
  <si>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</si>
  <si>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</si>
  <si>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</si>
  <si>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</si>
  <si>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</si>
  <si>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</si>
  <si>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</si>
  <si>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</si>
  <si>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</si>
  <si>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</si>
  <si>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</si>
  <si>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</si>
  <si>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</si>
  <si>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</si>
  <si>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</si>
  <si>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</si>
  <si>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</si>
  <si>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</si>
  <si>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</si>
  <si>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</si>
  <si>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</si>
  <si>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</si>
  <si>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</si>
  <si>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</si>
  <si>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</si>
  <si>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</si>
  <si>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</si>
  <si>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</si>
  <si>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</si>
  <si>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</si>
  <si>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</si>
  <si>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</si>
  <si>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</si>
  <si>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</si>
  <si>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</si>
  <si>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</si>
  <si>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</si>
  <si>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</si>
  <si>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</si>
  <si>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</si>
  <si>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</si>
  <si>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</si>
  <si>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</si>
  <si>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</si>
  <si>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</si>
  <si>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</si>
  <si>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</si>
  <si>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</si>
  <si>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</si>
  <si>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</si>
  <si>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</si>
  <si>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</si>
  <si>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</si>
  <si>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</si>
  <si>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</si>
  <si>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</si>
  <si>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</si>
  <si>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</si>
  <si>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</si>
  <si>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</si>
  <si>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</si>
  <si>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</si>
  <si>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</si>
  <si>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</si>
  <si>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</si>
  <si>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</si>
  <si>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</si>
  <si>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</si>
  <si>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</si>
  <si>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</si>
  <si>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</si>
  <si>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</si>
  <si>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</si>
  <si>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</si>
  <si>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</si>
  <si>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</si>
  <si>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</si>
  <si>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</si>
  <si>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</si>
  <si>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</si>
  <si>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</si>
  <si>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</si>
  <si>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</si>
  <si>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</si>
  <si>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</si>
  <si>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</si>
  <si>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</si>
  <si>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</si>
  <si>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</si>
  <si>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</si>
  <si>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</si>
  <si>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</si>
  <si>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</si>
  <si>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</si>
  <si>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</si>
  <si>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</si>
  <si>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</si>
  <si>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</si>
  <si>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</si>
  <si>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</si>
  <si>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</si>
  <si>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</si>
  <si>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</si>
  <si>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</si>
  <si>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</si>
  <si>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</si>
  <si>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</si>
  <si>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</si>
  <si>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</si>
  <si>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</si>
  <si>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</si>
  <si>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</si>
  <si>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</si>
  <si>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</si>
  <si>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</si>
  <si>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</si>
  <si>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</si>
  <si>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</si>
  <si>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</si>
  <si>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</si>
  <si>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</si>
  <si>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</si>
  <si>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</si>
  <si>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</si>
  <si>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</si>
  <si>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</si>
  <si>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</si>
  <si>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</si>
  <si>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</si>
  <si>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</si>
  <si>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</si>
  <si>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</si>
  <si>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</si>
  <si>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</si>
  <si>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</si>
  <si>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</si>
  <si>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</si>
  <si>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</si>
  <si>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</si>
  <si>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</si>
  <si>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</si>
  <si>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</si>
  <si>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</si>
  <si>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</si>
  <si>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</si>
  <si>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</si>
  <si>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</si>
  <si>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</si>
  <si>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</si>
  <si>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</si>
  <si>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</si>
  <si>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</si>
  <si>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</si>
  <si>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</si>
  <si>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</si>
  <si>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</si>
  <si>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</si>
  <si>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</si>
  <si>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</si>
  <si>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</si>
  <si>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</si>
  <si>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</si>
  <si>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</si>
  <si>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</si>
  <si>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</si>
  <si>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</si>
  <si>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</si>
  <si>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</si>
  <si>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</si>
  <si>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</si>
  <si>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</si>
  <si>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</si>
  <si>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</si>
  <si>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</si>
  <si>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</si>
  <si>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</si>
  <si>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</si>
  <si>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</si>
  <si>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</si>
  <si>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</si>
  <si>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</si>
  <si>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</si>
  <si>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</si>
  <si>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</si>
  <si>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</si>
  <si>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</si>
  <si>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</si>
  <si>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</si>
  <si>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</si>
  <si>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</si>
  <si>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</si>
  <si>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</si>
  <si>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</si>
  <si>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</si>
  <si>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</si>
  <si>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</si>
  <si>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</si>
  <si>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</si>
  <si>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</si>
  <si>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</si>
  <si>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</si>
  <si>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</si>
  <si>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</si>
  <si>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</si>
  <si>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</si>
  <si>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</si>
  <si>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</si>
  <si>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</si>
  <si>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</si>
  <si>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</si>
  <si>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</si>
  <si>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</si>
  <si>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</si>
  <si>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</si>
  <si>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</si>
  <si>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</si>
  <si>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</si>
  <si>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</si>
  <si>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</si>
  <si>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</si>
  <si>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</si>
  <si>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</si>
  <si>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</si>
  <si>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</si>
  <si>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</si>
  <si>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</si>
  <si>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</si>
  <si>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</si>
  <si>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</si>
  <si>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</si>
  <si>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</si>
  <si>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</si>
  <si>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</si>
  <si>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</si>
  <si>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</si>
  <si>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</si>
  <si>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</si>
  <si>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</si>
  <si>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</si>
  <si>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</si>
  <si>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</si>
  <si>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</si>
  <si>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</si>
  <si>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</si>
  <si>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</si>
  <si>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</si>
  <si>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</si>
  <si>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</si>
  <si>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</si>
  <si>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</si>
  <si>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</si>
  <si>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</si>
  <si>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</si>
  <si>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</si>
  <si>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</si>
  <si>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</si>
  <si>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</si>
  <si>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</si>
  <si>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</si>
  <si>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</si>
  <si>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</si>
  <si>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</si>
  <si>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</si>
  <si>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</si>
  <si>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</si>
  <si>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</si>
  <si>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</si>
  <si>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</si>
  <si>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</si>
  <si>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</si>
  <si>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</si>
  <si>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</si>
  <si>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</si>
  <si>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</si>
  <si>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</si>
  <si>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</si>
  <si>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</si>
  <si>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</si>
  <si>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</si>
  <si>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</si>
  <si>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</si>
  <si>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</si>
  <si>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</si>
  <si>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</si>
  <si>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</si>
  <si>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</si>
  <si>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</si>
  <si>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</si>
  <si>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</si>
  <si>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</si>
  <si>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</si>
  <si>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</si>
  <si>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</si>
  <si>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</si>
  <si>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</si>
  <si>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</si>
  <si>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</si>
  <si>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</si>
  <si>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</si>
  <si>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</si>
  <si>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</si>
  <si>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</si>
  <si>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</si>
  <si>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</si>
  <si>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</si>
  <si>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</si>
  <si>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</si>
  <si>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</si>
  <si>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</si>
  <si>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</si>
  <si>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</si>
  <si>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</si>
  <si>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</si>
  <si>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</si>
  <si>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</si>
  <si>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</si>
  <si>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</si>
  <si>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</si>
  <si>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</si>
  <si>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</si>
  <si>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</si>
  <si>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</si>
  <si>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</si>
  <si>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</si>
  <si>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</si>
  <si>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</si>
  <si>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</si>
  <si>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</si>
  <si>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</si>
  <si>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</si>
  <si>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</si>
  <si>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</si>
  <si>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</si>
  <si>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</si>
  <si>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</si>
  <si>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</si>
  <si>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</si>
  <si>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</si>
  <si>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</si>
  <si>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</si>
  <si>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</si>
  <si>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</si>
  <si>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</si>
  <si>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</si>
  <si>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</si>
  <si>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</si>
  <si>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</si>
  <si>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</si>
  <si>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</si>
  <si>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</si>
  <si>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</si>
  <si>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</si>
  <si>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</si>
  <si>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</si>
  <si>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</si>
  <si>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</si>
  <si>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</si>
  <si>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</si>
  <si>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</si>
  <si>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</si>
  <si>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</si>
  <si>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</si>
  <si>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</si>
  <si>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</si>
  <si>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</si>
  <si>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</si>
  <si>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</si>
  <si>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</si>
  <si>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</si>
  <si>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</si>
  <si>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</si>
  <si>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</si>
  <si>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</si>
  <si>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</si>
  <si>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</si>
  <si>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</si>
  <si>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</si>
  <si>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</si>
  <si>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</si>
  <si>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</si>
  <si>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</si>
  <si>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</si>
  <si>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</si>
  <si>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</si>
  <si>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</si>
  <si>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</si>
  <si>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</si>
  <si>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</si>
  <si>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</si>
  <si>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</si>
  <si>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</si>
  <si>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</si>
  <si>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</si>
  <si>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</si>
  <si>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</si>
  <si>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</si>
  <si>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</si>
  <si>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</si>
  <si>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</si>
  <si>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</si>
  <si>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</si>
  <si>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</si>
  <si>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</si>
  <si>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</si>
  <si>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</si>
  <si>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</si>
  <si>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</si>
  <si>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</si>
  <si>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</si>
  <si>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</si>
  <si>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</si>
  <si>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</si>
  <si>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</si>
  <si>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</si>
  <si>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</si>
  <si>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</si>
  <si>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</si>
  <si>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</si>
  <si>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</si>
  <si>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</si>
  <si>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</si>
  <si>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</si>
  <si>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</si>
  <si>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</si>
  <si>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</si>
  <si>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</si>
  <si>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</si>
  <si>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</si>
  <si>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</si>
  <si>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</si>
  <si>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</si>
  <si>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</si>
  <si>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</si>
  <si>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</si>
  <si>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</si>
  <si>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</si>
  <si>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</si>
  <si>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</si>
  <si>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</si>
  <si>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</si>
  <si>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</si>
  <si>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</si>
  <si>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</si>
  <si>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</si>
  <si>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</si>
  <si>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</si>
  <si>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</si>
  <si>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</si>
  <si>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</si>
  <si>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</si>
  <si>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</si>
  <si>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</si>
  <si>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</si>
  <si>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</si>
  <si>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</si>
  <si>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</si>
  <si>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</si>
  <si>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</si>
  <si>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</si>
  <si>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</si>
  <si>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</si>
  <si>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</si>
  <si>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</si>
  <si>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</si>
  <si>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</si>
  <si>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</si>
  <si>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</si>
  <si>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</si>
  <si>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</si>
  <si>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</si>
  <si>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</si>
  <si>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</si>
  <si>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</si>
  <si>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</si>
  <si>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</si>
  <si>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</si>
  <si>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</si>
  <si>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</si>
  <si>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</si>
  <si>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</si>
  <si>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</si>
  <si>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</si>
  <si>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</si>
  <si>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</si>
  <si>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</si>
  <si>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</si>
  <si>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</si>
  <si>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</si>
  <si>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</si>
  <si>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</si>
  <si>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</si>
  <si>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</si>
  <si>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</si>
  <si>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</si>
  <si>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</si>
  <si>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</si>
  <si>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</si>
  <si>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</si>
  <si>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</si>
  <si>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</si>
  <si>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</si>
  <si>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</si>
  <si>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</si>
  <si>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</si>
  <si>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</si>
  <si>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</si>
  <si>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</si>
  <si>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</si>
  <si>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</si>
  <si>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</si>
  <si>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</si>
  <si>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</si>
  <si>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</si>
  <si>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</si>
  <si>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</si>
  <si>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</si>
  <si>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</si>
  <si>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</si>
  <si>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</si>
  <si>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</si>
  <si>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</si>
  <si>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</si>
  <si>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</si>
  <si>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</si>
  <si>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</si>
  <si>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</si>
  <si>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</si>
  <si>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</si>
  <si>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</si>
  <si>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</si>
  <si>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</si>
  <si>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</si>
  <si>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</si>
  <si>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</si>
  <si>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</si>
  <si>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</si>
  <si>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</si>
  <si>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</si>
  <si>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</si>
  <si>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</si>
  <si>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</si>
  <si>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</si>
  <si>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</si>
  <si>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</si>
  <si>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</si>
  <si>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</si>
  <si>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</si>
  <si>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</si>
  <si>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</si>
  <si>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</si>
  <si>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</si>
  <si>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</si>
  <si>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</si>
  <si>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</si>
  <si>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</si>
  <si>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</si>
  <si>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</si>
  <si>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</si>
  <si>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</si>
  <si>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</si>
  <si>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</si>
  <si>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</si>
  <si>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</si>
  <si>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</si>
  <si>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</si>
  <si>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</si>
  <si>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</si>
  <si>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</si>
  <si>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</si>
  <si>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</si>
  <si>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</si>
  <si>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</si>
  <si>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</si>
  <si>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</si>
  <si>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</si>
  <si>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</si>
  <si>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</si>
  <si>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</si>
  <si>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</si>
  <si>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</si>
  <si>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</si>
  <si>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</si>
  <si>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</si>
  <si>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</si>
  <si>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</si>
  <si>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</si>
  <si>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</si>
  <si>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</si>
  <si>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</si>
  <si>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</si>
  <si>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</si>
  <si>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</si>
  <si>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</si>
  <si>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</si>
  <si>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</si>
  <si>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</si>
  <si>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</si>
  <si>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</si>
  <si>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</si>
  <si>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</si>
  <si>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</si>
  <si>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</si>
  <si>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</si>
  <si>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</si>
  <si>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</si>
  <si>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</si>
  <si>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</si>
  <si>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</si>
  <si>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</si>
  <si>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</si>
  <si>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</si>
  <si>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</si>
  <si>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</si>
  <si>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</si>
  <si>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</si>
  <si>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</si>
  <si>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</si>
  <si>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</si>
  <si>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</si>
  <si>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</si>
  <si>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</si>
  <si>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</si>
  <si>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</si>
  <si>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</si>
  <si>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</si>
  <si>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</si>
  <si>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</si>
  <si>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</si>
  <si>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</si>
  <si>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</si>
  <si>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</si>
  <si>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</si>
  <si>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</si>
  <si>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</si>
  <si>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</si>
  <si>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</si>
  <si>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</si>
  <si>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</si>
  <si>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</si>
  <si>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</si>
  <si>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</si>
  <si>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</si>
  <si>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</si>
  <si>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</si>
  <si>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</si>
  <si>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</si>
  <si>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</si>
  <si>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</si>
  <si>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</si>
  <si>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</si>
  <si>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</si>
  <si>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</si>
  <si>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</si>
  <si>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</si>
  <si>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</si>
  <si>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</si>
  <si>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</si>
  <si>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</si>
  <si>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</si>
  <si>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</si>
  <si>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</si>
  <si>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</si>
  <si>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</si>
  <si>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</si>
  <si>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</si>
  <si>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</si>
  <si>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</si>
  <si>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</si>
  <si>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</si>
  <si>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</si>
  <si>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</si>
  <si>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</si>
  <si>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</si>
  <si>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</si>
  <si>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</si>
  <si>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</si>
  <si>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</si>
  <si>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</si>
  <si>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</si>
  <si>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</si>
  <si>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</si>
  <si>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</si>
  <si>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</si>
  <si>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</si>
  <si>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</si>
  <si>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</si>
  <si>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</si>
  <si>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</si>
  <si>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</si>
  <si>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</si>
  <si>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</si>
  <si>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</si>
  <si>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</si>
  <si>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</si>
  <si>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</si>
  <si>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</si>
  <si>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</si>
  <si>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</si>
  <si>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</si>
  <si>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</si>
  <si>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</si>
  <si>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</si>
  <si>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</si>
  <si>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</si>
  <si>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</si>
  <si>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</si>
  <si>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</si>
  <si>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</si>
  <si>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</si>
  <si>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</si>
  <si>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</si>
  <si>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</si>
  <si>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</si>
  <si>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</si>
  <si>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</si>
  <si>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</si>
  <si>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</si>
  <si>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</si>
  <si>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</si>
  <si>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</si>
  <si>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</si>
  <si>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</si>
  <si>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</si>
  <si>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</si>
  <si>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</si>
  <si>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</si>
  <si>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</si>
  <si>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</si>
  <si>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</si>
  <si>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</si>
  <si>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</si>
  <si>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</si>
  <si>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</si>
  <si>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</si>
  <si>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</si>
  <si>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</si>
  <si>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</si>
  <si>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</si>
  <si>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</si>
  <si>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</si>
  <si>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</si>
  <si>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</si>
  <si>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</si>
  <si>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</si>
  <si>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</si>
  <si>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</si>
  <si>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</si>
  <si>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</si>
  <si>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</si>
  <si>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</si>
  <si>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</si>
  <si>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</si>
  <si>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</si>
  <si>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</si>
  <si>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</si>
  <si>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</si>
  <si>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</si>
  <si>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</si>
  <si>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</si>
  <si>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</si>
  <si>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</si>
  <si>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</si>
  <si>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</si>
  <si>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</si>
  <si>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</si>
  <si>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</si>
  <si>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</si>
  <si>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</si>
  <si>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</si>
  <si>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</si>
  <si>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</si>
  <si>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</si>
  <si>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</si>
  <si>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</si>
  <si>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</si>
  <si>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</si>
  <si>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</si>
  <si>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</si>
  <si>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</si>
  <si>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</si>
  <si>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</si>
  <si>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</si>
  <si>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</si>
  <si>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</si>
  <si>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</si>
  <si>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</si>
  <si>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</si>
  <si>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</si>
  <si>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</si>
  <si>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</si>
  <si>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</si>
  <si>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</si>
  <si>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</si>
  <si>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</si>
  <si>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</si>
  <si>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</si>
  <si>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</si>
  <si>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</si>
  <si>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</si>
  <si>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</si>
  <si>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</si>
  <si>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</si>
  <si>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</si>
  <si>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</si>
  <si>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</si>
  <si>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</si>
  <si>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</si>
  <si>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</si>
  <si>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</si>
  <si>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</si>
  <si>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</si>
  <si>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</si>
  <si>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</si>
  <si>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</si>
  <si>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</si>
  <si>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</si>
  <si>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</si>
  <si>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</si>
  <si>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</si>
  <si>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</si>
  <si>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</si>
  <si>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</si>
  <si>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</si>
  <si>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</si>
  <si>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</si>
  <si>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</si>
  <si>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</si>
  <si>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</si>
  <si>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</si>
  <si>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</si>
  <si>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</si>
  <si>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</si>
  <si>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</si>
  <si>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</si>
  <si>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</si>
  <si>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</si>
  <si>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</si>
  <si>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</si>
  <si>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</si>
  <si>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</si>
  <si>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</si>
  <si>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</si>
  <si>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</si>
  <si>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</si>
  <si>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</si>
  <si>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</si>
  <si>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</si>
  <si>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</si>
  <si>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</si>
  <si>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</si>
  <si>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</si>
  <si>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</si>
  <si>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</si>
  <si>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</si>
  <si>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</si>
  <si>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</si>
  <si>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</si>
  <si>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</si>
  <si>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</si>
  <si>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</si>
  <si>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</si>
  <si>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</si>
  <si>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</si>
  <si>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</si>
  <si>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</si>
  <si>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</si>
  <si>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</si>
  <si>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</si>
  <si>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</si>
  <si>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</si>
  <si>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</si>
  <si>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</si>
  <si>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</si>
  <si>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</si>
  <si>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</si>
  <si>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</si>
  <si>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</si>
  <si>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</si>
  <si>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</si>
  <si>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</si>
  <si>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</si>
  <si>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</si>
  <si>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</si>
  <si>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</si>
  <si>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</si>
  <si>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</si>
  <si>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</si>
  <si>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</si>
  <si>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</si>
  <si>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</si>
  <si>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</si>
  <si>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</si>
  <si>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</si>
  <si>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</si>
  <si>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</si>
  <si>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</si>
  <si>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</si>
  <si>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</si>
  <si>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</si>
  <si>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</si>
  <si>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</si>
  <si>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</si>
  <si>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</si>
  <si>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</si>
  <si>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</si>
  <si>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</si>
  <si>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</si>
  <si>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</si>
  <si>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</si>
  <si>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</si>
  <si>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</si>
  <si>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</si>
  <si>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</si>
  <si>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</si>
  <si>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</si>
  <si>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</si>
  <si>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</si>
  <si>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</si>
  <si>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</si>
  <si>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</si>
  <si>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</si>
  <si>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</si>
  <si>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</si>
  <si>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</si>
  <si>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</si>
  <si>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</si>
  <si>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</si>
  <si>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</si>
  <si>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</si>
  <si>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</si>
  <si>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</si>
  <si>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</si>
  <si>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</si>
  <si>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</si>
  <si>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</si>
  <si>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</si>
  <si>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</si>
  <si>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</si>
  <si>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</si>
  <si>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</si>
  <si>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</si>
  <si>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</si>
  <si>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</si>
  <si>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</si>
  <si>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</si>
  <si>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</si>
  <si>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</si>
  <si>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</si>
  <si>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</si>
  <si>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</si>
  <si>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</si>
  <si>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</si>
  <si>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</si>
  <si>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</si>
  <si>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</si>
  <si>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</si>
  <si>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</si>
  <si>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</si>
  <si>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</si>
  <si>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</si>
  <si>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</si>
  <si>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</si>
  <si>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</si>
  <si>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</si>
  <si>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</si>
  <si>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</si>
  <si>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</si>
  <si>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</si>
  <si>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</si>
  <si>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</si>
  <si>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</si>
  <si>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</si>
  <si>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</si>
  <si>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</si>
  <si>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</si>
  <si>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</si>
  <si>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</si>
  <si>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</si>
  <si>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</si>
  <si>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</si>
  <si>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</si>
  <si>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</si>
  <si>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</si>
  <si>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</si>
  <si>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</si>
  <si>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</si>
  <si>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</si>
  <si>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</si>
  <si>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</si>
  <si>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</si>
  <si>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</si>
  <si>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</si>
  <si>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</si>
  <si>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</si>
  <si>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</si>
  <si>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</si>
  <si>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</si>
  <si>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</si>
  <si>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</si>
  <si>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</si>
  <si>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</si>
  <si>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</si>
  <si>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</si>
  <si>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</si>
  <si>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</si>
  <si>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</si>
  <si>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</si>
  <si>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</si>
  <si>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</si>
  <si>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</si>
  <si>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</si>
  <si>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</si>
  <si>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</si>
  <si>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</si>
  <si>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</si>
  <si>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</si>
  <si>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</si>
  <si>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</si>
  <si>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</si>
  <si>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</si>
  <si>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</si>
  <si>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</si>
  <si>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</si>
  <si>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</si>
  <si>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</si>
  <si>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</si>
  <si>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</si>
  <si>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</si>
  <si>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</si>
  <si>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</si>
  <si>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</si>
  <si>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</si>
  <si>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</si>
  <si>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</si>
  <si>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</si>
  <si>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</si>
  <si>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</si>
  <si>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</si>
  <si>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</si>
  <si>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</si>
  <si>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</si>
  <si>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</si>
  <si>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</si>
  <si>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</si>
  <si>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</si>
  <si>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</si>
  <si>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</si>
  <si>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</si>
  <si>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</si>
  <si>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</si>
  <si>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</si>
  <si>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</si>
  <si>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</si>
  <si>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</si>
  <si>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</si>
  <si>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</si>
  <si>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</si>
  <si>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</si>
  <si>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</si>
  <si>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</si>
  <si>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</si>
  <si>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</si>
  <si>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</si>
  <si>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</si>
  <si>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</si>
  <si>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</si>
  <si>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</si>
  <si>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</si>
  <si>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</si>
  <si>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</si>
  <si>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</si>
  <si>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</si>
  <si>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</si>
  <si>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</si>
  <si>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</si>
  <si>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</si>
  <si>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</si>
  <si>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</si>
  <si>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</si>
  <si>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</si>
  <si>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</si>
  <si>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</si>
  <si>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</si>
  <si>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</si>
  <si>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</si>
  <si>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</si>
  <si>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</si>
  <si>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</si>
  <si>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</si>
  <si>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</si>
  <si>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</si>
  <si>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</si>
  <si>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</si>
  <si>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</si>
  <si>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</si>
  <si>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</si>
  <si>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</si>
  <si>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</si>
  <si>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</si>
  <si>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</si>
  <si>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</si>
  <si>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</si>
  <si>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</si>
  <si>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</si>
  <si>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</si>
  <si>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</si>
  <si>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</si>
  <si>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</si>
  <si>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</si>
  <si>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</si>
  <si>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</si>
  <si>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</si>
  <si>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</si>
  <si>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</si>
  <si>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</si>
  <si>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</si>
  <si>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</si>
  <si>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</si>
  <si>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</si>
  <si>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</si>
  <si>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</si>
  <si>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</si>
  <si>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</si>
  <si>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</si>
  <si>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</si>
  <si>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</si>
  <si>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</si>
  <si>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</si>
  <si>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</si>
  <si>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</si>
  <si>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</si>
  <si>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</si>
  <si>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</si>
  <si>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</si>
  <si>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</si>
  <si>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</si>
  <si>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</si>
  <si>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</si>
  <si>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</si>
  <si>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</si>
  <si>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</si>
  <si>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</si>
  <si>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</si>
  <si>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</si>
  <si>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</si>
  <si>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</si>
  <si>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</si>
  <si>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</si>
  <si>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</si>
  <si>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</si>
  <si>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</si>
  <si>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</si>
  <si>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</si>
  <si>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</si>
  <si>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</si>
  <si>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</si>
  <si>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</si>
  <si>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</si>
  <si>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</si>
  <si>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</si>
  <si>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</si>
  <si>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</si>
  <si>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</si>
  <si>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</si>
  <si>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</si>
  <si>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</si>
  <si>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</si>
  <si>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</si>
  <si>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</si>
  <si>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</si>
  <si>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</si>
  <si>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</si>
  <si>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</si>
  <si>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</si>
  <si>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</si>
  <si>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</si>
  <si>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</si>
  <si>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</si>
  <si>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</si>
  <si>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</si>
  <si>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</si>
  <si>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</si>
  <si>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</si>
  <si>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</si>
  <si>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</si>
  <si>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</si>
  <si>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</si>
  <si>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</si>
  <si>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</si>
  <si>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</si>
  <si>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</si>
  <si>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</si>
  <si>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</si>
  <si>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</si>
  <si>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</si>
  <si>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</si>
  <si>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</si>
  <si>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</si>
  <si>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</si>
  <si>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</si>
  <si>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</si>
  <si>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</si>
  <si>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</si>
  <si>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</si>
  <si>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</si>
  <si>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</si>
  <si>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</si>
  <si>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</si>
  <si>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</si>
  <si>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</si>
  <si>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</si>
  <si>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</si>
  <si>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</si>
  <si>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</si>
  <si>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</si>
  <si>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</si>
  <si>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</si>
  <si>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</si>
  <si>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</si>
  <si>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</si>
  <si>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</si>
  <si>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</si>
  <si>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</si>
  <si>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</si>
  <si>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</si>
  <si>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</si>
  <si>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</si>
  <si>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</si>
  <si>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</si>
  <si>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</si>
  <si>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</si>
  <si>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</si>
  <si>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</si>
  <si>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</si>
  <si>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</si>
  <si>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</si>
  <si>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</si>
  <si>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</si>
  <si>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</si>
  <si>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</si>
  <si>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</si>
  <si>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</si>
  <si>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</si>
  <si>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</si>
  <si>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</si>
  <si>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</si>
  <si>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</si>
  <si>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</si>
  <si>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</si>
  <si>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</si>
  <si>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</si>
  <si>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</si>
  <si>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</si>
  <si>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</si>
  <si>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</si>
  <si>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</si>
  <si>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</si>
  <si>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</si>
  <si>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《不动产权证书》</t>
  </si>
  <si>
    <t>复印件</t>
  </si>
  <si>
    <t>综合项目（商业、办公）</t>
  </si>
  <si>
    <t>无</t>
  </si>
  <si>
    <t>否</t>
  </si>
  <si>
    <t>在建</t>
  </si>
  <si>
    <t>通路</t>
  </si>
  <si>
    <t>通电</t>
  </si>
  <si>
    <t>通讯</t>
  </si>
  <si>
    <t>通上水</t>
  </si>
  <si>
    <t>通下水</t>
  </si>
  <si>
    <t>通热</t>
  </si>
  <si>
    <t>燃气</t>
  </si>
  <si>
    <t>Ⅳ-通1</t>
  </si>
  <si>
    <t>序号</t>
  </si>
  <si>
    <t>楼号或幢号</t>
  </si>
  <si>
    <t>层数或部位</t>
  </si>
  <si>
    <t>建筑面积</t>
  </si>
  <si>
    <t>分摊土地 面积</t>
  </si>
  <si>
    <t>备注</t>
  </si>
  <si>
    <t>建筑面积</t>
    <phoneticPr fontId="134" type="noConversion"/>
  </si>
  <si>
    <r>
      <t xml:space="preserve">VIII-13 </t>
    </r>
    <r>
      <rPr>
        <sz val="11"/>
        <color rgb="FF000000"/>
        <rFont val="宋体"/>
        <family val="3"/>
        <charset val="134"/>
      </rPr>
      <t>地块地上部分（商务型 公寓、商业及附属用房）</t>
    </r>
  </si>
  <si>
    <r>
      <t xml:space="preserve">1 </t>
    </r>
    <r>
      <rPr>
        <sz val="9.5"/>
        <color rgb="FF000000"/>
        <rFont val="宋体"/>
        <family val="3"/>
        <charset val="134"/>
      </rPr>
      <t xml:space="preserve">单元 </t>
    </r>
    <r>
      <rPr>
        <sz val="9.5"/>
        <color rgb="FF000000"/>
        <rFont val="Times New Roman"/>
        <family val="1"/>
      </rPr>
      <t>601</t>
    </r>
  </si>
  <si>
    <t>预测报告</t>
  </si>
  <si>
    <t>商务型公寓</t>
    <phoneticPr fontId="134" type="noConversion"/>
  </si>
  <si>
    <r>
      <t xml:space="preserve">1 </t>
    </r>
    <r>
      <rPr>
        <sz val="9.5"/>
        <color rgb="FF000000"/>
        <rFont val="宋体"/>
        <family val="3"/>
        <charset val="134"/>
      </rPr>
      <t xml:space="preserve">单元 </t>
    </r>
    <r>
      <rPr>
        <sz val="9.5"/>
        <color rgb="FF000000"/>
        <rFont val="Times New Roman"/>
        <family val="1"/>
      </rPr>
      <t>602</t>
    </r>
  </si>
  <si>
    <t>商业</t>
    <phoneticPr fontId="134" type="noConversion"/>
  </si>
  <si>
    <r>
      <t xml:space="preserve">1 </t>
    </r>
    <r>
      <rPr>
        <sz val="9.5"/>
        <color rgb="FF000000"/>
        <rFont val="宋体"/>
        <family val="3"/>
        <charset val="134"/>
      </rPr>
      <t xml:space="preserve">单元 </t>
    </r>
    <r>
      <rPr>
        <sz val="9.5"/>
        <color rgb="FF000000"/>
        <rFont val="Times New Roman"/>
        <family val="1"/>
      </rPr>
      <t>603</t>
    </r>
  </si>
  <si>
    <t>合计</t>
    <phoneticPr fontId="134" type="noConversion"/>
  </si>
  <si>
    <r>
      <t xml:space="preserve">1 </t>
    </r>
    <r>
      <rPr>
        <sz val="9.5"/>
        <color rgb="FF000000"/>
        <rFont val="宋体"/>
        <family val="3"/>
        <charset val="134"/>
      </rPr>
      <t xml:space="preserve">单元 </t>
    </r>
    <r>
      <rPr>
        <sz val="9.5"/>
        <color rgb="FF000000"/>
        <rFont val="Times New Roman"/>
        <family val="1"/>
      </rPr>
      <t>604</t>
    </r>
  </si>
  <si>
    <r>
      <t xml:space="preserve">1 </t>
    </r>
    <r>
      <rPr>
        <sz val="9.5"/>
        <color rgb="FF000000"/>
        <rFont val="宋体"/>
        <family val="3"/>
        <charset val="134"/>
      </rPr>
      <t xml:space="preserve">单元 </t>
    </r>
    <r>
      <rPr>
        <sz val="9.5"/>
        <color rgb="FF000000"/>
        <rFont val="Times New Roman"/>
        <family val="1"/>
      </rPr>
      <t>605</t>
    </r>
  </si>
  <si>
    <r>
      <t xml:space="preserve">1 </t>
    </r>
    <r>
      <rPr>
        <sz val="9.5"/>
        <color rgb="FF000000"/>
        <rFont val="宋体"/>
        <family val="3"/>
        <charset val="134"/>
      </rPr>
      <t xml:space="preserve">单元 </t>
    </r>
    <r>
      <rPr>
        <sz val="9.5"/>
        <color rgb="FF000000"/>
        <rFont val="Times New Roman"/>
        <family val="1"/>
      </rPr>
      <t>606</t>
    </r>
  </si>
  <si>
    <r>
      <t xml:space="preserve">1 </t>
    </r>
    <r>
      <rPr>
        <sz val="9.5"/>
        <color rgb="FF000000"/>
        <rFont val="宋体"/>
        <family val="3"/>
        <charset val="134"/>
      </rPr>
      <t xml:space="preserve">单元 </t>
    </r>
    <r>
      <rPr>
        <sz val="9.5"/>
        <color rgb="FF000000"/>
        <rFont val="Times New Roman"/>
        <family val="1"/>
      </rPr>
      <t>701</t>
    </r>
  </si>
  <si>
    <r>
      <t xml:space="preserve">1 </t>
    </r>
    <r>
      <rPr>
        <sz val="9.5"/>
        <color rgb="FF000000"/>
        <rFont val="宋体"/>
        <family val="3"/>
        <charset val="134"/>
      </rPr>
      <t xml:space="preserve">单元 </t>
    </r>
    <r>
      <rPr>
        <sz val="9.5"/>
        <color rgb="FF000000"/>
        <rFont val="Times New Roman"/>
        <family val="1"/>
      </rPr>
      <t>702</t>
    </r>
  </si>
  <si>
    <r>
      <t xml:space="preserve">1 </t>
    </r>
    <r>
      <rPr>
        <sz val="9.5"/>
        <color rgb="FF000000"/>
        <rFont val="宋体"/>
        <family val="3"/>
        <charset val="134"/>
      </rPr>
      <t xml:space="preserve">单元 </t>
    </r>
    <r>
      <rPr>
        <sz val="9.5"/>
        <color rgb="FF000000"/>
        <rFont val="Times New Roman"/>
        <family val="1"/>
      </rPr>
      <t>703</t>
    </r>
  </si>
  <si>
    <r>
      <t xml:space="preserve">1 </t>
    </r>
    <r>
      <rPr>
        <sz val="9.5"/>
        <color rgb="FF000000"/>
        <rFont val="宋体"/>
        <family val="3"/>
        <charset val="134"/>
      </rPr>
      <t xml:space="preserve">单元 </t>
    </r>
    <r>
      <rPr>
        <sz val="9.5"/>
        <color rgb="FF000000"/>
        <rFont val="Times New Roman"/>
        <family val="1"/>
      </rPr>
      <t>704</t>
    </r>
  </si>
  <si>
    <r>
      <t xml:space="preserve">1 </t>
    </r>
    <r>
      <rPr>
        <sz val="9.5"/>
        <color rgb="FF000000"/>
        <rFont val="宋体"/>
        <family val="3"/>
        <charset val="134"/>
      </rPr>
      <t xml:space="preserve">单元 </t>
    </r>
    <r>
      <rPr>
        <sz val="9.5"/>
        <color rgb="FF000000"/>
        <rFont val="Times New Roman"/>
        <family val="1"/>
      </rPr>
      <t>705</t>
    </r>
  </si>
  <si>
    <r>
      <t xml:space="preserve">1 </t>
    </r>
    <r>
      <rPr>
        <sz val="9.5"/>
        <color rgb="FF000000"/>
        <rFont val="宋体"/>
        <family val="3"/>
        <charset val="134"/>
      </rPr>
      <t xml:space="preserve">单元 </t>
    </r>
    <r>
      <rPr>
        <sz val="9.5"/>
        <color rgb="FF000000"/>
        <rFont val="Times New Roman"/>
        <family val="1"/>
      </rPr>
      <t>706</t>
    </r>
  </si>
  <si>
    <r>
      <t xml:space="preserve">1 </t>
    </r>
    <r>
      <rPr>
        <sz val="9.5"/>
        <color rgb="FF000000"/>
        <rFont val="宋体"/>
        <family val="3"/>
        <charset val="134"/>
      </rPr>
      <t xml:space="preserve">单元 </t>
    </r>
    <r>
      <rPr>
        <sz val="9.5"/>
        <color rgb="FF000000"/>
        <rFont val="Times New Roman"/>
        <family val="1"/>
      </rPr>
      <t>801</t>
    </r>
  </si>
  <si>
    <r>
      <t xml:space="preserve">1 </t>
    </r>
    <r>
      <rPr>
        <sz val="9.5"/>
        <color rgb="FF000000"/>
        <rFont val="宋体"/>
        <family val="3"/>
        <charset val="134"/>
      </rPr>
      <t xml:space="preserve">单元 </t>
    </r>
    <r>
      <rPr>
        <sz val="9.5"/>
        <color rgb="FF000000"/>
        <rFont val="Times New Roman"/>
        <family val="1"/>
      </rPr>
      <t>802</t>
    </r>
  </si>
  <si>
    <r>
      <t xml:space="preserve">1 </t>
    </r>
    <r>
      <rPr>
        <sz val="9.5"/>
        <color rgb="FF000000"/>
        <rFont val="宋体"/>
        <family val="3"/>
        <charset val="134"/>
      </rPr>
      <t xml:space="preserve">单元 </t>
    </r>
    <r>
      <rPr>
        <sz val="9.5"/>
        <color rgb="FF000000"/>
        <rFont val="Times New Roman"/>
        <family val="1"/>
      </rPr>
      <t>803</t>
    </r>
  </si>
  <si>
    <r>
      <t xml:space="preserve">1 </t>
    </r>
    <r>
      <rPr>
        <sz val="9.5"/>
        <color rgb="FF000000"/>
        <rFont val="宋体"/>
        <family val="3"/>
        <charset val="134"/>
      </rPr>
      <t xml:space="preserve">单元 </t>
    </r>
    <r>
      <rPr>
        <sz val="9.5"/>
        <color rgb="FF000000"/>
        <rFont val="Times New Roman"/>
        <family val="1"/>
      </rPr>
      <t>804</t>
    </r>
  </si>
  <si>
    <r>
      <t xml:space="preserve">1 </t>
    </r>
    <r>
      <rPr>
        <sz val="9.5"/>
        <color rgb="FF000000"/>
        <rFont val="宋体"/>
        <family val="3"/>
        <charset val="134"/>
      </rPr>
      <t xml:space="preserve">单元 </t>
    </r>
    <r>
      <rPr>
        <sz val="9.5"/>
        <color rgb="FF000000"/>
        <rFont val="Times New Roman"/>
        <family val="1"/>
      </rPr>
      <t>805</t>
    </r>
  </si>
  <si>
    <r>
      <t xml:space="preserve">1 </t>
    </r>
    <r>
      <rPr>
        <sz val="9.5"/>
        <color rgb="FF000000"/>
        <rFont val="宋体"/>
        <family val="3"/>
        <charset val="134"/>
      </rPr>
      <t xml:space="preserve">单元 </t>
    </r>
    <r>
      <rPr>
        <sz val="9.5"/>
        <color rgb="FF000000"/>
        <rFont val="Times New Roman"/>
        <family val="1"/>
      </rPr>
      <t>806</t>
    </r>
  </si>
  <si>
    <r>
      <t xml:space="preserve">1 </t>
    </r>
    <r>
      <rPr>
        <sz val="9.5"/>
        <color rgb="FF000000"/>
        <rFont val="宋体"/>
        <family val="3"/>
        <charset val="134"/>
      </rPr>
      <t xml:space="preserve">单元 </t>
    </r>
    <r>
      <rPr>
        <sz val="9.5"/>
        <color rgb="FF000000"/>
        <rFont val="Times New Roman"/>
        <family val="1"/>
      </rPr>
      <t>901</t>
    </r>
  </si>
  <si>
    <r>
      <t xml:space="preserve">1 </t>
    </r>
    <r>
      <rPr>
        <sz val="9.5"/>
        <color rgb="FF000000"/>
        <rFont val="宋体"/>
        <family val="3"/>
        <charset val="134"/>
      </rPr>
      <t xml:space="preserve">单元 </t>
    </r>
    <r>
      <rPr>
        <sz val="9.5"/>
        <color rgb="FF000000"/>
        <rFont val="Times New Roman"/>
        <family val="1"/>
      </rPr>
      <t>902</t>
    </r>
  </si>
  <si>
    <r>
      <t xml:space="preserve">1 </t>
    </r>
    <r>
      <rPr>
        <sz val="9.5"/>
        <color rgb="FF000000"/>
        <rFont val="宋体"/>
        <family val="3"/>
        <charset val="134"/>
      </rPr>
      <t xml:space="preserve">单元 </t>
    </r>
    <r>
      <rPr>
        <sz val="9.5"/>
        <color rgb="FF000000"/>
        <rFont val="Times New Roman"/>
        <family val="1"/>
      </rPr>
      <t>903</t>
    </r>
  </si>
  <si>
    <r>
      <t xml:space="preserve">1 </t>
    </r>
    <r>
      <rPr>
        <sz val="9.5"/>
        <color rgb="FF000000"/>
        <rFont val="宋体"/>
        <family val="3"/>
        <charset val="134"/>
      </rPr>
      <t xml:space="preserve">单元 </t>
    </r>
    <r>
      <rPr>
        <sz val="9.5"/>
        <color rgb="FF000000"/>
        <rFont val="Times New Roman"/>
        <family val="1"/>
      </rPr>
      <t>904</t>
    </r>
  </si>
  <si>
    <r>
      <t xml:space="preserve">1 </t>
    </r>
    <r>
      <rPr>
        <sz val="9.5"/>
        <color rgb="FF000000"/>
        <rFont val="宋体"/>
        <family val="3"/>
        <charset val="134"/>
      </rPr>
      <t xml:space="preserve">单元 </t>
    </r>
    <r>
      <rPr>
        <sz val="9.5"/>
        <color rgb="FF000000"/>
        <rFont val="Times New Roman"/>
        <family val="1"/>
      </rPr>
      <t>905</t>
    </r>
  </si>
  <si>
    <r>
      <t xml:space="preserve">1 </t>
    </r>
    <r>
      <rPr>
        <sz val="9.5"/>
        <color rgb="FF000000"/>
        <rFont val="宋体"/>
        <family val="3"/>
        <charset val="134"/>
      </rPr>
      <t xml:space="preserve">单元 </t>
    </r>
    <r>
      <rPr>
        <sz val="9.5"/>
        <color rgb="FF000000"/>
        <rFont val="Times New Roman"/>
        <family val="1"/>
      </rPr>
      <t>906</t>
    </r>
  </si>
  <si>
    <r>
      <t xml:space="preserve">1 </t>
    </r>
    <r>
      <rPr>
        <sz val="9.5"/>
        <color rgb="FF000000"/>
        <rFont val="宋体"/>
        <family val="3"/>
        <charset val="134"/>
      </rPr>
      <t xml:space="preserve">单元 </t>
    </r>
    <r>
      <rPr>
        <sz val="9.5"/>
        <color rgb="FF000000"/>
        <rFont val="Times New Roman"/>
        <family val="1"/>
      </rPr>
      <t>1001</t>
    </r>
  </si>
  <si>
    <r>
      <t xml:space="preserve">1 </t>
    </r>
    <r>
      <rPr>
        <sz val="9.5"/>
        <color rgb="FF000000"/>
        <rFont val="宋体"/>
        <family val="3"/>
        <charset val="134"/>
      </rPr>
      <t xml:space="preserve">单元 </t>
    </r>
    <r>
      <rPr>
        <sz val="9.5"/>
        <color rgb="FF000000"/>
        <rFont val="Times New Roman"/>
        <family val="1"/>
      </rPr>
      <t>1002</t>
    </r>
  </si>
  <si>
    <r>
      <t xml:space="preserve">1 </t>
    </r>
    <r>
      <rPr>
        <sz val="9.5"/>
        <color rgb="FF000000"/>
        <rFont val="宋体"/>
        <family val="3"/>
        <charset val="134"/>
      </rPr>
      <t xml:space="preserve">单元 </t>
    </r>
    <r>
      <rPr>
        <sz val="9.5"/>
        <color rgb="FF000000"/>
        <rFont val="Times New Roman"/>
        <family val="1"/>
      </rPr>
      <t>1003</t>
    </r>
  </si>
  <si>
    <r>
      <t xml:space="preserve">1 </t>
    </r>
    <r>
      <rPr>
        <sz val="9.5"/>
        <color rgb="FF000000"/>
        <rFont val="宋体"/>
        <family val="3"/>
        <charset val="134"/>
      </rPr>
      <t xml:space="preserve">单元 </t>
    </r>
    <r>
      <rPr>
        <sz val="9.5"/>
        <color rgb="FF000000"/>
        <rFont val="Times New Roman"/>
        <family val="1"/>
      </rPr>
      <t>1004</t>
    </r>
  </si>
  <si>
    <r>
      <t xml:space="preserve">1 </t>
    </r>
    <r>
      <rPr>
        <sz val="9.5"/>
        <color rgb="FF000000"/>
        <rFont val="宋体"/>
        <family val="3"/>
        <charset val="134"/>
      </rPr>
      <t xml:space="preserve">单元 </t>
    </r>
    <r>
      <rPr>
        <sz val="9.5"/>
        <color rgb="FF000000"/>
        <rFont val="Times New Roman"/>
        <family val="1"/>
      </rPr>
      <t>1005</t>
    </r>
  </si>
  <si>
    <r>
      <t xml:space="preserve">1 </t>
    </r>
    <r>
      <rPr>
        <sz val="9.5"/>
        <color rgb="FF000000"/>
        <rFont val="宋体"/>
        <family val="3"/>
        <charset val="134"/>
      </rPr>
      <t xml:space="preserve">单元 </t>
    </r>
    <r>
      <rPr>
        <sz val="9.5"/>
        <color rgb="FF000000"/>
        <rFont val="Times New Roman"/>
        <family val="1"/>
      </rPr>
      <t>1006</t>
    </r>
  </si>
  <si>
    <r>
      <t xml:space="preserve">1 </t>
    </r>
    <r>
      <rPr>
        <sz val="9.5"/>
        <color rgb="FF000000"/>
        <rFont val="宋体"/>
        <family val="3"/>
        <charset val="134"/>
      </rPr>
      <t xml:space="preserve">单元 </t>
    </r>
    <r>
      <rPr>
        <sz val="9.5"/>
        <color rgb="FF000000"/>
        <rFont val="Times New Roman"/>
        <family val="1"/>
      </rPr>
      <t>1101</t>
    </r>
  </si>
  <si>
    <r>
      <t xml:space="preserve">1 </t>
    </r>
    <r>
      <rPr>
        <sz val="9.5"/>
        <color rgb="FF000000"/>
        <rFont val="宋体"/>
        <family val="3"/>
        <charset val="134"/>
      </rPr>
      <t xml:space="preserve">单元 </t>
    </r>
    <r>
      <rPr>
        <sz val="9.5"/>
        <color rgb="FF000000"/>
        <rFont val="Times New Roman"/>
        <family val="1"/>
      </rPr>
      <t>1102</t>
    </r>
  </si>
  <si>
    <r>
      <t xml:space="preserve">1 </t>
    </r>
    <r>
      <rPr>
        <sz val="9.5"/>
        <color rgb="FF000000"/>
        <rFont val="宋体"/>
        <family val="3"/>
        <charset val="134"/>
      </rPr>
      <t xml:space="preserve">单元 </t>
    </r>
    <r>
      <rPr>
        <sz val="9.5"/>
        <color rgb="FF000000"/>
        <rFont val="Times New Roman"/>
        <family val="1"/>
      </rPr>
      <t>1103</t>
    </r>
  </si>
  <si>
    <r>
      <t xml:space="preserve">1 </t>
    </r>
    <r>
      <rPr>
        <sz val="9.5"/>
        <color rgb="FF000000"/>
        <rFont val="宋体"/>
        <family val="3"/>
        <charset val="134"/>
      </rPr>
      <t xml:space="preserve">单元 </t>
    </r>
    <r>
      <rPr>
        <sz val="9.5"/>
        <color rgb="FF000000"/>
        <rFont val="Times New Roman"/>
        <family val="1"/>
      </rPr>
      <t>1104</t>
    </r>
  </si>
  <si>
    <r>
      <t xml:space="preserve">1 </t>
    </r>
    <r>
      <rPr>
        <sz val="9.5"/>
        <color rgb="FF000000"/>
        <rFont val="宋体"/>
        <family val="3"/>
        <charset val="134"/>
      </rPr>
      <t xml:space="preserve">单元 </t>
    </r>
    <r>
      <rPr>
        <sz val="9.5"/>
        <color rgb="FF000000"/>
        <rFont val="Times New Roman"/>
        <family val="1"/>
      </rPr>
      <t>1105</t>
    </r>
  </si>
  <si>
    <r>
      <t xml:space="preserve">1 </t>
    </r>
    <r>
      <rPr>
        <sz val="9.5"/>
        <color rgb="FF000000"/>
        <rFont val="宋体"/>
        <family val="3"/>
        <charset val="134"/>
      </rPr>
      <t xml:space="preserve">单元 </t>
    </r>
    <r>
      <rPr>
        <sz val="9.5"/>
        <color rgb="FF000000"/>
        <rFont val="Times New Roman"/>
        <family val="1"/>
      </rPr>
      <t>1106</t>
    </r>
  </si>
  <si>
    <r>
      <t xml:space="preserve">1 </t>
    </r>
    <r>
      <rPr>
        <sz val="9.5"/>
        <color rgb="FF000000"/>
        <rFont val="宋体"/>
        <family val="3"/>
        <charset val="134"/>
      </rPr>
      <t xml:space="preserve">单元 </t>
    </r>
    <r>
      <rPr>
        <sz val="9.5"/>
        <color rgb="FF000000"/>
        <rFont val="Times New Roman"/>
        <family val="1"/>
      </rPr>
      <t>1201</t>
    </r>
  </si>
  <si>
    <r>
      <t xml:space="preserve">1 </t>
    </r>
    <r>
      <rPr>
        <sz val="9.5"/>
        <color rgb="FF000000"/>
        <rFont val="宋体"/>
        <family val="3"/>
        <charset val="134"/>
      </rPr>
      <t xml:space="preserve">单元 </t>
    </r>
    <r>
      <rPr>
        <sz val="9.5"/>
        <color rgb="FF000000"/>
        <rFont val="Times New Roman"/>
        <family val="1"/>
      </rPr>
      <t>1202</t>
    </r>
  </si>
  <si>
    <r>
      <t xml:space="preserve">1 </t>
    </r>
    <r>
      <rPr>
        <sz val="9.5"/>
        <color rgb="FF000000"/>
        <rFont val="宋体"/>
        <family val="3"/>
        <charset val="134"/>
      </rPr>
      <t xml:space="preserve">单元 </t>
    </r>
    <r>
      <rPr>
        <sz val="9.5"/>
        <color rgb="FF000000"/>
        <rFont val="Times New Roman"/>
        <family val="1"/>
      </rPr>
      <t>1203</t>
    </r>
  </si>
  <si>
    <r>
      <t xml:space="preserve">1 </t>
    </r>
    <r>
      <rPr>
        <sz val="9.5"/>
        <color rgb="FF000000"/>
        <rFont val="宋体"/>
        <family val="3"/>
        <charset val="134"/>
      </rPr>
      <t xml:space="preserve">单元 </t>
    </r>
    <r>
      <rPr>
        <sz val="9.5"/>
        <color rgb="FF000000"/>
        <rFont val="Times New Roman"/>
        <family val="1"/>
      </rPr>
      <t>1204</t>
    </r>
  </si>
  <si>
    <r>
      <t xml:space="preserve">1 </t>
    </r>
    <r>
      <rPr>
        <sz val="9.5"/>
        <color rgb="FF000000"/>
        <rFont val="宋体"/>
        <family val="3"/>
        <charset val="134"/>
      </rPr>
      <t xml:space="preserve">单元 </t>
    </r>
    <r>
      <rPr>
        <sz val="9.5"/>
        <color rgb="FF000000"/>
        <rFont val="Times New Roman"/>
        <family val="1"/>
      </rPr>
      <t>1205</t>
    </r>
  </si>
  <si>
    <r>
      <t xml:space="preserve">1 </t>
    </r>
    <r>
      <rPr>
        <sz val="9.5"/>
        <color rgb="FF000000"/>
        <rFont val="宋体"/>
        <family val="3"/>
        <charset val="134"/>
      </rPr>
      <t xml:space="preserve">单元 </t>
    </r>
    <r>
      <rPr>
        <sz val="9.5"/>
        <color rgb="FF000000"/>
        <rFont val="Times New Roman"/>
        <family val="1"/>
      </rPr>
      <t>1206</t>
    </r>
  </si>
  <si>
    <r>
      <t xml:space="preserve">1 </t>
    </r>
    <r>
      <rPr>
        <sz val="9.5"/>
        <color rgb="FF000000"/>
        <rFont val="宋体"/>
        <family val="3"/>
        <charset val="134"/>
      </rPr>
      <t xml:space="preserve">单元 </t>
    </r>
    <r>
      <rPr>
        <sz val="9.5"/>
        <color rgb="FF000000"/>
        <rFont val="Times New Roman"/>
        <family val="1"/>
      </rPr>
      <t>1401</t>
    </r>
  </si>
  <si>
    <r>
      <t xml:space="preserve">1 </t>
    </r>
    <r>
      <rPr>
        <sz val="9.5"/>
        <color rgb="FF000000"/>
        <rFont val="宋体"/>
        <family val="3"/>
        <charset val="134"/>
      </rPr>
      <t xml:space="preserve">单元 </t>
    </r>
    <r>
      <rPr>
        <sz val="9.5"/>
        <color rgb="FF000000"/>
        <rFont val="Times New Roman"/>
        <family val="1"/>
      </rPr>
      <t>1402</t>
    </r>
  </si>
  <si>
    <r>
      <t xml:space="preserve">1 </t>
    </r>
    <r>
      <rPr>
        <sz val="9.5"/>
        <color rgb="FF000000"/>
        <rFont val="宋体"/>
        <family val="3"/>
        <charset val="134"/>
      </rPr>
      <t xml:space="preserve">单元 </t>
    </r>
    <r>
      <rPr>
        <sz val="9.5"/>
        <color rgb="FF000000"/>
        <rFont val="Times New Roman"/>
        <family val="1"/>
      </rPr>
      <t>1403</t>
    </r>
  </si>
  <si>
    <r>
      <t xml:space="preserve">1 </t>
    </r>
    <r>
      <rPr>
        <sz val="9.5"/>
        <color rgb="FF000000"/>
        <rFont val="宋体"/>
        <family val="3"/>
        <charset val="134"/>
      </rPr>
      <t xml:space="preserve">单元 </t>
    </r>
    <r>
      <rPr>
        <sz val="9.5"/>
        <color rgb="FF000000"/>
        <rFont val="Times New Roman"/>
        <family val="1"/>
      </rPr>
      <t>1404</t>
    </r>
  </si>
  <si>
    <r>
      <t xml:space="preserve">1 </t>
    </r>
    <r>
      <rPr>
        <sz val="9.5"/>
        <color rgb="FF000000"/>
        <rFont val="宋体"/>
        <family val="3"/>
        <charset val="134"/>
      </rPr>
      <t xml:space="preserve">单元 </t>
    </r>
    <r>
      <rPr>
        <sz val="9.5"/>
        <color rgb="FF000000"/>
        <rFont val="Times New Roman"/>
        <family val="1"/>
      </rPr>
      <t>1405</t>
    </r>
  </si>
  <si>
    <r>
      <t xml:space="preserve">1 </t>
    </r>
    <r>
      <rPr>
        <sz val="9.5"/>
        <color rgb="FF000000"/>
        <rFont val="宋体"/>
        <family val="3"/>
        <charset val="134"/>
      </rPr>
      <t xml:space="preserve">单元 </t>
    </r>
    <r>
      <rPr>
        <sz val="9.5"/>
        <color rgb="FF000000"/>
        <rFont val="Times New Roman"/>
        <family val="1"/>
      </rPr>
      <t>1406</t>
    </r>
  </si>
  <si>
    <r>
      <t xml:space="preserve">1 </t>
    </r>
    <r>
      <rPr>
        <sz val="9.5"/>
        <color rgb="FF000000"/>
        <rFont val="宋体"/>
        <family val="3"/>
        <charset val="134"/>
      </rPr>
      <t xml:space="preserve">单元 </t>
    </r>
    <r>
      <rPr>
        <sz val="9.5"/>
        <color rgb="FF000000"/>
        <rFont val="Times New Roman"/>
        <family val="1"/>
      </rPr>
      <t>1501</t>
    </r>
  </si>
  <si>
    <r>
      <t xml:space="preserve">1 </t>
    </r>
    <r>
      <rPr>
        <sz val="9.5"/>
        <color rgb="FF000000"/>
        <rFont val="宋体"/>
        <family val="3"/>
        <charset val="134"/>
      </rPr>
      <t xml:space="preserve">单元 </t>
    </r>
    <r>
      <rPr>
        <sz val="9.5"/>
        <color rgb="FF000000"/>
        <rFont val="Times New Roman"/>
        <family val="1"/>
      </rPr>
      <t>1502</t>
    </r>
  </si>
  <si>
    <r>
      <t xml:space="preserve">1 </t>
    </r>
    <r>
      <rPr>
        <sz val="9.5"/>
        <color rgb="FF000000"/>
        <rFont val="宋体"/>
        <family val="3"/>
        <charset val="134"/>
      </rPr>
      <t xml:space="preserve">单元 </t>
    </r>
    <r>
      <rPr>
        <sz val="9.5"/>
        <color rgb="FF000000"/>
        <rFont val="Times New Roman"/>
        <family val="1"/>
      </rPr>
      <t>1503</t>
    </r>
  </si>
  <si>
    <r>
      <t xml:space="preserve">1 </t>
    </r>
    <r>
      <rPr>
        <sz val="9.5"/>
        <color rgb="FF000000"/>
        <rFont val="宋体"/>
        <family val="3"/>
        <charset val="134"/>
      </rPr>
      <t xml:space="preserve">单元 </t>
    </r>
    <r>
      <rPr>
        <sz val="9.5"/>
        <color rgb="FF000000"/>
        <rFont val="Times New Roman"/>
        <family val="1"/>
      </rPr>
      <t>1504</t>
    </r>
  </si>
  <si>
    <r>
      <t xml:space="preserve">1 </t>
    </r>
    <r>
      <rPr>
        <sz val="9.5"/>
        <color rgb="FF000000"/>
        <rFont val="宋体"/>
        <family val="3"/>
        <charset val="134"/>
      </rPr>
      <t xml:space="preserve">单元 </t>
    </r>
    <r>
      <rPr>
        <sz val="9.5"/>
        <color rgb="FF000000"/>
        <rFont val="Times New Roman"/>
        <family val="1"/>
      </rPr>
      <t>1505</t>
    </r>
  </si>
  <si>
    <r>
      <t xml:space="preserve">1 </t>
    </r>
    <r>
      <rPr>
        <sz val="9.5"/>
        <color rgb="FF000000"/>
        <rFont val="宋体"/>
        <family val="3"/>
        <charset val="134"/>
      </rPr>
      <t xml:space="preserve">单元 </t>
    </r>
    <r>
      <rPr>
        <sz val="9.5"/>
        <color rgb="FF000000"/>
        <rFont val="Times New Roman"/>
        <family val="1"/>
      </rPr>
      <t>1506</t>
    </r>
  </si>
  <si>
    <r>
      <t xml:space="preserve">1 </t>
    </r>
    <r>
      <rPr>
        <sz val="9.5"/>
        <color rgb="FF000000"/>
        <rFont val="宋体"/>
        <family val="3"/>
        <charset val="134"/>
      </rPr>
      <t xml:space="preserve">单元 </t>
    </r>
    <r>
      <rPr>
        <sz val="9.5"/>
        <color rgb="FF000000"/>
        <rFont val="Times New Roman"/>
        <family val="1"/>
      </rPr>
      <t>1601</t>
    </r>
  </si>
  <si>
    <r>
      <t xml:space="preserve">1 </t>
    </r>
    <r>
      <rPr>
        <sz val="9.5"/>
        <color rgb="FF000000"/>
        <rFont val="宋体"/>
        <family val="3"/>
        <charset val="134"/>
      </rPr>
      <t xml:space="preserve">单元 </t>
    </r>
    <r>
      <rPr>
        <sz val="9.5"/>
        <color rgb="FF000000"/>
        <rFont val="Times New Roman"/>
        <family val="1"/>
      </rPr>
      <t>1602</t>
    </r>
  </si>
  <si>
    <r>
      <t xml:space="preserve">VIII-13 </t>
    </r>
    <r>
      <rPr>
        <sz val="11"/>
        <color rgb="FF000000"/>
        <rFont val="宋体"/>
        <family val="3"/>
        <charset val="134"/>
      </rPr>
      <t>地块地上部分（商务型</t>
    </r>
  </si>
  <si>
    <r>
      <t xml:space="preserve">1 </t>
    </r>
    <r>
      <rPr>
        <sz val="9.5"/>
        <color rgb="FF000000"/>
        <rFont val="宋体"/>
        <family val="3"/>
        <charset val="134"/>
      </rPr>
      <t xml:space="preserve">单元 </t>
    </r>
    <r>
      <rPr>
        <sz val="9.5"/>
        <color rgb="FF000000"/>
        <rFont val="Times New Roman"/>
        <family val="1"/>
      </rPr>
      <t>1603</t>
    </r>
  </si>
  <si>
    <r>
      <t xml:space="preserve">1 </t>
    </r>
    <r>
      <rPr>
        <sz val="9.5"/>
        <color rgb="FF000000"/>
        <rFont val="宋体"/>
        <family val="3"/>
        <charset val="134"/>
      </rPr>
      <t xml:space="preserve">单元 </t>
    </r>
    <r>
      <rPr>
        <sz val="9.5"/>
        <color rgb="FF000000"/>
        <rFont val="Times New Roman"/>
        <family val="1"/>
      </rPr>
      <t>1604</t>
    </r>
  </si>
  <si>
    <r>
      <t xml:space="preserve">1 </t>
    </r>
    <r>
      <rPr>
        <sz val="9.5"/>
        <color rgb="FF000000"/>
        <rFont val="宋体"/>
        <family val="3"/>
        <charset val="134"/>
      </rPr>
      <t xml:space="preserve">单元 </t>
    </r>
    <r>
      <rPr>
        <sz val="9.5"/>
        <color rgb="FF000000"/>
        <rFont val="Times New Roman"/>
        <family val="1"/>
      </rPr>
      <t>1605</t>
    </r>
  </si>
  <si>
    <r>
      <t xml:space="preserve">1 </t>
    </r>
    <r>
      <rPr>
        <sz val="9.5"/>
        <color rgb="FF000000"/>
        <rFont val="宋体"/>
        <family val="3"/>
        <charset val="134"/>
      </rPr>
      <t xml:space="preserve">单元 </t>
    </r>
    <r>
      <rPr>
        <sz val="9.5"/>
        <color rgb="FF000000"/>
        <rFont val="Times New Roman"/>
        <family val="1"/>
      </rPr>
      <t>1606</t>
    </r>
  </si>
  <si>
    <r>
      <t xml:space="preserve">1 </t>
    </r>
    <r>
      <rPr>
        <sz val="9.5"/>
        <color rgb="FF000000"/>
        <rFont val="宋体"/>
        <family val="3"/>
        <charset val="134"/>
      </rPr>
      <t xml:space="preserve">单元 </t>
    </r>
    <r>
      <rPr>
        <sz val="9.5"/>
        <color rgb="FF000000"/>
        <rFont val="Times New Roman"/>
        <family val="1"/>
      </rPr>
      <t>1701</t>
    </r>
  </si>
  <si>
    <r>
      <t xml:space="preserve">1 </t>
    </r>
    <r>
      <rPr>
        <sz val="9.5"/>
        <color rgb="FF000000"/>
        <rFont val="宋体"/>
        <family val="3"/>
        <charset val="134"/>
      </rPr>
      <t xml:space="preserve">单元 </t>
    </r>
    <r>
      <rPr>
        <sz val="9.5"/>
        <color rgb="FF000000"/>
        <rFont val="Times New Roman"/>
        <family val="1"/>
      </rPr>
      <t>1702</t>
    </r>
  </si>
  <si>
    <r>
      <t xml:space="preserve">1 </t>
    </r>
    <r>
      <rPr>
        <sz val="9.5"/>
        <color rgb="FF000000"/>
        <rFont val="宋体"/>
        <family val="3"/>
        <charset val="134"/>
      </rPr>
      <t xml:space="preserve">单元 </t>
    </r>
    <r>
      <rPr>
        <sz val="9.5"/>
        <color rgb="FF000000"/>
        <rFont val="Times New Roman"/>
        <family val="1"/>
      </rPr>
      <t>1703</t>
    </r>
  </si>
  <si>
    <r>
      <t xml:space="preserve">1 </t>
    </r>
    <r>
      <rPr>
        <sz val="9.5"/>
        <color rgb="FF000000"/>
        <rFont val="宋体"/>
        <family val="3"/>
        <charset val="134"/>
      </rPr>
      <t xml:space="preserve">单元 </t>
    </r>
    <r>
      <rPr>
        <sz val="9.5"/>
        <color rgb="FF000000"/>
        <rFont val="Times New Roman"/>
        <family val="1"/>
      </rPr>
      <t>1704</t>
    </r>
  </si>
  <si>
    <r>
      <t xml:space="preserve">1 </t>
    </r>
    <r>
      <rPr>
        <sz val="9.5"/>
        <color rgb="FF000000"/>
        <rFont val="宋体"/>
        <family val="3"/>
        <charset val="134"/>
      </rPr>
      <t xml:space="preserve">单元 </t>
    </r>
    <r>
      <rPr>
        <sz val="9.5"/>
        <color rgb="FF000000"/>
        <rFont val="Times New Roman"/>
        <family val="1"/>
      </rPr>
      <t>1705</t>
    </r>
  </si>
  <si>
    <r>
      <t xml:space="preserve">1 </t>
    </r>
    <r>
      <rPr>
        <sz val="9.5"/>
        <color rgb="FF000000"/>
        <rFont val="宋体"/>
        <family val="3"/>
        <charset val="134"/>
      </rPr>
      <t xml:space="preserve">单元 </t>
    </r>
    <r>
      <rPr>
        <sz val="9.5"/>
        <color rgb="FF000000"/>
        <rFont val="Times New Roman"/>
        <family val="1"/>
      </rPr>
      <t>1706</t>
    </r>
  </si>
  <si>
    <r>
      <t xml:space="preserve">1 </t>
    </r>
    <r>
      <rPr>
        <sz val="9.5"/>
        <color rgb="FF000000"/>
        <rFont val="宋体"/>
        <family val="3"/>
        <charset val="134"/>
      </rPr>
      <t xml:space="preserve">单元 </t>
    </r>
    <r>
      <rPr>
        <sz val="9.5"/>
        <color rgb="FF000000"/>
        <rFont val="Times New Roman"/>
        <family val="1"/>
      </rPr>
      <t>1801</t>
    </r>
  </si>
  <si>
    <r>
      <t xml:space="preserve">1 </t>
    </r>
    <r>
      <rPr>
        <sz val="9.5"/>
        <color rgb="FF000000"/>
        <rFont val="宋体"/>
        <family val="3"/>
        <charset val="134"/>
      </rPr>
      <t xml:space="preserve">单元 </t>
    </r>
    <r>
      <rPr>
        <sz val="9.5"/>
        <color rgb="FF000000"/>
        <rFont val="Times New Roman"/>
        <family val="1"/>
      </rPr>
      <t>1802</t>
    </r>
  </si>
  <si>
    <r>
      <t xml:space="preserve">1 </t>
    </r>
    <r>
      <rPr>
        <sz val="9.5"/>
        <color rgb="FF000000"/>
        <rFont val="宋体"/>
        <family val="3"/>
        <charset val="134"/>
      </rPr>
      <t xml:space="preserve">单元 </t>
    </r>
    <r>
      <rPr>
        <sz val="9.5"/>
        <color rgb="FF000000"/>
        <rFont val="Times New Roman"/>
        <family val="1"/>
      </rPr>
      <t>1803</t>
    </r>
  </si>
  <si>
    <r>
      <t xml:space="preserve">1 </t>
    </r>
    <r>
      <rPr>
        <sz val="9.5"/>
        <color rgb="FF000000"/>
        <rFont val="宋体"/>
        <family val="3"/>
        <charset val="134"/>
      </rPr>
      <t xml:space="preserve">单元 </t>
    </r>
    <r>
      <rPr>
        <sz val="9.5"/>
        <color rgb="FF000000"/>
        <rFont val="Times New Roman"/>
        <family val="1"/>
      </rPr>
      <t>1804</t>
    </r>
  </si>
  <si>
    <r>
      <t xml:space="preserve">1 </t>
    </r>
    <r>
      <rPr>
        <sz val="9.5"/>
        <color rgb="FF000000"/>
        <rFont val="宋体"/>
        <family val="3"/>
        <charset val="134"/>
      </rPr>
      <t xml:space="preserve">单元 </t>
    </r>
    <r>
      <rPr>
        <sz val="9.5"/>
        <color rgb="FF000000"/>
        <rFont val="Times New Roman"/>
        <family val="1"/>
      </rPr>
      <t>1805</t>
    </r>
  </si>
  <si>
    <r>
      <t xml:space="preserve">1 </t>
    </r>
    <r>
      <rPr>
        <sz val="9.5"/>
        <color rgb="FF000000"/>
        <rFont val="宋体"/>
        <family val="3"/>
        <charset val="134"/>
      </rPr>
      <t xml:space="preserve">单元 </t>
    </r>
    <r>
      <rPr>
        <sz val="9.5"/>
        <color rgb="FF000000"/>
        <rFont val="Times New Roman"/>
        <family val="1"/>
      </rPr>
      <t>1806</t>
    </r>
  </si>
  <si>
    <r>
      <t xml:space="preserve">1 </t>
    </r>
    <r>
      <rPr>
        <sz val="9.5"/>
        <color rgb="FF000000"/>
        <rFont val="宋体"/>
        <family val="3"/>
        <charset val="134"/>
      </rPr>
      <t xml:space="preserve">单元 </t>
    </r>
    <r>
      <rPr>
        <sz val="9.5"/>
        <color rgb="FF000000"/>
        <rFont val="Times New Roman"/>
        <family val="1"/>
      </rPr>
      <t>1901</t>
    </r>
  </si>
  <si>
    <r>
      <t xml:space="preserve">1 </t>
    </r>
    <r>
      <rPr>
        <sz val="9.5"/>
        <color rgb="FF000000"/>
        <rFont val="宋体"/>
        <family val="3"/>
        <charset val="134"/>
      </rPr>
      <t xml:space="preserve">单元 </t>
    </r>
    <r>
      <rPr>
        <sz val="9.5"/>
        <color rgb="FF000000"/>
        <rFont val="Times New Roman"/>
        <family val="1"/>
      </rPr>
      <t>1902</t>
    </r>
  </si>
  <si>
    <r>
      <t xml:space="preserve">1 </t>
    </r>
    <r>
      <rPr>
        <sz val="9.5"/>
        <color rgb="FF000000"/>
        <rFont val="宋体"/>
        <family val="3"/>
        <charset val="134"/>
      </rPr>
      <t xml:space="preserve">单元 </t>
    </r>
    <r>
      <rPr>
        <sz val="9.5"/>
        <color rgb="FF000000"/>
        <rFont val="Times New Roman"/>
        <family val="1"/>
      </rPr>
      <t>1903</t>
    </r>
  </si>
  <si>
    <r>
      <t xml:space="preserve">1 </t>
    </r>
    <r>
      <rPr>
        <sz val="9.5"/>
        <color rgb="FF000000"/>
        <rFont val="宋体"/>
        <family val="3"/>
        <charset val="134"/>
      </rPr>
      <t xml:space="preserve">单元 </t>
    </r>
    <r>
      <rPr>
        <sz val="9.5"/>
        <color rgb="FF000000"/>
        <rFont val="Times New Roman"/>
        <family val="1"/>
      </rPr>
      <t>1904</t>
    </r>
  </si>
  <si>
    <r>
      <t xml:space="preserve">1 </t>
    </r>
    <r>
      <rPr>
        <sz val="9.5"/>
        <color rgb="FF000000"/>
        <rFont val="宋体"/>
        <family val="3"/>
        <charset val="134"/>
      </rPr>
      <t xml:space="preserve">单元 </t>
    </r>
    <r>
      <rPr>
        <sz val="9.5"/>
        <color rgb="FF000000"/>
        <rFont val="Times New Roman"/>
        <family val="1"/>
      </rPr>
      <t>1905</t>
    </r>
  </si>
  <si>
    <r>
      <t xml:space="preserve">1 </t>
    </r>
    <r>
      <rPr>
        <sz val="9.5"/>
        <color rgb="FF000000"/>
        <rFont val="宋体"/>
        <family val="3"/>
        <charset val="134"/>
      </rPr>
      <t xml:space="preserve">单元 </t>
    </r>
    <r>
      <rPr>
        <sz val="9.5"/>
        <color rgb="FF000000"/>
        <rFont val="Times New Roman"/>
        <family val="1"/>
      </rPr>
      <t>1906</t>
    </r>
  </si>
  <si>
    <r>
      <t xml:space="preserve">1 </t>
    </r>
    <r>
      <rPr>
        <sz val="9.5"/>
        <color rgb="FF000000"/>
        <rFont val="宋体"/>
        <family val="3"/>
        <charset val="134"/>
      </rPr>
      <t xml:space="preserve">单元 </t>
    </r>
    <r>
      <rPr>
        <sz val="9.5"/>
        <color rgb="FF000000"/>
        <rFont val="Times New Roman"/>
        <family val="1"/>
      </rPr>
      <t>2001</t>
    </r>
  </si>
  <si>
    <r>
      <t xml:space="preserve">1 </t>
    </r>
    <r>
      <rPr>
        <sz val="9.5"/>
        <color rgb="FF000000"/>
        <rFont val="宋体"/>
        <family val="3"/>
        <charset val="134"/>
      </rPr>
      <t xml:space="preserve">单元 </t>
    </r>
    <r>
      <rPr>
        <sz val="9.5"/>
        <color rgb="FF000000"/>
        <rFont val="Times New Roman"/>
        <family val="1"/>
      </rPr>
      <t>2002</t>
    </r>
  </si>
  <si>
    <r>
      <t xml:space="preserve">1 </t>
    </r>
    <r>
      <rPr>
        <sz val="9.5"/>
        <color rgb="FF000000"/>
        <rFont val="宋体"/>
        <family val="3"/>
        <charset val="134"/>
      </rPr>
      <t xml:space="preserve">单元 </t>
    </r>
    <r>
      <rPr>
        <sz val="9.5"/>
        <color rgb="FF000000"/>
        <rFont val="Times New Roman"/>
        <family val="1"/>
      </rPr>
      <t>2003</t>
    </r>
  </si>
  <si>
    <r>
      <t xml:space="preserve">1 </t>
    </r>
    <r>
      <rPr>
        <sz val="9.5"/>
        <color rgb="FF000000"/>
        <rFont val="宋体"/>
        <family val="3"/>
        <charset val="134"/>
      </rPr>
      <t xml:space="preserve">单元 </t>
    </r>
    <r>
      <rPr>
        <sz val="9.5"/>
        <color rgb="FF000000"/>
        <rFont val="Times New Roman"/>
        <family val="1"/>
      </rPr>
      <t>2004</t>
    </r>
  </si>
  <si>
    <r>
      <t xml:space="preserve">1 </t>
    </r>
    <r>
      <rPr>
        <sz val="9.5"/>
        <color rgb="FF000000"/>
        <rFont val="宋体"/>
        <family val="3"/>
        <charset val="134"/>
      </rPr>
      <t xml:space="preserve">单元 </t>
    </r>
    <r>
      <rPr>
        <sz val="9.5"/>
        <color rgb="FF000000"/>
        <rFont val="Times New Roman"/>
        <family val="1"/>
      </rPr>
      <t>2005</t>
    </r>
  </si>
  <si>
    <r>
      <t xml:space="preserve">1 </t>
    </r>
    <r>
      <rPr>
        <sz val="9.5"/>
        <color rgb="FF000000"/>
        <rFont val="宋体"/>
        <family val="3"/>
        <charset val="134"/>
      </rPr>
      <t xml:space="preserve">单元 </t>
    </r>
    <r>
      <rPr>
        <sz val="9.5"/>
        <color rgb="FF000000"/>
        <rFont val="Times New Roman"/>
        <family val="1"/>
      </rPr>
      <t>2006</t>
    </r>
  </si>
  <si>
    <r>
      <t xml:space="preserve">1 </t>
    </r>
    <r>
      <rPr>
        <sz val="9.5"/>
        <color rgb="FF000000"/>
        <rFont val="宋体"/>
        <family val="3"/>
        <charset val="134"/>
      </rPr>
      <t xml:space="preserve">单元 </t>
    </r>
    <r>
      <rPr>
        <sz val="9.5"/>
        <color rgb="FF000000"/>
        <rFont val="Times New Roman"/>
        <family val="1"/>
      </rPr>
      <t>2101</t>
    </r>
  </si>
  <si>
    <r>
      <t xml:space="preserve">1 </t>
    </r>
    <r>
      <rPr>
        <sz val="9.5"/>
        <color rgb="FF000000"/>
        <rFont val="宋体"/>
        <family val="3"/>
        <charset val="134"/>
      </rPr>
      <t xml:space="preserve">单元 </t>
    </r>
    <r>
      <rPr>
        <sz val="9.5"/>
        <color rgb="FF000000"/>
        <rFont val="Times New Roman"/>
        <family val="1"/>
      </rPr>
      <t>2102</t>
    </r>
  </si>
  <si>
    <r>
      <t xml:space="preserve">1 </t>
    </r>
    <r>
      <rPr>
        <sz val="9.5"/>
        <color rgb="FF000000"/>
        <rFont val="宋体"/>
        <family val="3"/>
        <charset val="134"/>
      </rPr>
      <t xml:space="preserve">单元 </t>
    </r>
    <r>
      <rPr>
        <sz val="9.5"/>
        <color rgb="FF000000"/>
        <rFont val="Times New Roman"/>
        <family val="1"/>
      </rPr>
      <t>2103</t>
    </r>
  </si>
  <si>
    <r>
      <t xml:space="preserve">1 </t>
    </r>
    <r>
      <rPr>
        <sz val="9.5"/>
        <color rgb="FF000000"/>
        <rFont val="宋体"/>
        <family val="3"/>
        <charset val="134"/>
      </rPr>
      <t xml:space="preserve">单元 </t>
    </r>
    <r>
      <rPr>
        <sz val="9.5"/>
        <color rgb="FF000000"/>
        <rFont val="Times New Roman"/>
        <family val="1"/>
      </rPr>
      <t>2104</t>
    </r>
  </si>
  <si>
    <r>
      <t xml:space="preserve">1 </t>
    </r>
    <r>
      <rPr>
        <sz val="9.5"/>
        <color rgb="FF000000"/>
        <rFont val="宋体"/>
        <family val="3"/>
        <charset val="134"/>
      </rPr>
      <t xml:space="preserve">单元 </t>
    </r>
    <r>
      <rPr>
        <sz val="9.5"/>
        <color rgb="FF000000"/>
        <rFont val="Times New Roman"/>
        <family val="1"/>
      </rPr>
      <t>2105</t>
    </r>
  </si>
  <si>
    <r>
      <t xml:space="preserve">1 </t>
    </r>
    <r>
      <rPr>
        <sz val="9.5"/>
        <color rgb="FF000000"/>
        <rFont val="宋体"/>
        <family val="3"/>
        <charset val="134"/>
      </rPr>
      <t xml:space="preserve">单元 </t>
    </r>
    <r>
      <rPr>
        <sz val="9.5"/>
        <color rgb="FF000000"/>
        <rFont val="Times New Roman"/>
        <family val="1"/>
      </rPr>
      <t>2106</t>
    </r>
  </si>
  <si>
    <r>
      <t xml:space="preserve">1 </t>
    </r>
    <r>
      <rPr>
        <sz val="9.5"/>
        <color rgb="FF000000"/>
        <rFont val="宋体"/>
        <family val="3"/>
        <charset val="134"/>
      </rPr>
      <t xml:space="preserve">单元 </t>
    </r>
    <r>
      <rPr>
        <sz val="9.5"/>
        <color rgb="FF000000"/>
        <rFont val="Times New Roman"/>
        <family val="1"/>
      </rPr>
      <t>2201</t>
    </r>
  </si>
  <si>
    <r>
      <t xml:space="preserve">1 </t>
    </r>
    <r>
      <rPr>
        <sz val="9.5"/>
        <color rgb="FF000000"/>
        <rFont val="宋体"/>
        <family val="3"/>
        <charset val="134"/>
      </rPr>
      <t xml:space="preserve">单元 </t>
    </r>
    <r>
      <rPr>
        <sz val="9.5"/>
        <color rgb="FF000000"/>
        <rFont val="Times New Roman"/>
        <family val="1"/>
      </rPr>
      <t>2202</t>
    </r>
  </si>
  <si>
    <r>
      <t xml:space="preserve">1 </t>
    </r>
    <r>
      <rPr>
        <sz val="9.5"/>
        <color rgb="FF000000"/>
        <rFont val="宋体"/>
        <family val="3"/>
        <charset val="134"/>
      </rPr>
      <t xml:space="preserve">单元 </t>
    </r>
    <r>
      <rPr>
        <sz val="9.5"/>
        <color rgb="FF000000"/>
        <rFont val="Times New Roman"/>
        <family val="1"/>
      </rPr>
      <t>2203</t>
    </r>
  </si>
  <si>
    <r>
      <t xml:space="preserve">1 </t>
    </r>
    <r>
      <rPr>
        <sz val="9.5"/>
        <color rgb="FF000000"/>
        <rFont val="宋体"/>
        <family val="3"/>
        <charset val="134"/>
      </rPr>
      <t xml:space="preserve">单元 </t>
    </r>
    <r>
      <rPr>
        <sz val="9.5"/>
        <color rgb="FF000000"/>
        <rFont val="Times New Roman"/>
        <family val="1"/>
      </rPr>
      <t>2204</t>
    </r>
  </si>
  <si>
    <r>
      <t xml:space="preserve">1 </t>
    </r>
    <r>
      <rPr>
        <sz val="9.5"/>
        <color rgb="FF000000"/>
        <rFont val="宋体"/>
        <family val="3"/>
        <charset val="134"/>
      </rPr>
      <t xml:space="preserve">单元 </t>
    </r>
    <r>
      <rPr>
        <sz val="9.5"/>
        <color rgb="FF000000"/>
        <rFont val="Times New Roman"/>
        <family val="1"/>
      </rPr>
      <t>2205</t>
    </r>
  </si>
  <si>
    <r>
      <t xml:space="preserve">1 </t>
    </r>
    <r>
      <rPr>
        <sz val="9.5"/>
        <color rgb="FF000000"/>
        <rFont val="宋体"/>
        <family val="3"/>
        <charset val="134"/>
      </rPr>
      <t xml:space="preserve">单元 </t>
    </r>
    <r>
      <rPr>
        <sz val="9.5"/>
        <color rgb="FF000000"/>
        <rFont val="Times New Roman"/>
        <family val="1"/>
      </rPr>
      <t>2206</t>
    </r>
  </si>
  <si>
    <r>
      <t xml:space="preserve">1 </t>
    </r>
    <r>
      <rPr>
        <sz val="9.5"/>
        <color rgb="FF000000"/>
        <rFont val="宋体"/>
        <family val="3"/>
        <charset val="134"/>
      </rPr>
      <t xml:space="preserve">单元 </t>
    </r>
    <r>
      <rPr>
        <sz val="9.5"/>
        <color rgb="FF000000"/>
        <rFont val="Times New Roman"/>
        <family val="1"/>
      </rPr>
      <t>2301</t>
    </r>
  </si>
  <si>
    <r>
      <t xml:space="preserve">1 </t>
    </r>
    <r>
      <rPr>
        <sz val="9.5"/>
        <color rgb="FF000000"/>
        <rFont val="宋体"/>
        <family val="3"/>
        <charset val="134"/>
      </rPr>
      <t xml:space="preserve">单元 </t>
    </r>
    <r>
      <rPr>
        <sz val="9.5"/>
        <color rgb="FF000000"/>
        <rFont val="Times New Roman"/>
        <family val="1"/>
      </rPr>
      <t>2302</t>
    </r>
  </si>
  <si>
    <r>
      <t xml:space="preserve">1 </t>
    </r>
    <r>
      <rPr>
        <sz val="9.5"/>
        <color rgb="FF000000"/>
        <rFont val="宋体"/>
        <family val="3"/>
        <charset val="134"/>
      </rPr>
      <t xml:space="preserve">单元 </t>
    </r>
    <r>
      <rPr>
        <sz val="9.5"/>
        <color rgb="FF000000"/>
        <rFont val="Times New Roman"/>
        <family val="1"/>
      </rPr>
      <t>2303</t>
    </r>
  </si>
  <si>
    <r>
      <t xml:space="preserve">1 </t>
    </r>
    <r>
      <rPr>
        <sz val="9.5"/>
        <color rgb="FF000000"/>
        <rFont val="宋体"/>
        <family val="3"/>
        <charset val="134"/>
      </rPr>
      <t xml:space="preserve">单元 </t>
    </r>
    <r>
      <rPr>
        <sz val="9.5"/>
        <color rgb="FF000000"/>
        <rFont val="Times New Roman"/>
        <family val="1"/>
      </rPr>
      <t>2304</t>
    </r>
  </si>
  <si>
    <r>
      <t xml:space="preserve">1 </t>
    </r>
    <r>
      <rPr>
        <sz val="9.5"/>
        <color rgb="FF000000"/>
        <rFont val="宋体"/>
        <family val="3"/>
        <charset val="134"/>
      </rPr>
      <t xml:space="preserve">单元 </t>
    </r>
    <r>
      <rPr>
        <sz val="9.5"/>
        <color rgb="FF000000"/>
        <rFont val="Times New Roman"/>
        <family val="1"/>
      </rPr>
      <t>2305</t>
    </r>
  </si>
  <si>
    <r>
      <t xml:space="preserve">1 </t>
    </r>
    <r>
      <rPr>
        <sz val="9.5"/>
        <color rgb="FF000000"/>
        <rFont val="宋体"/>
        <family val="3"/>
        <charset val="134"/>
      </rPr>
      <t xml:space="preserve">单元 </t>
    </r>
    <r>
      <rPr>
        <sz val="9.5"/>
        <color rgb="FF000000"/>
        <rFont val="Times New Roman"/>
        <family val="1"/>
      </rPr>
      <t>2306</t>
    </r>
  </si>
  <si>
    <r>
      <t xml:space="preserve">1 </t>
    </r>
    <r>
      <rPr>
        <sz val="9.5"/>
        <color rgb="FF000000"/>
        <rFont val="宋体"/>
        <family val="3"/>
        <charset val="134"/>
      </rPr>
      <t xml:space="preserve">单元 </t>
    </r>
    <r>
      <rPr>
        <sz val="9.5"/>
        <color rgb="FF000000"/>
        <rFont val="Times New Roman"/>
        <family val="1"/>
      </rPr>
      <t>2401</t>
    </r>
  </si>
  <si>
    <r>
      <t xml:space="preserve">1 </t>
    </r>
    <r>
      <rPr>
        <sz val="9.5"/>
        <color rgb="FF000000"/>
        <rFont val="宋体"/>
        <family val="3"/>
        <charset val="134"/>
      </rPr>
      <t xml:space="preserve">单元 </t>
    </r>
    <r>
      <rPr>
        <sz val="9.5"/>
        <color rgb="FF000000"/>
        <rFont val="Times New Roman"/>
        <family val="1"/>
      </rPr>
      <t>2402</t>
    </r>
  </si>
  <si>
    <r>
      <t xml:space="preserve">1 </t>
    </r>
    <r>
      <rPr>
        <sz val="9.5"/>
        <color rgb="FF000000"/>
        <rFont val="宋体"/>
        <family val="3"/>
        <charset val="134"/>
      </rPr>
      <t xml:space="preserve">单元 </t>
    </r>
    <r>
      <rPr>
        <sz val="9.5"/>
        <color rgb="FF000000"/>
        <rFont val="Times New Roman"/>
        <family val="1"/>
      </rPr>
      <t>2403</t>
    </r>
  </si>
  <si>
    <r>
      <t xml:space="preserve">1 </t>
    </r>
    <r>
      <rPr>
        <sz val="9.5"/>
        <color rgb="FF000000"/>
        <rFont val="宋体"/>
        <family val="3"/>
        <charset val="134"/>
      </rPr>
      <t xml:space="preserve">单元 </t>
    </r>
    <r>
      <rPr>
        <sz val="9.5"/>
        <color rgb="FF000000"/>
        <rFont val="Times New Roman"/>
        <family val="1"/>
      </rPr>
      <t>2404</t>
    </r>
  </si>
  <si>
    <r>
      <t xml:space="preserve">1 </t>
    </r>
    <r>
      <rPr>
        <sz val="9.5"/>
        <color rgb="FF000000"/>
        <rFont val="宋体"/>
        <family val="3"/>
        <charset val="134"/>
      </rPr>
      <t xml:space="preserve">单元 </t>
    </r>
    <r>
      <rPr>
        <sz val="9.5"/>
        <color rgb="FF000000"/>
        <rFont val="Times New Roman"/>
        <family val="1"/>
      </rPr>
      <t>2405</t>
    </r>
  </si>
  <si>
    <r>
      <t xml:space="preserve">1 </t>
    </r>
    <r>
      <rPr>
        <sz val="9.5"/>
        <color rgb="FF000000"/>
        <rFont val="宋体"/>
        <family val="3"/>
        <charset val="134"/>
      </rPr>
      <t xml:space="preserve">单元 </t>
    </r>
    <r>
      <rPr>
        <sz val="9.5"/>
        <color rgb="FF000000"/>
        <rFont val="Times New Roman"/>
        <family val="1"/>
      </rPr>
      <t>2406</t>
    </r>
  </si>
  <si>
    <r>
      <t xml:space="preserve">1 </t>
    </r>
    <r>
      <rPr>
        <sz val="9.5"/>
        <color rgb="FF000000"/>
        <rFont val="宋体"/>
        <family val="3"/>
        <charset val="134"/>
      </rPr>
      <t xml:space="preserve">单元 </t>
    </r>
    <r>
      <rPr>
        <sz val="9.5"/>
        <color rgb="FF000000"/>
        <rFont val="Times New Roman"/>
        <family val="1"/>
      </rPr>
      <t>2501</t>
    </r>
  </si>
  <si>
    <r>
      <t xml:space="preserve">1 </t>
    </r>
    <r>
      <rPr>
        <sz val="9.5"/>
        <color rgb="FF000000"/>
        <rFont val="宋体"/>
        <family val="3"/>
        <charset val="134"/>
      </rPr>
      <t xml:space="preserve">单元 </t>
    </r>
    <r>
      <rPr>
        <sz val="9.5"/>
        <color rgb="FF000000"/>
        <rFont val="Times New Roman"/>
        <family val="1"/>
      </rPr>
      <t>2502</t>
    </r>
  </si>
  <si>
    <r>
      <t xml:space="preserve">1 </t>
    </r>
    <r>
      <rPr>
        <sz val="9.5"/>
        <color rgb="FF000000"/>
        <rFont val="宋体"/>
        <family val="3"/>
        <charset val="134"/>
      </rPr>
      <t xml:space="preserve">单元 </t>
    </r>
    <r>
      <rPr>
        <sz val="9.5"/>
        <color rgb="FF000000"/>
        <rFont val="Times New Roman"/>
        <family val="1"/>
      </rPr>
      <t>2503</t>
    </r>
  </si>
  <si>
    <r>
      <t xml:space="preserve">1 </t>
    </r>
    <r>
      <rPr>
        <sz val="9.5"/>
        <color rgb="FF000000"/>
        <rFont val="宋体"/>
        <family val="3"/>
        <charset val="134"/>
      </rPr>
      <t xml:space="preserve">单元 </t>
    </r>
    <r>
      <rPr>
        <sz val="9.5"/>
        <color rgb="FF000000"/>
        <rFont val="Times New Roman"/>
        <family val="1"/>
      </rPr>
      <t>2504</t>
    </r>
  </si>
  <si>
    <r>
      <t xml:space="preserve">1 </t>
    </r>
    <r>
      <rPr>
        <sz val="9.5"/>
        <color rgb="FF000000"/>
        <rFont val="宋体"/>
        <family val="3"/>
        <charset val="134"/>
      </rPr>
      <t xml:space="preserve">单元 </t>
    </r>
    <r>
      <rPr>
        <sz val="9.5"/>
        <color rgb="FF000000"/>
        <rFont val="Times New Roman"/>
        <family val="1"/>
      </rPr>
      <t>2505</t>
    </r>
  </si>
  <si>
    <r>
      <t xml:space="preserve">1 </t>
    </r>
    <r>
      <rPr>
        <sz val="9.5"/>
        <color rgb="FF000000"/>
        <rFont val="宋体"/>
        <family val="3"/>
        <charset val="134"/>
      </rPr>
      <t xml:space="preserve">单元 </t>
    </r>
    <r>
      <rPr>
        <sz val="9.5"/>
        <color rgb="FF000000"/>
        <rFont val="Times New Roman"/>
        <family val="1"/>
      </rPr>
      <t>2506</t>
    </r>
  </si>
  <si>
    <r>
      <t xml:space="preserve">1 </t>
    </r>
    <r>
      <rPr>
        <sz val="9.5"/>
        <color rgb="FF000000"/>
        <rFont val="宋体"/>
        <family val="3"/>
        <charset val="134"/>
      </rPr>
      <t xml:space="preserve">单元 </t>
    </r>
    <r>
      <rPr>
        <sz val="9.5"/>
        <color rgb="FF000000"/>
        <rFont val="Times New Roman"/>
        <family val="1"/>
      </rPr>
      <t>2601</t>
    </r>
  </si>
  <si>
    <r>
      <t xml:space="preserve">1 </t>
    </r>
    <r>
      <rPr>
        <sz val="9.5"/>
        <color rgb="FF000000"/>
        <rFont val="宋体"/>
        <family val="3"/>
        <charset val="134"/>
      </rPr>
      <t xml:space="preserve">单元 </t>
    </r>
    <r>
      <rPr>
        <sz val="9.5"/>
        <color rgb="FF000000"/>
        <rFont val="Times New Roman"/>
        <family val="1"/>
      </rPr>
      <t>2602</t>
    </r>
  </si>
  <si>
    <r>
      <t xml:space="preserve">1 </t>
    </r>
    <r>
      <rPr>
        <sz val="9.5"/>
        <color rgb="FF000000"/>
        <rFont val="宋体"/>
        <family val="3"/>
        <charset val="134"/>
      </rPr>
      <t xml:space="preserve">单元 </t>
    </r>
    <r>
      <rPr>
        <sz val="9.5"/>
        <color rgb="FF000000"/>
        <rFont val="Times New Roman"/>
        <family val="1"/>
      </rPr>
      <t>2603</t>
    </r>
  </si>
  <si>
    <r>
      <t xml:space="preserve">1 </t>
    </r>
    <r>
      <rPr>
        <sz val="9.5"/>
        <color rgb="FF000000"/>
        <rFont val="宋体"/>
        <family val="3"/>
        <charset val="134"/>
      </rPr>
      <t xml:space="preserve">单元 </t>
    </r>
    <r>
      <rPr>
        <sz val="9.5"/>
        <color rgb="FF000000"/>
        <rFont val="Times New Roman"/>
        <family val="1"/>
      </rPr>
      <t>2604</t>
    </r>
  </si>
  <si>
    <r>
      <t xml:space="preserve">1 </t>
    </r>
    <r>
      <rPr>
        <sz val="9.5"/>
        <color rgb="FF000000"/>
        <rFont val="宋体"/>
        <family val="3"/>
        <charset val="134"/>
      </rPr>
      <t xml:space="preserve">单元 </t>
    </r>
    <r>
      <rPr>
        <sz val="9.5"/>
        <color rgb="FF000000"/>
        <rFont val="Times New Roman"/>
        <family val="1"/>
      </rPr>
      <t>2605</t>
    </r>
  </si>
  <si>
    <r>
      <t xml:space="preserve">1 </t>
    </r>
    <r>
      <rPr>
        <sz val="9.5"/>
        <color rgb="FF000000"/>
        <rFont val="宋体"/>
        <family val="3"/>
        <charset val="134"/>
      </rPr>
      <t xml:space="preserve">单元 </t>
    </r>
    <r>
      <rPr>
        <sz val="9.5"/>
        <color rgb="FF000000"/>
        <rFont val="Times New Roman"/>
        <family val="1"/>
      </rPr>
      <t>2606</t>
    </r>
  </si>
  <si>
    <r>
      <t xml:space="preserve">1 </t>
    </r>
    <r>
      <rPr>
        <sz val="9.5"/>
        <color rgb="FF000000"/>
        <rFont val="宋体"/>
        <family val="3"/>
        <charset val="134"/>
      </rPr>
      <t xml:space="preserve">单元 </t>
    </r>
    <r>
      <rPr>
        <sz val="9.5"/>
        <color rgb="FF000000"/>
        <rFont val="Times New Roman"/>
        <family val="1"/>
      </rPr>
      <t>2801</t>
    </r>
  </si>
  <si>
    <r>
      <t xml:space="preserve">1 </t>
    </r>
    <r>
      <rPr>
        <sz val="9.5"/>
        <color rgb="FF000000"/>
        <rFont val="宋体"/>
        <family val="3"/>
        <charset val="134"/>
      </rPr>
      <t xml:space="preserve">单元 </t>
    </r>
    <r>
      <rPr>
        <sz val="9.5"/>
        <color rgb="FF000000"/>
        <rFont val="Times New Roman"/>
        <family val="1"/>
      </rPr>
      <t>2802</t>
    </r>
  </si>
  <si>
    <r>
      <t xml:space="preserve">1 </t>
    </r>
    <r>
      <rPr>
        <sz val="9.5"/>
        <color rgb="FF000000"/>
        <rFont val="宋体"/>
        <family val="3"/>
        <charset val="134"/>
      </rPr>
      <t xml:space="preserve">单元 </t>
    </r>
    <r>
      <rPr>
        <sz val="9.5"/>
        <color rgb="FF000000"/>
        <rFont val="Times New Roman"/>
        <family val="1"/>
      </rPr>
      <t>2803</t>
    </r>
  </si>
  <si>
    <r>
      <t xml:space="preserve">1 </t>
    </r>
    <r>
      <rPr>
        <sz val="9.5"/>
        <color rgb="FF000000"/>
        <rFont val="宋体"/>
        <family val="3"/>
        <charset val="134"/>
      </rPr>
      <t xml:space="preserve">单元 </t>
    </r>
    <r>
      <rPr>
        <sz val="9.5"/>
        <color rgb="FF000000"/>
        <rFont val="Times New Roman"/>
        <family val="1"/>
      </rPr>
      <t>2804</t>
    </r>
  </si>
  <si>
    <r>
      <t xml:space="preserve">1 </t>
    </r>
    <r>
      <rPr>
        <sz val="9.5"/>
        <color rgb="FF000000"/>
        <rFont val="宋体"/>
        <family val="3"/>
        <charset val="134"/>
      </rPr>
      <t xml:space="preserve">单元 </t>
    </r>
    <r>
      <rPr>
        <sz val="9.5"/>
        <color rgb="FF000000"/>
        <rFont val="Times New Roman"/>
        <family val="1"/>
      </rPr>
      <t>2805</t>
    </r>
  </si>
  <si>
    <r>
      <t xml:space="preserve">1 </t>
    </r>
    <r>
      <rPr>
        <sz val="9.5"/>
        <color rgb="FF000000"/>
        <rFont val="宋体"/>
        <family val="3"/>
        <charset val="134"/>
      </rPr>
      <t xml:space="preserve">单元 </t>
    </r>
    <r>
      <rPr>
        <sz val="9.5"/>
        <color rgb="FF000000"/>
        <rFont val="Times New Roman"/>
        <family val="1"/>
      </rPr>
      <t>2806</t>
    </r>
  </si>
  <si>
    <r>
      <t xml:space="preserve">1 </t>
    </r>
    <r>
      <rPr>
        <sz val="9.5"/>
        <color rgb="FF000000"/>
        <rFont val="宋体"/>
        <family val="3"/>
        <charset val="134"/>
      </rPr>
      <t xml:space="preserve">单元 </t>
    </r>
    <r>
      <rPr>
        <sz val="9.5"/>
        <color rgb="FF000000"/>
        <rFont val="Times New Roman"/>
        <family val="1"/>
      </rPr>
      <t>2901</t>
    </r>
  </si>
  <si>
    <r>
      <t xml:space="preserve">1 </t>
    </r>
    <r>
      <rPr>
        <sz val="9.5"/>
        <color rgb="FF000000"/>
        <rFont val="宋体"/>
        <family val="3"/>
        <charset val="134"/>
      </rPr>
      <t xml:space="preserve">单元 </t>
    </r>
    <r>
      <rPr>
        <sz val="9.5"/>
        <color rgb="FF000000"/>
        <rFont val="Times New Roman"/>
        <family val="1"/>
      </rPr>
      <t>2902</t>
    </r>
  </si>
  <si>
    <r>
      <t xml:space="preserve">1 </t>
    </r>
    <r>
      <rPr>
        <sz val="9.5"/>
        <color rgb="FF000000"/>
        <rFont val="宋体"/>
        <family val="3"/>
        <charset val="134"/>
      </rPr>
      <t xml:space="preserve">单元 </t>
    </r>
    <r>
      <rPr>
        <sz val="9.5"/>
        <color rgb="FF000000"/>
        <rFont val="Times New Roman"/>
        <family val="1"/>
      </rPr>
      <t>2903</t>
    </r>
  </si>
  <si>
    <r>
      <t xml:space="preserve">1 </t>
    </r>
    <r>
      <rPr>
        <sz val="9.5"/>
        <color rgb="FF000000"/>
        <rFont val="宋体"/>
        <family val="3"/>
        <charset val="134"/>
      </rPr>
      <t xml:space="preserve">单元 </t>
    </r>
    <r>
      <rPr>
        <sz val="9.5"/>
        <color rgb="FF000000"/>
        <rFont val="Times New Roman"/>
        <family val="1"/>
      </rPr>
      <t>2904</t>
    </r>
  </si>
  <si>
    <r>
      <t xml:space="preserve">1 </t>
    </r>
    <r>
      <rPr>
        <sz val="9.5"/>
        <color rgb="FF000000"/>
        <rFont val="宋体"/>
        <family val="3"/>
        <charset val="134"/>
      </rPr>
      <t xml:space="preserve">单元 </t>
    </r>
    <r>
      <rPr>
        <sz val="9.5"/>
        <color rgb="FF000000"/>
        <rFont val="Times New Roman"/>
        <family val="1"/>
      </rPr>
      <t>2905</t>
    </r>
  </si>
  <si>
    <r>
      <t xml:space="preserve">1 </t>
    </r>
    <r>
      <rPr>
        <sz val="9.5"/>
        <color rgb="FF000000"/>
        <rFont val="宋体"/>
        <family val="3"/>
        <charset val="134"/>
      </rPr>
      <t xml:space="preserve">单元 </t>
    </r>
    <r>
      <rPr>
        <sz val="9.5"/>
        <color rgb="FF000000"/>
        <rFont val="Times New Roman"/>
        <family val="1"/>
      </rPr>
      <t>2906</t>
    </r>
  </si>
  <si>
    <r>
      <t xml:space="preserve">1 </t>
    </r>
    <r>
      <rPr>
        <sz val="9.5"/>
        <color rgb="FF000000"/>
        <rFont val="宋体"/>
        <family val="3"/>
        <charset val="134"/>
      </rPr>
      <t xml:space="preserve">单元 </t>
    </r>
    <r>
      <rPr>
        <sz val="9.5"/>
        <color rgb="FF000000"/>
        <rFont val="Times New Roman"/>
        <family val="1"/>
      </rPr>
      <t>3001</t>
    </r>
  </si>
  <si>
    <r>
      <t xml:space="preserve">1 </t>
    </r>
    <r>
      <rPr>
        <sz val="9.5"/>
        <color rgb="FF000000"/>
        <rFont val="宋体"/>
        <family val="3"/>
        <charset val="134"/>
      </rPr>
      <t xml:space="preserve">单元 </t>
    </r>
    <r>
      <rPr>
        <sz val="9.5"/>
        <color rgb="FF000000"/>
        <rFont val="Times New Roman"/>
        <family val="1"/>
      </rPr>
      <t>3002</t>
    </r>
  </si>
  <si>
    <r>
      <t xml:space="preserve">1 </t>
    </r>
    <r>
      <rPr>
        <sz val="9.5"/>
        <color rgb="FF000000"/>
        <rFont val="宋体"/>
        <family val="3"/>
        <charset val="134"/>
      </rPr>
      <t xml:space="preserve">单元 </t>
    </r>
    <r>
      <rPr>
        <sz val="9.5"/>
        <color rgb="FF000000"/>
        <rFont val="Times New Roman"/>
        <family val="1"/>
      </rPr>
      <t>3003</t>
    </r>
  </si>
  <si>
    <r>
      <t xml:space="preserve">1 </t>
    </r>
    <r>
      <rPr>
        <sz val="9.5"/>
        <color rgb="FF000000"/>
        <rFont val="宋体"/>
        <family val="3"/>
        <charset val="134"/>
      </rPr>
      <t xml:space="preserve">单元 </t>
    </r>
    <r>
      <rPr>
        <sz val="9.5"/>
        <color rgb="FF000000"/>
        <rFont val="Times New Roman"/>
        <family val="1"/>
      </rPr>
      <t>3004</t>
    </r>
  </si>
  <si>
    <r>
      <t xml:space="preserve">1 </t>
    </r>
    <r>
      <rPr>
        <sz val="9.5"/>
        <color rgb="FF000000"/>
        <rFont val="宋体"/>
        <family val="3"/>
        <charset val="134"/>
      </rPr>
      <t xml:space="preserve">单元 </t>
    </r>
    <r>
      <rPr>
        <sz val="9.5"/>
        <color rgb="FF000000"/>
        <rFont val="Times New Roman"/>
        <family val="1"/>
      </rPr>
      <t>3005</t>
    </r>
  </si>
  <si>
    <r>
      <t xml:space="preserve">1 </t>
    </r>
    <r>
      <rPr>
        <sz val="9.5"/>
        <color rgb="FF000000"/>
        <rFont val="宋体"/>
        <family val="3"/>
        <charset val="134"/>
      </rPr>
      <t xml:space="preserve">单元 </t>
    </r>
    <r>
      <rPr>
        <sz val="9.5"/>
        <color rgb="FF000000"/>
        <rFont val="Times New Roman"/>
        <family val="1"/>
      </rPr>
      <t>3006</t>
    </r>
  </si>
  <si>
    <r>
      <t xml:space="preserve">1 </t>
    </r>
    <r>
      <rPr>
        <sz val="9.5"/>
        <color rgb="FF000000"/>
        <rFont val="宋体"/>
        <family val="3"/>
        <charset val="134"/>
      </rPr>
      <t xml:space="preserve">单元 </t>
    </r>
    <r>
      <rPr>
        <sz val="9.5"/>
        <color rgb="FF000000"/>
        <rFont val="Times New Roman"/>
        <family val="1"/>
      </rPr>
      <t>3101</t>
    </r>
  </si>
  <si>
    <r>
      <t xml:space="preserve">1 </t>
    </r>
    <r>
      <rPr>
        <sz val="9.5"/>
        <color rgb="FF000000"/>
        <rFont val="宋体"/>
        <family val="3"/>
        <charset val="134"/>
      </rPr>
      <t xml:space="preserve">单元 </t>
    </r>
    <r>
      <rPr>
        <sz val="9.5"/>
        <color rgb="FF000000"/>
        <rFont val="Times New Roman"/>
        <family val="1"/>
      </rPr>
      <t>3102</t>
    </r>
  </si>
  <si>
    <r>
      <t xml:space="preserve">1 </t>
    </r>
    <r>
      <rPr>
        <sz val="9.5"/>
        <color rgb="FF000000"/>
        <rFont val="宋体"/>
        <family val="3"/>
        <charset val="134"/>
      </rPr>
      <t xml:space="preserve">单元 </t>
    </r>
    <r>
      <rPr>
        <sz val="9.5"/>
        <color rgb="FF000000"/>
        <rFont val="Times New Roman"/>
        <family val="1"/>
      </rPr>
      <t>3103</t>
    </r>
  </si>
  <si>
    <r>
      <t xml:space="preserve">1 </t>
    </r>
    <r>
      <rPr>
        <sz val="9.5"/>
        <color rgb="FF000000"/>
        <rFont val="宋体"/>
        <family val="3"/>
        <charset val="134"/>
      </rPr>
      <t xml:space="preserve">单元 </t>
    </r>
    <r>
      <rPr>
        <sz val="9.5"/>
        <color rgb="FF000000"/>
        <rFont val="Times New Roman"/>
        <family val="1"/>
      </rPr>
      <t>3104</t>
    </r>
  </si>
  <si>
    <r>
      <t xml:space="preserve">1 </t>
    </r>
    <r>
      <rPr>
        <sz val="9.5"/>
        <color rgb="FF000000"/>
        <rFont val="宋体"/>
        <family val="3"/>
        <charset val="134"/>
      </rPr>
      <t xml:space="preserve">单元 </t>
    </r>
    <r>
      <rPr>
        <sz val="9.5"/>
        <color rgb="FF000000"/>
        <rFont val="Times New Roman"/>
        <family val="1"/>
      </rPr>
      <t>3105</t>
    </r>
  </si>
  <si>
    <r>
      <t xml:space="preserve">1 </t>
    </r>
    <r>
      <rPr>
        <sz val="9.5"/>
        <color rgb="FF000000"/>
        <rFont val="宋体"/>
        <family val="3"/>
        <charset val="134"/>
      </rPr>
      <t xml:space="preserve">单元 </t>
    </r>
    <r>
      <rPr>
        <sz val="9.5"/>
        <color rgb="FF000000"/>
        <rFont val="Times New Roman"/>
        <family val="1"/>
      </rPr>
      <t>3106</t>
    </r>
  </si>
  <si>
    <r>
      <t xml:space="preserve">1 </t>
    </r>
    <r>
      <rPr>
        <sz val="9.5"/>
        <color rgb="FF000000"/>
        <rFont val="宋体"/>
        <family val="3"/>
        <charset val="134"/>
      </rPr>
      <t xml:space="preserve">单元 </t>
    </r>
    <r>
      <rPr>
        <sz val="9.5"/>
        <color rgb="FF000000"/>
        <rFont val="Times New Roman"/>
        <family val="1"/>
      </rPr>
      <t>3201</t>
    </r>
  </si>
  <si>
    <r>
      <t xml:space="preserve">1 </t>
    </r>
    <r>
      <rPr>
        <sz val="9.5"/>
        <color rgb="FF000000"/>
        <rFont val="宋体"/>
        <family val="3"/>
        <charset val="134"/>
      </rPr>
      <t xml:space="preserve">单元 </t>
    </r>
    <r>
      <rPr>
        <sz val="9.5"/>
        <color rgb="FF000000"/>
        <rFont val="Times New Roman"/>
        <family val="1"/>
      </rPr>
      <t>3202</t>
    </r>
  </si>
  <si>
    <r>
      <t xml:space="preserve">1 </t>
    </r>
    <r>
      <rPr>
        <sz val="9.5"/>
        <color rgb="FF000000"/>
        <rFont val="宋体"/>
        <family val="3"/>
        <charset val="134"/>
      </rPr>
      <t xml:space="preserve">单元 </t>
    </r>
    <r>
      <rPr>
        <sz val="9.5"/>
        <color rgb="FF000000"/>
        <rFont val="Times New Roman"/>
        <family val="1"/>
      </rPr>
      <t>3203</t>
    </r>
  </si>
  <si>
    <r>
      <t xml:space="preserve">1 </t>
    </r>
    <r>
      <rPr>
        <sz val="9.5"/>
        <color rgb="FF000000"/>
        <rFont val="宋体"/>
        <family val="3"/>
        <charset val="134"/>
      </rPr>
      <t xml:space="preserve">单元 </t>
    </r>
    <r>
      <rPr>
        <sz val="9.5"/>
        <color rgb="FF000000"/>
        <rFont val="Times New Roman"/>
        <family val="1"/>
      </rPr>
      <t>3204</t>
    </r>
  </si>
  <si>
    <r>
      <t xml:space="preserve">1 </t>
    </r>
    <r>
      <rPr>
        <sz val="9.5"/>
        <color rgb="FF000000"/>
        <rFont val="宋体"/>
        <family val="3"/>
        <charset val="134"/>
      </rPr>
      <t xml:space="preserve">单元 </t>
    </r>
    <r>
      <rPr>
        <sz val="9.5"/>
        <color rgb="FF000000"/>
        <rFont val="Times New Roman"/>
        <family val="1"/>
      </rPr>
      <t>3205</t>
    </r>
  </si>
  <si>
    <r>
      <t xml:space="preserve">1 </t>
    </r>
    <r>
      <rPr>
        <sz val="9.5"/>
        <color rgb="FF000000"/>
        <rFont val="宋体"/>
        <family val="3"/>
        <charset val="134"/>
      </rPr>
      <t xml:space="preserve">单元 </t>
    </r>
    <r>
      <rPr>
        <sz val="9.5"/>
        <color rgb="FF000000"/>
        <rFont val="Times New Roman"/>
        <family val="1"/>
      </rPr>
      <t>3206</t>
    </r>
  </si>
  <si>
    <r>
      <t xml:space="preserve">1 </t>
    </r>
    <r>
      <rPr>
        <sz val="9.5"/>
        <color rgb="FF000000"/>
        <rFont val="宋体"/>
        <family val="3"/>
        <charset val="134"/>
      </rPr>
      <t xml:space="preserve">单元 </t>
    </r>
    <r>
      <rPr>
        <sz val="9.5"/>
        <color rgb="FF000000"/>
        <rFont val="Times New Roman"/>
        <family val="1"/>
      </rPr>
      <t>3301</t>
    </r>
  </si>
  <si>
    <r>
      <t xml:space="preserve">1 </t>
    </r>
    <r>
      <rPr>
        <sz val="9.5"/>
        <color rgb="FF000000"/>
        <rFont val="宋体"/>
        <family val="3"/>
        <charset val="134"/>
      </rPr>
      <t xml:space="preserve">单元 </t>
    </r>
    <r>
      <rPr>
        <sz val="9.5"/>
        <color rgb="FF000000"/>
        <rFont val="Times New Roman"/>
        <family val="1"/>
      </rPr>
      <t>3302</t>
    </r>
  </si>
  <si>
    <r>
      <t xml:space="preserve">1 </t>
    </r>
    <r>
      <rPr>
        <sz val="9.5"/>
        <color rgb="FF000000"/>
        <rFont val="宋体"/>
        <family val="3"/>
        <charset val="134"/>
      </rPr>
      <t xml:space="preserve">单元 </t>
    </r>
    <r>
      <rPr>
        <sz val="9.5"/>
        <color rgb="FF000000"/>
        <rFont val="Times New Roman"/>
        <family val="1"/>
      </rPr>
      <t>3303</t>
    </r>
  </si>
  <si>
    <r>
      <t xml:space="preserve">1 </t>
    </r>
    <r>
      <rPr>
        <sz val="9.5"/>
        <color rgb="FF000000"/>
        <rFont val="宋体"/>
        <family val="3"/>
        <charset val="134"/>
      </rPr>
      <t xml:space="preserve">单元 </t>
    </r>
    <r>
      <rPr>
        <sz val="9.5"/>
        <color rgb="FF000000"/>
        <rFont val="Times New Roman"/>
        <family val="1"/>
      </rPr>
      <t>3304</t>
    </r>
  </si>
  <si>
    <r>
      <t xml:space="preserve">1 </t>
    </r>
    <r>
      <rPr>
        <sz val="9.5"/>
        <color rgb="FF000000"/>
        <rFont val="宋体"/>
        <family val="3"/>
        <charset val="134"/>
      </rPr>
      <t xml:space="preserve">单元 </t>
    </r>
    <r>
      <rPr>
        <sz val="9.5"/>
        <color rgb="FF000000"/>
        <rFont val="Times New Roman"/>
        <family val="1"/>
      </rPr>
      <t>3305</t>
    </r>
  </si>
  <si>
    <r>
      <t xml:space="preserve">1 </t>
    </r>
    <r>
      <rPr>
        <sz val="9.5"/>
        <color rgb="FF000000"/>
        <rFont val="宋体"/>
        <family val="3"/>
        <charset val="134"/>
      </rPr>
      <t xml:space="preserve">单元 </t>
    </r>
    <r>
      <rPr>
        <sz val="9.5"/>
        <color rgb="FF000000"/>
        <rFont val="Times New Roman"/>
        <family val="1"/>
      </rPr>
      <t>3306</t>
    </r>
  </si>
  <si>
    <r>
      <t xml:space="preserve">1 </t>
    </r>
    <r>
      <rPr>
        <sz val="9.5"/>
        <color rgb="FF000000"/>
        <rFont val="宋体"/>
        <family val="3"/>
        <charset val="134"/>
      </rPr>
      <t xml:space="preserve">单元 </t>
    </r>
    <r>
      <rPr>
        <sz val="9.5"/>
        <color rgb="FF000000"/>
        <rFont val="Times New Roman"/>
        <family val="1"/>
      </rPr>
      <t>3401</t>
    </r>
  </si>
  <si>
    <r>
      <t xml:space="preserve">1 </t>
    </r>
    <r>
      <rPr>
        <sz val="9.5"/>
        <color rgb="FF000000"/>
        <rFont val="宋体"/>
        <family val="3"/>
        <charset val="134"/>
      </rPr>
      <t xml:space="preserve">单元 </t>
    </r>
    <r>
      <rPr>
        <sz val="9.5"/>
        <color rgb="FF000000"/>
        <rFont val="Times New Roman"/>
        <family val="1"/>
      </rPr>
      <t>3402</t>
    </r>
  </si>
  <si>
    <r>
      <t xml:space="preserve">1 </t>
    </r>
    <r>
      <rPr>
        <sz val="9.5"/>
        <color rgb="FF000000"/>
        <rFont val="宋体"/>
        <family val="3"/>
        <charset val="134"/>
      </rPr>
      <t xml:space="preserve">单元 </t>
    </r>
    <r>
      <rPr>
        <sz val="9.5"/>
        <color rgb="FF000000"/>
        <rFont val="Times New Roman"/>
        <family val="1"/>
      </rPr>
      <t>3403</t>
    </r>
  </si>
  <si>
    <r>
      <t xml:space="preserve">1 </t>
    </r>
    <r>
      <rPr>
        <sz val="9.5"/>
        <color rgb="FF000000"/>
        <rFont val="宋体"/>
        <family val="3"/>
        <charset val="134"/>
      </rPr>
      <t xml:space="preserve">单元 </t>
    </r>
    <r>
      <rPr>
        <sz val="9.5"/>
        <color rgb="FF000000"/>
        <rFont val="Times New Roman"/>
        <family val="1"/>
      </rPr>
      <t>3404</t>
    </r>
  </si>
  <si>
    <r>
      <t xml:space="preserve">1 </t>
    </r>
    <r>
      <rPr>
        <sz val="9.5"/>
        <color rgb="FF000000"/>
        <rFont val="宋体"/>
        <family val="3"/>
        <charset val="134"/>
      </rPr>
      <t xml:space="preserve">单元 </t>
    </r>
    <r>
      <rPr>
        <sz val="9.5"/>
        <color rgb="FF000000"/>
        <rFont val="Times New Roman"/>
        <family val="1"/>
      </rPr>
      <t>3405</t>
    </r>
  </si>
  <si>
    <r>
      <t xml:space="preserve">1 </t>
    </r>
    <r>
      <rPr>
        <sz val="9.5"/>
        <color rgb="FF000000"/>
        <rFont val="宋体"/>
        <family val="3"/>
        <charset val="134"/>
      </rPr>
      <t xml:space="preserve">单元 </t>
    </r>
    <r>
      <rPr>
        <sz val="9.5"/>
        <color rgb="FF000000"/>
        <rFont val="Times New Roman"/>
        <family val="1"/>
      </rPr>
      <t>3406</t>
    </r>
  </si>
  <si>
    <r>
      <t xml:space="preserve">1 </t>
    </r>
    <r>
      <rPr>
        <sz val="9.5"/>
        <color rgb="FF000000"/>
        <rFont val="宋体"/>
        <family val="3"/>
        <charset val="134"/>
      </rPr>
      <t xml:space="preserve">单元 </t>
    </r>
    <r>
      <rPr>
        <sz val="9.5"/>
        <color rgb="FF000000"/>
        <rFont val="Times New Roman"/>
        <family val="1"/>
      </rPr>
      <t>3501</t>
    </r>
  </si>
  <si>
    <r>
      <t xml:space="preserve">1 </t>
    </r>
    <r>
      <rPr>
        <sz val="9.5"/>
        <color rgb="FF000000"/>
        <rFont val="宋体"/>
        <family val="3"/>
        <charset val="134"/>
      </rPr>
      <t xml:space="preserve">单元 </t>
    </r>
    <r>
      <rPr>
        <sz val="9.5"/>
        <color rgb="FF000000"/>
        <rFont val="Times New Roman"/>
        <family val="1"/>
      </rPr>
      <t>3502</t>
    </r>
  </si>
  <si>
    <r>
      <t xml:space="preserve">1 </t>
    </r>
    <r>
      <rPr>
        <sz val="9.5"/>
        <color rgb="FF000000"/>
        <rFont val="宋体"/>
        <family val="3"/>
        <charset val="134"/>
      </rPr>
      <t xml:space="preserve">单元 </t>
    </r>
    <r>
      <rPr>
        <sz val="9.5"/>
        <color rgb="FF000000"/>
        <rFont val="Times New Roman"/>
        <family val="1"/>
      </rPr>
      <t>3503</t>
    </r>
  </si>
  <si>
    <r>
      <t xml:space="preserve">1 </t>
    </r>
    <r>
      <rPr>
        <sz val="9.5"/>
        <color rgb="FF000000"/>
        <rFont val="宋体"/>
        <family val="3"/>
        <charset val="134"/>
      </rPr>
      <t xml:space="preserve">单元 </t>
    </r>
    <r>
      <rPr>
        <sz val="9.5"/>
        <color rgb="FF000000"/>
        <rFont val="Times New Roman"/>
        <family val="1"/>
      </rPr>
      <t>3504</t>
    </r>
  </si>
  <si>
    <r>
      <t xml:space="preserve">1 </t>
    </r>
    <r>
      <rPr>
        <sz val="9.5"/>
        <color rgb="FF000000"/>
        <rFont val="宋体"/>
        <family val="3"/>
        <charset val="134"/>
      </rPr>
      <t xml:space="preserve">单元 </t>
    </r>
    <r>
      <rPr>
        <sz val="9.5"/>
        <color rgb="FF000000"/>
        <rFont val="Times New Roman"/>
        <family val="1"/>
      </rPr>
      <t>3505</t>
    </r>
  </si>
  <si>
    <r>
      <t xml:space="preserve">1 </t>
    </r>
    <r>
      <rPr>
        <sz val="9.5"/>
        <color rgb="FF000000"/>
        <rFont val="宋体"/>
        <family val="3"/>
        <charset val="134"/>
      </rPr>
      <t xml:space="preserve">单元 </t>
    </r>
    <r>
      <rPr>
        <sz val="9.5"/>
        <color rgb="FF000000"/>
        <rFont val="Times New Roman"/>
        <family val="1"/>
      </rPr>
      <t>3506</t>
    </r>
  </si>
  <si>
    <r>
      <t xml:space="preserve">1 </t>
    </r>
    <r>
      <rPr>
        <sz val="9.5"/>
        <color rgb="FF000000"/>
        <rFont val="宋体"/>
        <family val="3"/>
        <charset val="134"/>
      </rPr>
      <t xml:space="preserve">单元 </t>
    </r>
    <r>
      <rPr>
        <sz val="9.5"/>
        <color rgb="FF000000"/>
        <rFont val="Times New Roman"/>
        <family val="1"/>
      </rPr>
      <t>3601</t>
    </r>
  </si>
  <si>
    <r>
      <t xml:space="preserve">1 </t>
    </r>
    <r>
      <rPr>
        <sz val="9.5"/>
        <color rgb="FF000000"/>
        <rFont val="宋体"/>
        <family val="3"/>
        <charset val="134"/>
      </rPr>
      <t xml:space="preserve">单元 </t>
    </r>
    <r>
      <rPr>
        <sz val="9.5"/>
        <color rgb="FF000000"/>
        <rFont val="Times New Roman"/>
        <family val="1"/>
      </rPr>
      <t>3602</t>
    </r>
  </si>
  <si>
    <r>
      <t xml:space="preserve">1 </t>
    </r>
    <r>
      <rPr>
        <sz val="9.5"/>
        <color rgb="FF000000"/>
        <rFont val="宋体"/>
        <family val="3"/>
        <charset val="134"/>
      </rPr>
      <t xml:space="preserve">单元 </t>
    </r>
    <r>
      <rPr>
        <sz val="9.5"/>
        <color rgb="FF000000"/>
        <rFont val="Times New Roman"/>
        <family val="1"/>
      </rPr>
      <t>3603</t>
    </r>
  </si>
  <si>
    <r>
      <t xml:space="preserve">1 </t>
    </r>
    <r>
      <rPr>
        <sz val="9.5"/>
        <color rgb="FF000000"/>
        <rFont val="宋体"/>
        <family val="3"/>
        <charset val="134"/>
      </rPr>
      <t xml:space="preserve">单元 </t>
    </r>
    <r>
      <rPr>
        <sz val="9.5"/>
        <color rgb="FF000000"/>
        <rFont val="Times New Roman"/>
        <family val="1"/>
      </rPr>
      <t>3604</t>
    </r>
  </si>
  <si>
    <r>
      <t xml:space="preserve">1 </t>
    </r>
    <r>
      <rPr>
        <sz val="9.5"/>
        <color rgb="FF000000"/>
        <rFont val="宋体"/>
        <family val="3"/>
        <charset val="134"/>
      </rPr>
      <t xml:space="preserve">单元 </t>
    </r>
    <r>
      <rPr>
        <sz val="9.5"/>
        <color rgb="FF000000"/>
        <rFont val="Times New Roman"/>
        <family val="1"/>
      </rPr>
      <t>3605</t>
    </r>
  </si>
  <si>
    <r>
      <t xml:space="preserve">1 </t>
    </r>
    <r>
      <rPr>
        <sz val="9.5"/>
        <color rgb="FF000000"/>
        <rFont val="宋体"/>
        <family val="3"/>
        <charset val="134"/>
      </rPr>
      <t xml:space="preserve">单元 </t>
    </r>
    <r>
      <rPr>
        <sz val="9.5"/>
        <color rgb="FF000000"/>
        <rFont val="Times New Roman"/>
        <family val="1"/>
      </rPr>
      <t>3606</t>
    </r>
  </si>
  <si>
    <r>
      <t xml:space="preserve">2 </t>
    </r>
    <r>
      <rPr>
        <sz val="9.5"/>
        <color rgb="FF000000"/>
        <rFont val="宋体"/>
        <family val="3"/>
        <charset val="134"/>
      </rPr>
      <t xml:space="preserve">单元 </t>
    </r>
    <r>
      <rPr>
        <sz val="9.5"/>
        <color rgb="FF000000"/>
        <rFont val="Times New Roman"/>
        <family val="1"/>
      </rPr>
      <t>601</t>
    </r>
  </si>
  <si>
    <r>
      <t xml:space="preserve">2 </t>
    </r>
    <r>
      <rPr>
        <sz val="9.5"/>
        <color rgb="FF000000"/>
        <rFont val="宋体"/>
        <family val="3"/>
        <charset val="134"/>
      </rPr>
      <t xml:space="preserve">单元 </t>
    </r>
    <r>
      <rPr>
        <sz val="9.5"/>
        <color rgb="FF000000"/>
        <rFont val="Times New Roman"/>
        <family val="1"/>
      </rPr>
      <t>602</t>
    </r>
  </si>
  <si>
    <r>
      <t xml:space="preserve">2 </t>
    </r>
    <r>
      <rPr>
        <sz val="9.5"/>
        <color rgb="FF000000"/>
        <rFont val="宋体"/>
        <family val="3"/>
        <charset val="134"/>
      </rPr>
      <t xml:space="preserve">单元 </t>
    </r>
    <r>
      <rPr>
        <sz val="9.5"/>
        <color rgb="FF000000"/>
        <rFont val="Times New Roman"/>
        <family val="1"/>
      </rPr>
      <t>603</t>
    </r>
  </si>
  <si>
    <r>
      <t xml:space="preserve">2 </t>
    </r>
    <r>
      <rPr>
        <sz val="9.5"/>
        <color rgb="FF000000"/>
        <rFont val="宋体"/>
        <family val="3"/>
        <charset val="134"/>
      </rPr>
      <t xml:space="preserve">单元 </t>
    </r>
    <r>
      <rPr>
        <sz val="9.5"/>
        <color rgb="FF000000"/>
        <rFont val="Times New Roman"/>
        <family val="1"/>
      </rPr>
      <t>604</t>
    </r>
  </si>
  <si>
    <r>
      <t xml:space="preserve">2 </t>
    </r>
    <r>
      <rPr>
        <sz val="9.5"/>
        <color rgb="FF000000"/>
        <rFont val="宋体"/>
        <family val="3"/>
        <charset val="134"/>
      </rPr>
      <t xml:space="preserve">单元 </t>
    </r>
    <r>
      <rPr>
        <sz val="9.5"/>
        <color rgb="FF000000"/>
        <rFont val="Times New Roman"/>
        <family val="1"/>
      </rPr>
      <t>605</t>
    </r>
  </si>
  <si>
    <r>
      <t xml:space="preserve">2 </t>
    </r>
    <r>
      <rPr>
        <sz val="9.5"/>
        <color rgb="FF000000"/>
        <rFont val="宋体"/>
        <family val="3"/>
        <charset val="134"/>
      </rPr>
      <t xml:space="preserve">单元 </t>
    </r>
    <r>
      <rPr>
        <sz val="9.5"/>
        <color rgb="FF000000"/>
        <rFont val="Times New Roman"/>
        <family val="1"/>
      </rPr>
      <t>701</t>
    </r>
  </si>
  <si>
    <r>
      <t xml:space="preserve">2 </t>
    </r>
    <r>
      <rPr>
        <sz val="9.5"/>
        <color rgb="FF000000"/>
        <rFont val="宋体"/>
        <family val="3"/>
        <charset val="134"/>
      </rPr>
      <t xml:space="preserve">单元 </t>
    </r>
    <r>
      <rPr>
        <sz val="9.5"/>
        <color rgb="FF000000"/>
        <rFont val="Times New Roman"/>
        <family val="1"/>
      </rPr>
      <t>702</t>
    </r>
  </si>
  <si>
    <r>
      <t xml:space="preserve">2 </t>
    </r>
    <r>
      <rPr>
        <sz val="9.5"/>
        <color rgb="FF000000"/>
        <rFont val="宋体"/>
        <family val="3"/>
        <charset val="134"/>
      </rPr>
      <t xml:space="preserve">单元 </t>
    </r>
    <r>
      <rPr>
        <sz val="9.5"/>
        <color rgb="FF000000"/>
        <rFont val="Times New Roman"/>
        <family val="1"/>
      </rPr>
      <t>703</t>
    </r>
  </si>
  <si>
    <r>
      <t xml:space="preserve">2 </t>
    </r>
    <r>
      <rPr>
        <sz val="9.5"/>
        <color rgb="FF000000"/>
        <rFont val="宋体"/>
        <family val="3"/>
        <charset val="134"/>
      </rPr>
      <t xml:space="preserve">单元 </t>
    </r>
    <r>
      <rPr>
        <sz val="9.5"/>
        <color rgb="FF000000"/>
        <rFont val="Times New Roman"/>
        <family val="1"/>
      </rPr>
      <t>704</t>
    </r>
  </si>
  <si>
    <r>
      <t xml:space="preserve">2 </t>
    </r>
    <r>
      <rPr>
        <sz val="9.5"/>
        <color rgb="FF000000"/>
        <rFont val="宋体"/>
        <family val="3"/>
        <charset val="134"/>
      </rPr>
      <t xml:space="preserve">单元 </t>
    </r>
    <r>
      <rPr>
        <sz val="9.5"/>
        <color rgb="FF000000"/>
        <rFont val="Times New Roman"/>
        <family val="1"/>
      </rPr>
      <t>705</t>
    </r>
  </si>
  <si>
    <r>
      <t xml:space="preserve">2 </t>
    </r>
    <r>
      <rPr>
        <sz val="9.5"/>
        <color rgb="FF000000"/>
        <rFont val="宋体"/>
        <family val="3"/>
        <charset val="134"/>
      </rPr>
      <t xml:space="preserve">单元 </t>
    </r>
    <r>
      <rPr>
        <sz val="9.5"/>
        <color rgb="FF000000"/>
        <rFont val="Times New Roman"/>
        <family val="1"/>
      </rPr>
      <t>801</t>
    </r>
  </si>
  <si>
    <r>
      <t xml:space="preserve">2 </t>
    </r>
    <r>
      <rPr>
        <sz val="9.5"/>
        <color rgb="FF000000"/>
        <rFont val="宋体"/>
        <family val="3"/>
        <charset val="134"/>
      </rPr>
      <t xml:space="preserve">单元 </t>
    </r>
    <r>
      <rPr>
        <sz val="9.5"/>
        <color rgb="FF000000"/>
        <rFont val="Times New Roman"/>
        <family val="1"/>
      </rPr>
      <t>802</t>
    </r>
  </si>
  <si>
    <r>
      <t xml:space="preserve">2 </t>
    </r>
    <r>
      <rPr>
        <sz val="9.5"/>
        <color rgb="FF000000"/>
        <rFont val="宋体"/>
        <family val="3"/>
        <charset val="134"/>
      </rPr>
      <t xml:space="preserve">单元 </t>
    </r>
    <r>
      <rPr>
        <sz val="9.5"/>
        <color rgb="FF000000"/>
        <rFont val="Times New Roman"/>
        <family val="1"/>
      </rPr>
      <t>803</t>
    </r>
  </si>
  <si>
    <r>
      <t xml:space="preserve">2 </t>
    </r>
    <r>
      <rPr>
        <sz val="9.5"/>
        <color rgb="FF000000"/>
        <rFont val="宋体"/>
        <family val="3"/>
        <charset val="134"/>
      </rPr>
      <t xml:space="preserve">单元 </t>
    </r>
    <r>
      <rPr>
        <sz val="9.5"/>
        <color rgb="FF000000"/>
        <rFont val="Times New Roman"/>
        <family val="1"/>
      </rPr>
      <t>804</t>
    </r>
  </si>
  <si>
    <r>
      <t xml:space="preserve">2 </t>
    </r>
    <r>
      <rPr>
        <sz val="9.5"/>
        <color rgb="FF000000"/>
        <rFont val="宋体"/>
        <family val="3"/>
        <charset val="134"/>
      </rPr>
      <t xml:space="preserve">单元 </t>
    </r>
    <r>
      <rPr>
        <sz val="9.5"/>
        <color rgb="FF000000"/>
        <rFont val="Times New Roman"/>
        <family val="1"/>
      </rPr>
      <t>805</t>
    </r>
  </si>
  <si>
    <r>
      <t xml:space="preserve">2 </t>
    </r>
    <r>
      <rPr>
        <sz val="9.5"/>
        <color rgb="FF000000"/>
        <rFont val="宋体"/>
        <family val="3"/>
        <charset val="134"/>
      </rPr>
      <t xml:space="preserve">单元 </t>
    </r>
    <r>
      <rPr>
        <sz val="9.5"/>
        <color rgb="FF000000"/>
        <rFont val="Times New Roman"/>
        <family val="1"/>
      </rPr>
      <t>901</t>
    </r>
  </si>
  <si>
    <r>
      <t xml:space="preserve">2 </t>
    </r>
    <r>
      <rPr>
        <sz val="9.5"/>
        <color rgb="FF000000"/>
        <rFont val="宋体"/>
        <family val="3"/>
        <charset val="134"/>
      </rPr>
      <t xml:space="preserve">单元 </t>
    </r>
    <r>
      <rPr>
        <sz val="9.5"/>
        <color rgb="FF000000"/>
        <rFont val="Times New Roman"/>
        <family val="1"/>
      </rPr>
      <t>902</t>
    </r>
  </si>
  <si>
    <r>
      <t xml:space="preserve">2 </t>
    </r>
    <r>
      <rPr>
        <sz val="9.5"/>
        <color rgb="FF000000"/>
        <rFont val="宋体"/>
        <family val="3"/>
        <charset val="134"/>
      </rPr>
      <t xml:space="preserve">单元 </t>
    </r>
    <r>
      <rPr>
        <sz val="9.5"/>
        <color rgb="FF000000"/>
        <rFont val="Times New Roman"/>
        <family val="1"/>
      </rPr>
      <t>903</t>
    </r>
  </si>
  <si>
    <r>
      <t xml:space="preserve">2 </t>
    </r>
    <r>
      <rPr>
        <sz val="9.5"/>
        <color rgb="FF000000"/>
        <rFont val="宋体"/>
        <family val="3"/>
        <charset val="134"/>
      </rPr>
      <t xml:space="preserve">单元 </t>
    </r>
    <r>
      <rPr>
        <sz val="9.5"/>
        <color rgb="FF000000"/>
        <rFont val="Times New Roman"/>
        <family val="1"/>
      </rPr>
      <t>904</t>
    </r>
  </si>
  <si>
    <r>
      <t xml:space="preserve">2 </t>
    </r>
    <r>
      <rPr>
        <sz val="9.5"/>
        <color rgb="FF000000"/>
        <rFont val="宋体"/>
        <family val="3"/>
        <charset val="134"/>
      </rPr>
      <t xml:space="preserve">单元 </t>
    </r>
    <r>
      <rPr>
        <sz val="9.5"/>
        <color rgb="FF000000"/>
        <rFont val="Times New Roman"/>
        <family val="1"/>
      </rPr>
      <t>905</t>
    </r>
  </si>
  <si>
    <r>
      <t xml:space="preserve">2 </t>
    </r>
    <r>
      <rPr>
        <sz val="9.5"/>
        <color rgb="FF000000"/>
        <rFont val="宋体"/>
        <family val="3"/>
        <charset val="134"/>
      </rPr>
      <t xml:space="preserve">单元 </t>
    </r>
    <r>
      <rPr>
        <sz val="9.5"/>
        <color rgb="FF000000"/>
        <rFont val="Times New Roman"/>
        <family val="1"/>
      </rPr>
      <t>1001</t>
    </r>
  </si>
  <si>
    <r>
      <t xml:space="preserve">2 </t>
    </r>
    <r>
      <rPr>
        <sz val="9.5"/>
        <color rgb="FF000000"/>
        <rFont val="宋体"/>
        <family val="3"/>
        <charset val="134"/>
      </rPr>
      <t xml:space="preserve">单元 </t>
    </r>
    <r>
      <rPr>
        <sz val="9.5"/>
        <color rgb="FF000000"/>
        <rFont val="Times New Roman"/>
        <family val="1"/>
      </rPr>
      <t>1002</t>
    </r>
  </si>
  <si>
    <r>
      <t xml:space="preserve">2 </t>
    </r>
    <r>
      <rPr>
        <sz val="9.5"/>
        <color rgb="FF000000"/>
        <rFont val="宋体"/>
        <family val="3"/>
        <charset val="134"/>
      </rPr>
      <t xml:space="preserve">单元 </t>
    </r>
    <r>
      <rPr>
        <sz val="9.5"/>
        <color rgb="FF000000"/>
        <rFont val="Times New Roman"/>
        <family val="1"/>
      </rPr>
      <t>1003</t>
    </r>
  </si>
  <si>
    <r>
      <t xml:space="preserve">2 </t>
    </r>
    <r>
      <rPr>
        <sz val="9.5"/>
        <color rgb="FF000000"/>
        <rFont val="宋体"/>
        <family val="3"/>
        <charset val="134"/>
      </rPr>
      <t xml:space="preserve">单元 </t>
    </r>
    <r>
      <rPr>
        <sz val="9.5"/>
        <color rgb="FF000000"/>
        <rFont val="Times New Roman"/>
        <family val="1"/>
      </rPr>
      <t>1004</t>
    </r>
  </si>
  <si>
    <r>
      <t xml:space="preserve">2 </t>
    </r>
    <r>
      <rPr>
        <sz val="9.5"/>
        <color rgb="FF000000"/>
        <rFont val="宋体"/>
        <family val="3"/>
        <charset val="134"/>
      </rPr>
      <t xml:space="preserve">单元 </t>
    </r>
    <r>
      <rPr>
        <sz val="9.5"/>
        <color rgb="FF000000"/>
        <rFont val="Times New Roman"/>
        <family val="1"/>
      </rPr>
      <t>1005</t>
    </r>
  </si>
  <si>
    <r>
      <t xml:space="preserve">2 </t>
    </r>
    <r>
      <rPr>
        <sz val="9.5"/>
        <color rgb="FF000000"/>
        <rFont val="宋体"/>
        <family val="3"/>
        <charset val="134"/>
      </rPr>
      <t xml:space="preserve">单元 </t>
    </r>
    <r>
      <rPr>
        <sz val="9.5"/>
        <color rgb="FF000000"/>
        <rFont val="Times New Roman"/>
        <family val="1"/>
      </rPr>
      <t>1101</t>
    </r>
  </si>
  <si>
    <r>
      <t xml:space="preserve">2 </t>
    </r>
    <r>
      <rPr>
        <sz val="9.5"/>
        <color rgb="FF000000"/>
        <rFont val="宋体"/>
        <family val="3"/>
        <charset val="134"/>
      </rPr>
      <t xml:space="preserve">单元 </t>
    </r>
    <r>
      <rPr>
        <sz val="9.5"/>
        <color rgb="FF000000"/>
        <rFont val="Times New Roman"/>
        <family val="1"/>
      </rPr>
      <t>1102</t>
    </r>
  </si>
  <si>
    <r>
      <t xml:space="preserve">2 </t>
    </r>
    <r>
      <rPr>
        <sz val="9.5"/>
        <color rgb="FF000000"/>
        <rFont val="宋体"/>
        <family val="3"/>
        <charset val="134"/>
      </rPr>
      <t xml:space="preserve">单元 </t>
    </r>
    <r>
      <rPr>
        <sz val="9.5"/>
        <color rgb="FF000000"/>
        <rFont val="Times New Roman"/>
        <family val="1"/>
      </rPr>
      <t>1103</t>
    </r>
  </si>
  <si>
    <r>
      <t xml:space="preserve">2 </t>
    </r>
    <r>
      <rPr>
        <sz val="9.5"/>
        <color rgb="FF000000"/>
        <rFont val="宋体"/>
        <family val="3"/>
        <charset val="134"/>
      </rPr>
      <t xml:space="preserve">单元 </t>
    </r>
    <r>
      <rPr>
        <sz val="9.5"/>
        <color rgb="FF000000"/>
        <rFont val="Times New Roman"/>
        <family val="1"/>
      </rPr>
      <t>1104</t>
    </r>
  </si>
  <si>
    <r>
      <t xml:space="preserve">2 </t>
    </r>
    <r>
      <rPr>
        <sz val="9.5"/>
        <color rgb="FF000000"/>
        <rFont val="宋体"/>
        <family val="3"/>
        <charset val="134"/>
      </rPr>
      <t xml:space="preserve">单元 </t>
    </r>
    <r>
      <rPr>
        <sz val="9.5"/>
        <color rgb="FF000000"/>
        <rFont val="Times New Roman"/>
        <family val="1"/>
      </rPr>
      <t>1105</t>
    </r>
  </si>
  <si>
    <r>
      <t xml:space="preserve">2 </t>
    </r>
    <r>
      <rPr>
        <sz val="9.5"/>
        <color rgb="FF000000"/>
        <rFont val="宋体"/>
        <family val="3"/>
        <charset val="134"/>
      </rPr>
      <t xml:space="preserve">单元 </t>
    </r>
    <r>
      <rPr>
        <sz val="9.5"/>
        <color rgb="FF000000"/>
        <rFont val="Times New Roman"/>
        <family val="1"/>
      </rPr>
      <t>1201</t>
    </r>
  </si>
  <si>
    <r>
      <t xml:space="preserve">2 </t>
    </r>
    <r>
      <rPr>
        <sz val="9.5"/>
        <color rgb="FF000000"/>
        <rFont val="宋体"/>
        <family val="3"/>
        <charset val="134"/>
      </rPr>
      <t xml:space="preserve">单元 </t>
    </r>
    <r>
      <rPr>
        <sz val="9.5"/>
        <color rgb="FF000000"/>
        <rFont val="Times New Roman"/>
        <family val="1"/>
      </rPr>
      <t>1202</t>
    </r>
  </si>
  <si>
    <r>
      <t xml:space="preserve">2 </t>
    </r>
    <r>
      <rPr>
        <sz val="9.5"/>
        <color rgb="FF000000"/>
        <rFont val="宋体"/>
        <family val="3"/>
        <charset val="134"/>
      </rPr>
      <t xml:space="preserve">单元 </t>
    </r>
    <r>
      <rPr>
        <sz val="9.5"/>
        <color rgb="FF000000"/>
        <rFont val="Times New Roman"/>
        <family val="1"/>
      </rPr>
      <t>1203</t>
    </r>
  </si>
  <si>
    <r>
      <t xml:space="preserve">2 </t>
    </r>
    <r>
      <rPr>
        <sz val="9.5"/>
        <color rgb="FF000000"/>
        <rFont val="宋体"/>
        <family val="3"/>
        <charset val="134"/>
      </rPr>
      <t xml:space="preserve">单元 </t>
    </r>
    <r>
      <rPr>
        <sz val="9.5"/>
        <color rgb="FF000000"/>
        <rFont val="Times New Roman"/>
        <family val="1"/>
      </rPr>
      <t>1204</t>
    </r>
  </si>
  <si>
    <r>
      <t xml:space="preserve">2 </t>
    </r>
    <r>
      <rPr>
        <sz val="9.5"/>
        <color rgb="FF000000"/>
        <rFont val="宋体"/>
        <family val="3"/>
        <charset val="134"/>
      </rPr>
      <t xml:space="preserve">单元 </t>
    </r>
    <r>
      <rPr>
        <sz val="9.5"/>
        <color rgb="FF000000"/>
        <rFont val="Times New Roman"/>
        <family val="1"/>
      </rPr>
      <t>1205</t>
    </r>
  </si>
  <si>
    <r>
      <t xml:space="preserve">2 </t>
    </r>
    <r>
      <rPr>
        <sz val="9.5"/>
        <color rgb="FF000000"/>
        <rFont val="宋体"/>
        <family val="3"/>
        <charset val="134"/>
      </rPr>
      <t xml:space="preserve">单元 </t>
    </r>
    <r>
      <rPr>
        <sz val="9.5"/>
        <color rgb="FF000000"/>
        <rFont val="Times New Roman"/>
        <family val="1"/>
      </rPr>
      <t>1401</t>
    </r>
  </si>
  <si>
    <r>
      <t xml:space="preserve">2 </t>
    </r>
    <r>
      <rPr>
        <sz val="9.5"/>
        <color rgb="FF000000"/>
        <rFont val="宋体"/>
        <family val="3"/>
        <charset val="134"/>
      </rPr>
      <t xml:space="preserve">单元 </t>
    </r>
    <r>
      <rPr>
        <sz val="9.5"/>
        <color rgb="FF000000"/>
        <rFont val="Times New Roman"/>
        <family val="1"/>
      </rPr>
      <t>1402</t>
    </r>
  </si>
  <si>
    <r>
      <t xml:space="preserve">2 </t>
    </r>
    <r>
      <rPr>
        <sz val="9.5"/>
        <color rgb="FF000000"/>
        <rFont val="宋体"/>
        <family val="3"/>
        <charset val="134"/>
      </rPr>
      <t xml:space="preserve">单元 </t>
    </r>
    <r>
      <rPr>
        <sz val="9.5"/>
        <color rgb="FF000000"/>
        <rFont val="Times New Roman"/>
        <family val="1"/>
      </rPr>
      <t>1403</t>
    </r>
  </si>
  <si>
    <r>
      <t xml:space="preserve">2 </t>
    </r>
    <r>
      <rPr>
        <sz val="9.5"/>
        <color rgb="FF000000"/>
        <rFont val="宋体"/>
        <family val="3"/>
        <charset val="134"/>
      </rPr>
      <t xml:space="preserve">单元 </t>
    </r>
    <r>
      <rPr>
        <sz val="9.5"/>
        <color rgb="FF000000"/>
        <rFont val="Times New Roman"/>
        <family val="1"/>
      </rPr>
      <t>1404</t>
    </r>
  </si>
  <si>
    <r>
      <t xml:space="preserve">2 </t>
    </r>
    <r>
      <rPr>
        <sz val="9.5"/>
        <color rgb="FF000000"/>
        <rFont val="宋体"/>
        <family val="3"/>
        <charset val="134"/>
      </rPr>
      <t xml:space="preserve">单元 </t>
    </r>
    <r>
      <rPr>
        <sz val="9.5"/>
        <color rgb="FF000000"/>
        <rFont val="Times New Roman"/>
        <family val="1"/>
      </rPr>
      <t>1405</t>
    </r>
  </si>
  <si>
    <r>
      <t xml:space="preserve">2 </t>
    </r>
    <r>
      <rPr>
        <sz val="9.5"/>
        <color rgb="FF000000"/>
        <rFont val="宋体"/>
        <family val="3"/>
        <charset val="134"/>
      </rPr>
      <t xml:space="preserve">单元 </t>
    </r>
    <r>
      <rPr>
        <sz val="9.5"/>
        <color rgb="FF000000"/>
        <rFont val="Times New Roman"/>
        <family val="1"/>
      </rPr>
      <t>1501</t>
    </r>
  </si>
  <si>
    <r>
      <t xml:space="preserve">2 </t>
    </r>
    <r>
      <rPr>
        <sz val="9.5"/>
        <color rgb="FF000000"/>
        <rFont val="宋体"/>
        <family val="3"/>
        <charset val="134"/>
      </rPr>
      <t xml:space="preserve">单元 </t>
    </r>
    <r>
      <rPr>
        <sz val="9.5"/>
        <color rgb="FF000000"/>
        <rFont val="Times New Roman"/>
        <family val="1"/>
      </rPr>
      <t>1502</t>
    </r>
  </si>
  <si>
    <r>
      <t xml:space="preserve">2 </t>
    </r>
    <r>
      <rPr>
        <sz val="9.5"/>
        <color rgb="FF000000"/>
        <rFont val="宋体"/>
        <family val="3"/>
        <charset val="134"/>
      </rPr>
      <t xml:space="preserve">单元 </t>
    </r>
    <r>
      <rPr>
        <sz val="9.5"/>
        <color rgb="FF000000"/>
        <rFont val="Times New Roman"/>
        <family val="1"/>
      </rPr>
      <t>1503</t>
    </r>
  </si>
  <si>
    <r>
      <t xml:space="preserve">2 </t>
    </r>
    <r>
      <rPr>
        <sz val="9.5"/>
        <color rgb="FF000000"/>
        <rFont val="宋体"/>
        <family val="3"/>
        <charset val="134"/>
      </rPr>
      <t xml:space="preserve">单元 </t>
    </r>
    <r>
      <rPr>
        <sz val="9.5"/>
        <color rgb="FF000000"/>
        <rFont val="Times New Roman"/>
        <family val="1"/>
      </rPr>
      <t>1504</t>
    </r>
  </si>
  <si>
    <r>
      <t xml:space="preserve">2 </t>
    </r>
    <r>
      <rPr>
        <sz val="9.5"/>
        <color rgb="FF000000"/>
        <rFont val="宋体"/>
        <family val="3"/>
        <charset val="134"/>
      </rPr>
      <t xml:space="preserve">单元 </t>
    </r>
    <r>
      <rPr>
        <sz val="9.5"/>
        <color rgb="FF000000"/>
        <rFont val="Times New Roman"/>
        <family val="1"/>
      </rPr>
      <t>1505</t>
    </r>
  </si>
  <si>
    <r>
      <t xml:space="preserve">2 </t>
    </r>
    <r>
      <rPr>
        <sz val="9.5"/>
        <color rgb="FF000000"/>
        <rFont val="宋体"/>
        <family val="3"/>
        <charset val="134"/>
      </rPr>
      <t xml:space="preserve">单元 </t>
    </r>
    <r>
      <rPr>
        <sz val="9.5"/>
        <color rgb="FF000000"/>
        <rFont val="Times New Roman"/>
        <family val="1"/>
      </rPr>
      <t>1601</t>
    </r>
  </si>
  <si>
    <r>
      <t xml:space="preserve">2 </t>
    </r>
    <r>
      <rPr>
        <sz val="9.5"/>
        <color rgb="FF000000"/>
        <rFont val="宋体"/>
        <family val="3"/>
        <charset val="134"/>
      </rPr>
      <t xml:space="preserve">单元 </t>
    </r>
    <r>
      <rPr>
        <sz val="9.5"/>
        <color rgb="FF000000"/>
        <rFont val="Times New Roman"/>
        <family val="1"/>
      </rPr>
      <t>1602</t>
    </r>
  </si>
  <si>
    <r>
      <t xml:space="preserve">2 </t>
    </r>
    <r>
      <rPr>
        <sz val="9.5"/>
        <color rgb="FF000000"/>
        <rFont val="宋体"/>
        <family val="3"/>
        <charset val="134"/>
      </rPr>
      <t xml:space="preserve">单元 </t>
    </r>
    <r>
      <rPr>
        <sz val="9.5"/>
        <color rgb="FF000000"/>
        <rFont val="Times New Roman"/>
        <family val="1"/>
      </rPr>
      <t>1603</t>
    </r>
  </si>
  <si>
    <r>
      <t xml:space="preserve">2 </t>
    </r>
    <r>
      <rPr>
        <sz val="9.5"/>
        <color rgb="FF000000"/>
        <rFont val="宋体"/>
        <family val="3"/>
        <charset val="134"/>
      </rPr>
      <t xml:space="preserve">单元 </t>
    </r>
    <r>
      <rPr>
        <sz val="9.5"/>
        <color rgb="FF000000"/>
        <rFont val="Times New Roman"/>
        <family val="1"/>
      </rPr>
      <t>1604</t>
    </r>
  </si>
  <si>
    <r>
      <t xml:space="preserve">2 </t>
    </r>
    <r>
      <rPr>
        <sz val="9.5"/>
        <color rgb="FF000000"/>
        <rFont val="宋体"/>
        <family val="3"/>
        <charset val="134"/>
      </rPr>
      <t xml:space="preserve">单元 </t>
    </r>
    <r>
      <rPr>
        <sz val="9.5"/>
        <color rgb="FF000000"/>
        <rFont val="Times New Roman"/>
        <family val="1"/>
      </rPr>
      <t>1605</t>
    </r>
  </si>
  <si>
    <r>
      <t xml:space="preserve">2 </t>
    </r>
    <r>
      <rPr>
        <sz val="9.5"/>
        <color rgb="FF000000"/>
        <rFont val="宋体"/>
        <family val="3"/>
        <charset val="134"/>
      </rPr>
      <t xml:space="preserve">单元 </t>
    </r>
    <r>
      <rPr>
        <sz val="9.5"/>
        <color rgb="FF000000"/>
        <rFont val="Times New Roman"/>
        <family val="1"/>
      </rPr>
      <t>1701</t>
    </r>
  </si>
  <si>
    <r>
      <t xml:space="preserve">2 </t>
    </r>
    <r>
      <rPr>
        <sz val="9.5"/>
        <color rgb="FF000000"/>
        <rFont val="宋体"/>
        <family val="3"/>
        <charset val="134"/>
      </rPr>
      <t xml:space="preserve">单元 </t>
    </r>
    <r>
      <rPr>
        <sz val="9.5"/>
        <color rgb="FF000000"/>
        <rFont val="Times New Roman"/>
        <family val="1"/>
      </rPr>
      <t>1702</t>
    </r>
  </si>
  <si>
    <r>
      <t xml:space="preserve">2 </t>
    </r>
    <r>
      <rPr>
        <sz val="9.5"/>
        <color rgb="FF000000"/>
        <rFont val="宋体"/>
        <family val="3"/>
        <charset val="134"/>
      </rPr>
      <t xml:space="preserve">单元 </t>
    </r>
    <r>
      <rPr>
        <sz val="9.5"/>
        <color rgb="FF000000"/>
        <rFont val="Times New Roman"/>
        <family val="1"/>
      </rPr>
      <t>1703</t>
    </r>
  </si>
  <si>
    <r>
      <t xml:space="preserve">2 </t>
    </r>
    <r>
      <rPr>
        <sz val="9.5"/>
        <color rgb="FF000000"/>
        <rFont val="宋体"/>
        <family val="3"/>
        <charset val="134"/>
      </rPr>
      <t xml:space="preserve">单元 </t>
    </r>
    <r>
      <rPr>
        <sz val="9.5"/>
        <color rgb="FF000000"/>
        <rFont val="Times New Roman"/>
        <family val="1"/>
      </rPr>
      <t>1704</t>
    </r>
  </si>
  <si>
    <r>
      <t xml:space="preserve">2 </t>
    </r>
    <r>
      <rPr>
        <sz val="9.5"/>
        <color rgb="FF000000"/>
        <rFont val="宋体"/>
        <family val="3"/>
        <charset val="134"/>
      </rPr>
      <t xml:space="preserve">单元 </t>
    </r>
    <r>
      <rPr>
        <sz val="9.5"/>
        <color rgb="FF000000"/>
        <rFont val="Times New Roman"/>
        <family val="1"/>
      </rPr>
      <t>1705</t>
    </r>
  </si>
  <si>
    <r>
      <t xml:space="preserve">2 </t>
    </r>
    <r>
      <rPr>
        <sz val="9.5"/>
        <color rgb="FF000000"/>
        <rFont val="宋体"/>
        <family val="3"/>
        <charset val="134"/>
      </rPr>
      <t xml:space="preserve">单元 </t>
    </r>
    <r>
      <rPr>
        <sz val="9.5"/>
        <color rgb="FF000000"/>
        <rFont val="Times New Roman"/>
        <family val="1"/>
      </rPr>
      <t>1801</t>
    </r>
  </si>
  <si>
    <r>
      <t xml:space="preserve">2 </t>
    </r>
    <r>
      <rPr>
        <sz val="9.5"/>
        <color rgb="FF000000"/>
        <rFont val="宋体"/>
        <family val="3"/>
        <charset val="134"/>
      </rPr>
      <t xml:space="preserve">单元 </t>
    </r>
    <r>
      <rPr>
        <sz val="9.5"/>
        <color rgb="FF000000"/>
        <rFont val="Times New Roman"/>
        <family val="1"/>
      </rPr>
      <t>1802</t>
    </r>
  </si>
  <si>
    <r>
      <t xml:space="preserve">2 </t>
    </r>
    <r>
      <rPr>
        <sz val="9.5"/>
        <color rgb="FF000000"/>
        <rFont val="宋体"/>
        <family val="3"/>
        <charset val="134"/>
      </rPr>
      <t xml:space="preserve">单元 </t>
    </r>
    <r>
      <rPr>
        <sz val="9.5"/>
        <color rgb="FF000000"/>
        <rFont val="Times New Roman"/>
        <family val="1"/>
      </rPr>
      <t>1803</t>
    </r>
  </si>
  <si>
    <r>
      <t xml:space="preserve">2 </t>
    </r>
    <r>
      <rPr>
        <sz val="9.5"/>
        <color rgb="FF000000"/>
        <rFont val="宋体"/>
        <family val="3"/>
        <charset val="134"/>
      </rPr>
      <t xml:space="preserve">单元 </t>
    </r>
    <r>
      <rPr>
        <sz val="9.5"/>
        <color rgb="FF000000"/>
        <rFont val="Times New Roman"/>
        <family val="1"/>
      </rPr>
      <t>1804</t>
    </r>
  </si>
  <si>
    <r>
      <t xml:space="preserve">2 </t>
    </r>
    <r>
      <rPr>
        <sz val="9.5"/>
        <color rgb="FF000000"/>
        <rFont val="宋体"/>
        <family val="3"/>
        <charset val="134"/>
      </rPr>
      <t xml:space="preserve">单元 </t>
    </r>
    <r>
      <rPr>
        <sz val="9.5"/>
        <color rgb="FF000000"/>
        <rFont val="Times New Roman"/>
        <family val="1"/>
      </rPr>
      <t>1805</t>
    </r>
  </si>
  <si>
    <r>
      <t xml:space="preserve">2 </t>
    </r>
    <r>
      <rPr>
        <sz val="9.5"/>
        <color rgb="FF000000"/>
        <rFont val="宋体"/>
        <family val="3"/>
        <charset val="134"/>
      </rPr>
      <t xml:space="preserve">单元 </t>
    </r>
    <r>
      <rPr>
        <sz val="9.5"/>
        <color rgb="FF000000"/>
        <rFont val="Times New Roman"/>
        <family val="1"/>
      </rPr>
      <t>1901</t>
    </r>
  </si>
  <si>
    <r>
      <t xml:space="preserve">2 </t>
    </r>
    <r>
      <rPr>
        <sz val="9.5"/>
        <color rgb="FF000000"/>
        <rFont val="宋体"/>
        <family val="3"/>
        <charset val="134"/>
      </rPr>
      <t xml:space="preserve">单元 </t>
    </r>
    <r>
      <rPr>
        <sz val="9.5"/>
        <color rgb="FF000000"/>
        <rFont val="Times New Roman"/>
        <family val="1"/>
      </rPr>
      <t>1902</t>
    </r>
  </si>
  <si>
    <r>
      <t xml:space="preserve">2 </t>
    </r>
    <r>
      <rPr>
        <sz val="9.5"/>
        <color rgb="FF000000"/>
        <rFont val="宋体"/>
        <family val="3"/>
        <charset val="134"/>
      </rPr>
      <t xml:space="preserve">单元 </t>
    </r>
    <r>
      <rPr>
        <sz val="9.5"/>
        <color rgb="FF000000"/>
        <rFont val="Times New Roman"/>
        <family val="1"/>
      </rPr>
      <t>1903</t>
    </r>
  </si>
  <si>
    <r>
      <t xml:space="preserve">2 </t>
    </r>
    <r>
      <rPr>
        <sz val="9.5"/>
        <color rgb="FF000000"/>
        <rFont val="宋体"/>
        <family val="3"/>
        <charset val="134"/>
      </rPr>
      <t xml:space="preserve">单元 </t>
    </r>
    <r>
      <rPr>
        <sz val="9.5"/>
        <color rgb="FF000000"/>
        <rFont val="Times New Roman"/>
        <family val="1"/>
      </rPr>
      <t>1904</t>
    </r>
  </si>
  <si>
    <r>
      <t xml:space="preserve">2 </t>
    </r>
    <r>
      <rPr>
        <sz val="9.5"/>
        <color rgb="FF000000"/>
        <rFont val="宋体"/>
        <family val="3"/>
        <charset val="134"/>
      </rPr>
      <t xml:space="preserve">单元 </t>
    </r>
    <r>
      <rPr>
        <sz val="9.5"/>
        <color rgb="FF000000"/>
        <rFont val="Times New Roman"/>
        <family val="1"/>
      </rPr>
      <t>1905</t>
    </r>
  </si>
  <si>
    <r>
      <t xml:space="preserve">2 </t>
    </r>
    <r>
      <rPr>
        <sz val="9.5"/>
        <color rgb="FF000000"/>
        <rFont val="宋体"/>
        <family val="3"/>
        <charset val="134"/>
      </rPr>
      <t xml:space="preserve">单元 </t>
    </r>
    <r>
      <rPr>
        <sz val="9.5"/>
        <color rgb="FF000000"/>
        <rFont val="Times New Roman"/>
        <family val="1"/>
      </rPr>
      <t>2001</t>
    </r>
  </si>
  <si>
    <r>
      <t xml:space="preserve">2 </t>
    </r>
    <r>
      <rPr>
        <sz val="9.5"/>
        <color rgb="FF000000"/>
        <rFont val="宋体"/>
        <family val="3"/>
        <charset val="134"/>
      </rPr>
      <t xml:space="preserve">单元 </t>
    </r>
    <r>
      <rPr>
        <sz val="9.5"/>
        <color rgb="FF000000"/>
        <rFont val="Times New Roman"/>
        <family val="1"/>
      </rPr>
      <t>2002</t>
    </r>
  </si>
  <si>
    <r>
      <t xml:space="preserve">2 </t>
    </r>
    <r>
      <rPr>
        <sz val="9.5"/>
        <color rgb="FF000000"/>
        <rFont val="宋体"/>
        <family val="3"/>
        <charset val="134"/>
      </rPr>
      <t xml:space="preserve">单元 </t>
    </r>
    <r>
      <rPr>
        <sz val="9.5"/>
        <color rgb="FF000000"/>
        <rFont val="Times New Roman"/>
        <family val="1"/>
      </rPr>
      <t>2003</t>
    </r>
  </si>
  <si>
    <r>
      <t xml:space="preserve">2 </t>
    </r>
    <r>
      <rPr>
        <sz val="9.5"/>
        <color rgb="FF000000"/>
        <rFont val="宋体"/>
        <family val="3"/>
        <charset val="134"/>
      </rPr>
      <t xml:space="preserve">单元 </t>
    </r>
    <r>
      <rPr>
        <sz val="9.5"/>
        <color rgb="FF000000"/>
        <rFont val="Times New Roman"/>
        <family val="1"/>
      </rPr>
      <t>2004</t>
    </r>
  </si>
  <si>
    <r>
      <t xml:space="preserve">2 </t>
    </r>
    <r>
      <rPr>
        <sz val="9.5"/>
        <color rgb="FF000000"/>
        <rFont val="宋体"/>
        <family val="3"/>
        <charset val="134"/>
      </rPr>
      <t xml:space="preserve">单元 </t>
    </r>
    <r>
      <rPr>
        <sz val="9.5"/>
        <color rgb="FF000000"/>
        <rFont val="Times New Roman"/>
        <family val="1"/>
      </rPr>
      <t>2005</t>
    </r>
  </si>
  <si>
    <r>
      <t xml:space="preserve">2 </t>
    </r>
    <r>
      <rPr>
        <sz val="9.5"/>
        <color rgb="FF000000"/>
        <rFont val="宋体"/>
        <family val="3"/>
        <charset val="134"/>
      </rPr>
      <t xml:space="preserve">单元 </t>
    </r>
    <r>
      <rPr>
        <sz val="9.5"/>
        <color rgb="FF000000"/>
        <rFont val="Times New Roman"/>
        <family val="1"/>
      </rPr>
      <t>2101</t>
    </r>
  </si>
  <si>
    <r>
      <t xml:space="preserve">2 </t>
    </r>
    <r>
      <rPr>
        <sz val="9.5"/>
        <color rgb="FF000000"/>
        <rFont val="宋体"/>
        <family val="3"/>
        <charset val="134"/>
      </rPr>
      <t xml:space="preserve">单元 </t>
    </r>
    <r>
      <rPr>
        <sz val="9.5"/>
        <color rgb="FF000000"/>
        <rFont val="Times New Roman"/>
        <family val="1"/>
      </rPr>
      <t>2102</t>
    </r>
  </si>
  <si>
    <r>
      <t xml:space="preserve">2 </t>
    </r>
    <r>
      <rPr>
        <sz val="9.5"/>
        <color rgb="FF000000"/>
        <rFont val="宋体"/>
        <family val="3"/>
        <charset val="134"/>
      </rPr>
      <t xml:space="preserve">单元 </t>
    </r>
    <r>
      <rPr>
        <sz val="9.5"/>
        <color rgb="FF000000"/>
        <rFont val="Times New Roman"/>
        <family val="1"/>
      </rPr>
      <t>2103</t>
    </r>
  </si>
  <si>
    <r>
      <t xml:space="preserve">2 </t>
    </r>
    <r>
      <rPr>
        <sz val="9.5"/>
        <color rgb="FF000000"/>
        <rFont val="宋体"/>
        <family val="3"/>
        <charset val="134"/>
      </rPr>
      <t xml:space="preserve">单元 </t>
    </r>
    <r>
      <rPr>
        <sz val="9.5"/>
        <color rgb="FF000000"/>
        <rFont val="Times New Roman"/>
        <family val="1"/>
      </rPr>
      <t>2104</t>
    </r>
  </si>
  <si>
    <r>
      <t xml:space="preserve">2 </t>
    </r>
    <r>
      <rPr>
        <sz val="9.5"/>
        <color rgb="FF000000"/>
        <rFont val="宋体"/>
        <family val="3"/>
        <charset val="134"/>
      </rPr>
      <t xml:space="preserve">单元 </t>
    </r>
    <r>
      <rPr>
        <sz val="9.5"/>
        <color rgb="FF000000"/>
        <rFont val="Times New Roman"/>
        <family val="1"/>
      </rPr>
      <t>2105</t>
    </r>
  </si>
  <si>
    <r>
      <t xml:space="preserve">2 </t>
    </r>
    <r>
      <rPr>
        <sz val="9.5"/>
        <color rgb="FF000000"/>
        <rFont val="宋体"/>
        <family val="3"/>
        <charset val="134"/>
      </rPr>
      <t xml:space="preserve">单元 </t>
    </r>
    <r>
      <rPr>
        <sz val="9.5"/>
        <color rgb="FF000000"/>
        <rFont val="Times New Roman"/>
        <family val="1"/>
      </rPr>
      <t>2201</t>
    </r>
  </si>
  <si>
    <r>
      <t xml:space="preserve">2 </t>
    </r>
    <r>
      <rPr>
        <sz val="9.5"/>
        <color rgb="FF000000"/>
        <rFont val="宋体"/>
        <family val="3"/>
        <charset val="134"/>
      </rPr>
      <t xml:space="preserve">单元 </t>
    </r>
    <r>
      <rPr>
        <sz val="9.5"/>
        <color rgb="FF000000"/>
        <rFont val="Times New Roman"/>
        <family val="1"/>
      </rPr>
      <t>2202</t>
    </r>
  </si>
  <si>
    <r>
      <t xml:space="preserve">2 </t>
    </r>
    <r>
      <rPr>
        <sz val="9.5"/>
        <color rgb="FF000000"/>
        <rFont val="宋体"/>
        <family val="3"/>
        <charset val="134"/>
      </rPr>
      <t xml:space="preserve">单元 </t>
    </r>
    <r>
      <rPr>
        <sz val="9.5"/>
        <color rgb="FF000000"/>
        <rFont val="Times New Roman"/>
        <family val="1"/>
      </rPr>
      <t>2203</t>
    </r>
  </si>
  <si>
    <r>
      <t xml:space="preserve">2 </t>
    </r>
    <r>
      <rPr>
        <sz val="9.5"/>
        <color rgb="FF000000"/>
        <rFont val="宋体"/>
        <family val="3"/>
        <charset val="134"/>
      </rPr>
      <t xml:space="preserve">单元 </t>
    </r>
    <r>
      <rPr>
        <sz val="9.5"/>
        <color rgb="FF000000"/>
        <rFont val="Times New Roman"/>
        <family val="1"/>
      </rPr>
      <t>2204</t>
    </r>
  </si>
  <si>
    <r>
      <t xml:space="preserve">2 </t>
    </r>
    <r>
      <rPr>
        <sz val="9.5"/>
        <color rgb="FF000000"/>
        <rFont val="宋体"/>
        <family val="3"/>
        <charset val="134"/>
      </rPr>
      <t xml:space="preserve">单元 </t>
    </r>
    <r>
      <rPr>
        <sz val="9.5"/>
        <color rgb="FF000000"/>
        <rFont val="Times New Roman"/>
        <family val="1"/>
      </rPr>
      <t>2205</t>
    </r>
  </si>
  <si>
    <r>
      <t xml:space="preserve">2 </t>
    </r>
    <r>
      <rPr>
        <sz val="9.5"/>
        <color rgb="FF000000"/>
        <rFont val="宋体"/>
        <family val="3"/>
        <charset val="134"/>
      </rPr>
      <t xml:space="preserve">单元 </t>
    </r>
    <r>
      <rPr>
        <sz val="9.5"/>
        <color rgb="FF000000"/>
        <rFont val="Times New Roman"/>
        <family val="1"/>
      </rPr>
      <t>2301</t>
    </r>
  </si>
  <si>
    <r>
      <t xml:space="preserve">2 </t>
    </r>
    <r>
      <rPr>
        <sz val="9.5"/>
        <color rgb="FF000000"/>
        <rFont val="宋体"/>
        <family val="3"/>
        <charset val="134"/>
      </rPr>
      <t xml:space="preserve">单元 </t>
    </r>
    <r>
      <rPr>
        <sz val="9.5"/>
        <color rgb="FF000000"/>
        <rFont val="Times New Roman"/>
        <family val="1"/>
      </rPr>
      <t>2302</t>
    </r>
  </si>
  <si>
    <r>
      <t xml:space="preserve">2 </t>
    </r>
    <r>
      <rPr>
        <sz val="9.5"/>
        <color rgb="FF000000"/>
        <rFont val="宋体"/>
        <family val="3"/>
        <charset val="134"/>
      </rPr>
      <t xml:space="preserve">单元 </t>
    </r>
    <r>
      <rPr>
        <sz val="9.5"/>
        <color rgb="FF000000"/>
        <rFont val="Times New Roman"/>
        <family val="1"/>
      </rPr>
      <t>2303</t>
    </r>
  </si>
  <si>
    <r>
      <t xml:space="preserve">2 </t>
    </r>
    <r>
      <rPr>
        <sz val="9.5"/>
        <color rgb="FF000000"/>
        <rFont val="宋体"/>
        <family val="3"/>
        <charset val="134"/>
      </rPr>
      <t xml:space="preserve">单元 </t>
    </r>
    <r>
      <rPr>
        <sz val="9.5"/>
        <color rgb="FF000000"/>
        <rFont val="Times New Roman"/>
        <family val="1"/>
      </rPr>
      <t>2304</t>
    </r>
  </si>
  <si>
    <r>
      <t xml:space="preserve">2 </t>
    </r>
    <r>
      <rPr>
        <sz val="9.5"/>
        <color rgb="FF000000"/>
        <rFont val="宋体"/>
        <family val="3"/>
        <charset val="134"/>
      </rPr>
      <t xml:space="preserve">单元 </t>
    </r>
    <r>
      <rPr>
        <sz val="9.5"/>
        <color rgb="FF000000"/>
        <rFont val="Times New Roman"/>
        <family val="1"/>
      </rPr>
      <t>2305</t>
    </r>
  </si>
  <si>
    <r>
      <t xml:space="preserve">2 </t>
    </r>
    <r>
      <rPr>
        <sz val="9.5"/>
        <color rgb="FF000000"/>
        <rFont val="宋体"/>
        <family val="3"/>
        <charset val="134"/>
      </rPr>
      <t xml:space="preserve">单元 </t>
    </r>
    <r>
      <rPr>
        <sz val="9.5"/>
        <color rgb="FF000000"/>
        <rFont val="Times New Roman"/>
        <family val="1"/>
      </rPr>
      <t>2401</t>
    </r>
  </si>
  <si>
    <r>
      <t xml:space="preserve">2 </t>
    </r>
    <r>
      <rPr>
        <sz val="9.5"/>
        <color rgb="FF000000"/>
        <rFont val="宋体"/>
        <family val="3"/>
        <charset val="134"/>
      </rPr>
      <t xml:space="preserve">单元 </t>
    </r>
    <r>
      <rPr>
        <sz val="9.5"/>
        <color rgb="FF000000"/>
        <rFont val="Times New Roman"/>
        <family val="1"/>
      </rPr>
      <t>2402</t>
    </r>
  </si>
  <si>
    <r>
      <t xml:space="preserve">2 </t>
    </r>
    <r>
      <rPr>
        <sz val="9.5"/>
        <color rgb="FF000000"/>
        <rFont val="宋体"/>
        <family val="3"/>
        <charset val="134"/>
      </rPr>
      <t xml:space="preserve">单元 </t>
    </r>
    <r>
      <rPr>
        <sz val="9.5"/>
        <color rgb="FF000000"/>
        <rFont val="Times New Roman"/>
        <family val="1"/>
      </rPr>
      <t>2403</t>
    </r>
  </si>
  <si>
    <r>
      <t xml:space="preserve">2 </t>
    </r>
    <r>
      <rPr>
        <sz val="9.5"/>
        <color rgb="FF000000"/>
        <rFont val="宋体"/>
        <family val="3"/>
        <charset val="134"/>
      </rPr>
      <t xml:space="preserve">单元 </t>
    </r>
    <r>
      <rPr>
        <sz val="9.5"/>
        <color rgb="FF000000"/>
        <rFont val="Times New Roman"/>
        <family val="1"/>
      </rPr>
      <t>2404</t>
    </r>
  </si>
  <si>
    <r>
      <t xml:space="preserve">2 </t>
    </r>
    <r>
      <rPr>
        <sz val="9.5"/>
        <color rgb="FF000000"/>
        <rFont val="宋体"/>
        <family val="3"/>
        <charset val="134"/>
      </rPr>
      <t xml:space="preserve">单元 </t>
    </r>
    <r>
      <rPr>
        <sz val="9.5"/>
        <color rgb="FF000000"/>
        <rFont val="Times New Roman"/>
        <family val="1"/>
      </rPr>
      <t>2405</t>
    </r>
  </si>
  <si>
    <r>
      <t xml:space="preserve">2 </t>
    </r>
    <r>
      <rPr>
        <sz val="9.5"/>
        <color rgb="FF000000"/>
        <rFont val="宋体"/>
        <family val="3"/>
        <charset val="134"/>
      </rPr>
      <t xml:space="preserve">单元 </t>
    </r>
    <r>
      <rPr>
        <sz val="9.5"/>
        <color rgb="FF000000"/>
        <rFont val="Times New Roman"/>
        <family val="1"/>
      </rPr>
      <t>2501</t>
    </r>
  </si>
  <si>
    <r>
      <t xml:space="preserve">2 </t>
    </r>
    <r>
      <rPr>
        <sz val="9.5"/>
        <color rgb="FF000000"/>
        <rFont val="宋体"/>
        <family val="3"/>
        <charset val="134"/>
      </rPr>
      <t xml:space="preserve">单元 </t>
    </r>
    <r>
      <rPr>
        <sz val="9.5"/>
        <color rgb="FF000000"/>
        <rFont val="Times New Roman"/>
        <family val="1"/>
      </rPr>
      <t>2502</t>
    </r>
  </si>
  <si>
    <r>
      <t xml:space="preserve">2 </t>
    </r>
    <r>
      <rPr>
        <sz val="9.5"/>
        <color rgb="FF000000"/>
        <rFont val="宋体"/>
        <family val="3"/>
        <charset val="134"/>
      </rPr>
      <t xml:space="preserve">单元 </t>
    </r>
    <r>
      <rPr>
        <sz val="9.5"/>
        <color rgb="FF000000"/>
        <rFont val="Times New Roman"/>
        <family val="1"/>
      </rPr>
      <t>2503</t>
    </r>
  </si>
  <si>
    <r>
      <t xml:space="preserve">2 </t>
    </r>
    <r>
      <rPr>
        <sz val="9.5"/>
        <color rgb="FF000000"/>
        <rFont val="宋体"/>
        <family val="3"/>
        <charset val="134"/>
      </rPr>
      <t xml:space="preserve">单元 </t>
    </r>
    <r>
      <rPr>
        <sz val="9.5"/>
        <color rgb="FF000000"/>
        <rFont val="Times New Roman"/>
        <family val="1"/>
      </rPr>
      <t>2504</t>
    </r>
  </si>
  <si>
    <r>
      <t xml:space="preserve">2 </t>
    </r>
    <r>
      <rPr>
        <sz val="9.5"/>
        <color rgb="FF000000"/>
        <rFont val="宋体"/>
        <family val="3"/>
        <charset val="134"/>
      </rPr>
      <t xml:space="preserve">单元 </t>
    </r>
    <r>
      <rPr>
        <sz val="9.5"/>
        <color rgb="FF000000"/>
        <rFont val="Times New Roman"/>
        <family val="1"/>
      </rPr>
      <t>2505</t>
    </r>
  </si>
  <si>
    <r>
      <t xml:space="preserve">2 </t>
    </r>
    <r>
      <rPr>
        <sz val="9.5"/>
        <color rgb="FF000000"/>
        <rFont val="宋体"/>
        <family val="3"/>
        <charset val="134"/>
      </rPr>
      <t xml:space="preserve">单元 </t>
    </r>
    <r>
      <rPr>
        <sz val="9.5"/>
        <color rgb="FF000000"/>
        <rFont val="Times New Roman"/>
        <family val="1"/>
      </rPr>
      <t>2601</t>
    </r>
  </si>
  <si>
    <r>
      <t xml:space="preserve">2 </t>
    </r>
    <r>
      <rPr>
        <sz val="9.5"/>
        <color rgb="FF000000"/>
        <rFont val="宋体"/>
        <family val="3"/>
        <charset val="134"/>
      </rPr>
      <t xml:space="preserve">单元 </t>
    </r>
    <r>
      <rPr>
        <sz val="9.5"/>
        <color rgb="FF000000"/>
        <rFont val="Times New Roman"/>
        <family val="1"/>
      </rPr>
      <t>2602</t>
    </r>
  </si>
  <si>
    <r>
      <t xml:space="preserve">2 </t>
    </r>
    <r>
      <rPr>
        <sz val="9.5"/>
        <color rgb="FF000000"/>
        <rFont val="宋体"/>
        <family val="3"/>
        <charset val="134"/>
      </rPr>
      <t xml:space="preserve">单元 </t>
    </r>
    <r>
      <rPr>
        <sz val="9.5"/>
        <color rgb="FF000000"/>
        <rFont val="Times New Roman"/>
        <family val="1"/>
      </rPr>
      <t>2603</t>
    </r>
  </si>
  <si>
    <r>
      <t xml:space="preserve">2 </t>
    </r>
    <r>
      <rPr>
        <sz val="9.5"/>
        <color rgb="FF000000"/>
        <rFont val="宋体"/>
        <family val="3"/>
        <charset val="134"/>
      </rPr>
      <t xml:space="preserve">单元 </t>
    </r>
    <r>
      <rPr>
        <sz val="9.5"/>
        <color rgb="FF000000"/>
        <rFont val="Times New Roman"/>
        <family val="1"/>
      </rPr>
      <t>2604</t>
    </r>
  </si>
  <si>
    <r>
      <t xml:space="preserve">2 </t>
    </r>
    <r>
      <rPr>
        <sz val="9.5"/>
        <color rgb="FF000000"/>
        <rFont val="宋体"/>
        <family val="3"/>
        <charset val="134"/>
      </rPr>
      <t xml:space="preserve">单元 </t>
    </r>
    <r>
      <rPr>
        <sz val="9.5"/>
        <color rgb="FF000000"/>
        <rFont val="Times New Roman"/>
        <family val="1"/>
      </rPr>
      <t>2605</t>
    </r>
  </si>
  <si>
    <r>
      <t xml:space="preserve">2 </t>
    </r>
    <r>
      <rPr>
        <sz val="9.5"/>
        <color rgb="FF000000"/>
        <rFont val="宋体"/>
        <family val="3"/>
        <charset val="134"/>
      </rPr>
      <t xml:space="preserve">单元 </t>
    </r>
    <r>
      <rPr>
        <sz val="9.5"/>
        <color rgb="FF000000"/>
        <rFont val="Times New Roman"/>
        <family val="1"/>
      </rPr>
      <t>2801</t>
    </r>
  </si>
  <si>
    <r>
      <t xml:space="preserve">2 </t>
    </r>
    <r>
      <rPr>
        <sz val="9.5"/>
        <color rgb="FF000000"/>
        <rFont val="宋体"/>
        <family val="3"/>
        <charset val="134"/>
      </rPr>
      <t xml:space="preserve">单元 </t>
    </r>
    <r>
      <rPr>
        <sz val="9.5"/>
        <color rgb="FF000000"/>
        <rFont val="Times New Roman"/>
        <family val="1"/>
      </rPr>
      <t>2802</t>
    </r>
  </si>
  <si>
    <r>
      <t xml:space="preserve">2 </t>
    </r>
    <r>
      <rPr>
        <sz val="9.5"/>
        <color rgb="FF000000"/>
        <rFont val="宋体"/>
        <family val="3"/>
        <charset val="134"/>
      </rPr>
      <t xml:space="preserve">单元 </t>
    </r>
    <r>
      <rPr>
        <sz val="9.5"/>
        <color rgb="FF000000"/>
        <rFont val="Times New Roman"/>
        <family val="1"/>
      </rPr>
      <t>2803</t>
    </r>
  </si>
  <si>
    <r>
      <t xml:space="preserve">2 </t>
    </r>
    <r>
      <rPr>
        <sz val="9.5"/>
        <color rgb="FF000000"/>
        <rFont val="宋体"/>
        <family val="3"/>
        <charset val="134"/>
      </rPr>
      <t xml:space="preserve">单元 </t>
    </r>
    <r>
      <rPr>
        <sz val="9.5"/>
        <color rgb="FF000000"/>
        <rFont val="Times New Roman"/>
        <family val="1"/>
      </rPr>
      <t>2804</t>
    </r>
  </si>
  <si>
    <r>
      <t xml:space="preserve">2 </t>
    </r>
    <r>
      <rPr>
        <sz val="9.5"/>
        <color rgb="FF000000"/>
        <rFont val="宋体"/>
        <family val="3"/>
        <charset val="134"/>
      </rPr>
      <t xml:space="preserve">单元 </t>
    </r>
    <r>
      <rPr>
        <sz val="9.5"/>
        <color rgb="FF000000"/>
        <rFont val="Times New Roman"/>
        <family val="1"/>
      </rPr>
      <t>2805</t>
    </r>
  </si>
  <si>
    <r>
      <t xml:space="preserve">2 </t>
    </r>
    <r>
      <rPr>
        <sz val="9.5"/>
        <color rgb="FF000000"/>
        <rFont val="宋体"/>
        <family val="3"/>
        <charset val="134"/>
      </rPr>
      <t xml:space="preserve">单元 </t>
    </r>
    <r>
      <rPr>
        <sz val="9.5"/>
        <color rgb="FF000000"/>
        <rFont val="Times New Roman"/>
        <family val="1"/>
      </rPr>
      <t>2901</t>
    </r>
  </si>
  <si>
    <r>
      <t xml:space="preserve">2 </t>
    </r>
    <r>
      <rPr>
        <sz val="9.5"/>
        <color rgb="FF000000"/>
        <rFont val="宋体"/>
        <family val="3"/>
        <charset val="134"/>
      </rPr>
      <t xml:space="preserve">单元 </t>
    </r>
    <r>
      <rPr>
        <sz val="9.5"/>
        <color rgb="FF000000"/>
        <rFont val="Times New Roman"/>
        <family val="1"/>
      </rPr>
      <t>2902</t>
    </r>
  </si>
  <si>
    <r>
      <t xml:space="preserve">2 </t>
    </r>
    <r>
      <rPr>
        <sz val="9.5"/>
        <color rgb="FF000000"/>
        <rFont val="宋体"/>
        <family val="3"/>
        <charset val="134"/>
      </rPr>
      <t xml:space="preserve">单元 </t>
    </r>
    <r>
      <rPr>
        <sz val="9.5"/>
        <color rgb="FF000000"/>
        <rFont val="Times New Roman"/>
        <family val="1"/>
      </rPr>
      <t>2903</t>
    </r>
  </si>
  <si>
    <r>
      <t xml:space="preserve">2 </t>
    </r>
    <r>
      <rPr>
        <sz val="9.5"/>
        <color rgb="FF000000"/>
        <rFont val="宋体"/>
        <family val="3"/>
        <charset val="134"/>
      </rPr>
      <t xml:space="preserve">单元 </t>
    </r>
    <r>
      <rPr>
        <sz val="9.5"/>
        <color rgb="FF000000"/>
        <rFont val="Times New Roman"/>
        <family val="1"/>
      </rPr>
      <t>2904</t>
    </r>
  </si>
  <si>
    <r>
      <t xml:space="preserve">2 </t>
    </r>
    <r>
      <rPr>
        <sz val="9.5"/>
        <color rgb="FF000000"/>
        <rFont val="宋体"/>
        <family val="3"/>
        <charset val="134"/>
      </rPr>
      <t xml:space="preserve">单元 </t>
    </r>
    <r>
      <rPr>
        <sz val="9.5"/>
        <color rgb="FF000000"/>
        <rFont val="Times New Roman"/>
        <family val="1"/>
      </rPr>
      <t>2905</t>
    </r>
  </si>
  <si>
    <r>
      <t xml:space="preserve">2 </t>
    </r>
    <r>
      <rPr>
        <sz val="9.5"/>
        <color rgb="FF000000"/>
        <rFont val="宋体"/>
        <family val="3"/>
        <charset val="134"/>
      </rPr>
      <t xml:space="preserve">单元 </t>
    </r>
    <r>
      <rPr>
        <sz val="9.5"/>
        <color rgb="FF000000"/>
        <rFont val="Times New Roman"/>
        <family val="1"/>
      </rPr>
      <t>3001</t>
    </r>
  </si>
  <si>
    <r>
      <t xml:space="preserve">2 </t>
    </r>
    <r>
      <rPr>
        <sz val="9.5"/>
        <color rgb="FF000000"/>
        <rFont val="宋体"/>
        <family val="3"/>
        <charset val="134"/>
      </rPr>
      <t xml:space="preserve">单元 </t>
    </r>
    <r>
      <rPr>
        <sz val="9.5"/>
        <color rgb="FF000000"/>
        <rFont val="Times New Roman"/>
        <family val="1"/>
      </rPr>
      <t>3002</t>
    </r>
  </si>
  <si>
    <r>
      <t xml:space="preserve">2 </t>
    </r>
    <r>
      <rPr>
        <sz val="9.5"/>
        <color rgb="FF000000"/>
        <rFont val="宋体"/>
        <family val="3"/>
        <charset val="134"/>
      </rPr>
      <t xml:space="preserve">单元 </t>
    </r>
    <r>
      <rPr>
        <sz val="9.5"/>
        <color rgb="FF000000"/>
        <rFont val="Times New Roman"/>
        <family val="1"/>
      </rPr>
      <t>3003</t>
    </r>
  </si>
  <si>
    <r>
      <t xml:space="preserve">2 </t>
    </r>
    <r>
      <rPr>
        <sz val="9.5"/>
        <color rgb="FF000000"/>
        <rFont val="宋体"/>
        <family val="3"/>
        <charset val="134"/>
      </rPr>
      <t xml:space="preserve">单元 </t>
    </r>
    <r>
      <rPr>
        <sz val="9.5"/>
        <color rgb="FF000000"/>
        <rFont val="Times New Roman"/>
        <family val="1"/>
      </rPr>
      <t>3004</t>
    </r>
  </si>
  <si>
    <r>
      <t xml:space="preserve">2 </t>
    </r>
    <r>
      <rPr>
        <sz val="9.5"/>
        <color rgb="FF000000"/>
        <rFont val="宋体"/>
        <family val="3"/>
        <charset val="134"/>
      </rPr>
      <t xml:space="preserve">单元 </t>
    </r>
    <r>
      <rPr>
        <sz val="9.5"/>
        <color rgb="FF000000"/>
        <rFont val="Times New Roman"/>
        <family val="1"/>
      </rPr>
      <t>3005</t>
    </r>
  </si>
  <si>
    <r>
      <t xml:space="preserve">2 </t>
    </r>
    <r>
      <rPr>
        <sz val="9.5"/>
        <color rgb="FF000000"/>
        <rFont val="宋体"/>
        <family val="3"/>
        <charset val="134"/>
      </rPr>
      <t xml:space="preserve">单元 </t>
    </r>
    <r>
      <rPr>
        <sz val="9.5"/>
        <color rgb="FF000000"/>
        <rFont val="Times New Roman"/>
        <family val="1"/>
      </rPr>
      <t>3101</t>
    </r>
  </si>
  <si>
    <r>
      <t xml:space="preserve">2 </t>
    </r>
    <r>
      <rPr>
        <sz val="9.5"/>
        <color rgb="FF000000"/>
        <rFont val="宋体"/>
        <family val="3"/>
        <charset val="134"/>
      </rPr>
      <t xml:space="preserve">单元 </t>
    </r>
    <r>
      <rPr>
        <sz val="9.5"/>
        <color rgb="FF000000"/>
        <rFont val="Times New Roman"/>
        <family val="1"/>
      </rPr>
      <t>3102</t>
    </r>
  </si>
  <si>
    <r>
      <t xml:space="preserve">2 </t>
    </r>
    <r>
      <rPr>
        <sz val="9.5"/>
        <color rgb="FF000000"/>
        <rFont val="宋体"/>
        <family val="3"/>
        <charset val="134"/>
      </rPr>
      <t xml:space="preserve">单元 </t>
    </r>
    <r>
      <rPr>
        <sz val="9.5"/>
        <color rgb="FF000000"/>
        <rFont val="Times New Roman"/>
        <family val="1"/>
      </rPr>
      <t>3103</t>
    </r>
  </si>
  <si>
    <r>
      <t xml:space="preserve">2 </t>
    </r>
    <r>
      <rPr>
        <sz val="9.5"/>
        <color rgb="FF000000"/>
        <rFont val="宋体"/>
        <family val="3"/>
        <charset val="134"/>
      </rPr>
      <t xml:space="preserve">单元 </t>
    </r>
    <r>
      <rPr>
        <sz val="9.5"/>
        <color rgb="FF000000"/>
        <rFont val="Times New Roman"/>
        <family val="1"/>
      </rPr>
      <t>3104</t>
    </r>
  </si>
  <si>
    <r>
      <t xml:space="preserve">2 </t>
    </r>
    <r>
      <rPr>
        <sz val="9.5"/>
        <color rgb="FF000000"/>
        <rFont val="宋体"/>
        <family val="3"/>
        <charset val="134"/>
      </rPr>
      <t xml:space="preserve">单元 </t>
    </r>
    <r>
      <rPr>
        <sz val="9.5"/>
        <color rgb="FF000000"/>
        <rFont val="Times New Roman"/>
        <family val="1"/>
      </rPr>
      <t>3105</t>
    </r>
  </si>
  <si>
    <r>
      <t xml:space="preserve">2 </t>
    </r>
    <r>
      <rPr>
        <sz val="9.5"/>
        <color rgb="FF000000"/>
        <rFont val="宋体"/>
        <family val="3"/>
        <charset val="134"/>
      </rPr>
      <t xml:space="preserve">单元 </t>
    </r>
    <r>
      <rPr>
        <sz val="9.5"/>
        <color rgb="FF000000"/>
        <rFont val="Times New Roman"/>
        <family val="1"/>
      </rPr>
      <t>3201</t>
    </r>
  </si>
  <si>
    <r>
      <t xml:space="preserve">2 </t>
    </r>
    <r>
      <rPr>
        <sz val="9.5"/>
        <color rgb="FF000000"/>
        <rFont val="宋体"/>
        <family val="3"/>
        <charset val="134"/>
      </rPr>
      <t xml:space="preserve">单元 </t>
    </r>
    <r>
      <rPr>
        <sz val="9.5"/>
        <color rgb="FF000000"/>
        <rFont val="Times New Roman"/>
        <family val="1"/>
      </rPr>
      <t>3202</t>
    </r>
  </si>
  <si>
    <r>
      <t xml:space="preserve">2 </t>
    </r>
    <r>
      <rPr>
        <sz val="9.5"/>
        <color rgb="FF000000"/>
        <rFont val="宋体"/>
        <family val="3"/>
        <charset val="134"/>
      </rPr>
      <t xml:space="preserve">单元 </t>
    </r>
    <r>
      <rPr>
        <sz val="9.5"/>
        <color rgb="FF000000"/>
        <rFont val="Times New Roman"/>
        <family val="1"/>
      </rPr>
      <t>3203</t>
    </r>
  </si>
  <si>
    <r>
      <t xml:space="preserve">2 </t>
    </r>
    <r>
      <rPr>
        <sz val="9.5"/>
        <color rgb="FF000000"/>
        <rFont val="宋体"/>
        <family val="3"/>
        <charset val="134"/>
      </rPr>
      <t xml:space="preserve">单元 </t>
    </r>
    <r>
      <rPr>
        <sz val="9.5"/>
        <color rgb="FF000000"/>
        <rFont val="Times New Roman"/>
        <family val="1"/>
      </rPr>
      <t>3204</t>
    </r>
  </si>
  <si>
    <r>
      <t xml:space="preserve">2 </t>
    </r>
    <r>
      <rPr>
        <sz val="9.5"/>
        <color rgb="FF000000"/>
        <rFont val="宋体"/>
        <family val="3"/>
        <charset val="134"/>
      </rPr>
      <t xml:space="preserve">单元 </t>
    </r>
    <r>
      <rPr>
        <sz val="9.5"/>
        <color rgb="FF000000"/>
        <rFont val="Times New Roman"/>
        <family val="1"/>
      </rPr>
      <t>3205</t>
    </r>
  </si>
  <si>
    <r>
      <t xml:space="preserve">2 </t>
    </r>
    <r>
      <rPr>
        <sz val="9.5"/>
        <color rgb="FF000000"/>
        <rFont val="宋体"/>
        <family val="3"/>
        <charset val="134"/>
      </rPr>
      <t xml:space="preserve">单元 </t>
    </r>
    <r>
      <rPr>
        <sz val="9.5"/>
        <color rgb="FF000000"/>
        <rFont val="Times New Roman"/>
        <family val="1"/>
      </rPr>
      <t>3301</t>
    </r>
  </si>
  <si>
    <r>
      <t xml:space="preserve">2 </t>
    </r>
    <r>
      <rPr>
        <sz val="9.5"/>
        <color rgb="FF000000"/>
        <rFont val="宋体"/>
        <family val="3"/>
        <charset val="134"/>
      </rPr>
      <t xml:space="preserve">单元 </t>
    </r>
    <r>
      <rPr>
        <sz val="9.5"/>
        <color rgb="FF000000"/>
        <rFont val="Times New Roman"/>
        <family val="1"/>
      </rPr>
      <t>3302</t>
    </r>
  </si>
  <si>
    <r>
      <t xml:space="preserve">2 </t>
    </r>
    <r>
      <rPr>
        <sz val="9.5"/>
        <color rgb="FF000000"/>
        <rFont val="宋体"/>
        <family val="3"/>
        <charset val="134"/>
      </rPr>
      <t xml:space="preserve">单元 </t>
    </r>
    <r>
      <rPr>
        <sz val="9.5"/>
        <color rgb="FF000000"/>
        <rFont val="Times New Roman"/>
        <family val="1"/>
      </rPr>
      <t>3303</t>
    </r>
  </si>
  <si>
    <r>
      <t xml:space="preserve">2 </t>
    </r>
    <r>
      <rPr>
        <sz val="9.5"/>
        <color rgb="FF000000"/>
        <rFont val="宋体"/>
        <family val="3"/>
        <charset val="134"/>
      </rPr>
      <t xml:space="preserve">单元 </t>
    </r>
    <r>
      <rPr>
        <sz val="9.5"/>
        <color rgb="FF000000"/>
        <rFont val="Times New Roman"/>
        <family val="1"/>
      </rPr>
      <t>3304</t>
    </r>
  </si>
  <si>
    <r>
      <t xml:space="preserve">2 </t>
    </r>
    <r>
      <rPr>
        <sz val="9.5"/>
        <color rgb="FF000000"/>
        <rFont val="宋体"/>
        <family val="3"/>
        <charset val="134"/>
      </rPr>
      <t xml:space="preserve">单元 </t>
    </r>
    <r>
      <rPr>
        <sz val="9.5"/>
        <color rgb="FF000000"/>
        <rFont val="Times New Roman"/>
        <family val="1"/>
      </rPr>
      <t>3305</t>
    </r>
  </si>
  <si>
    <r>
      <t xml:space="preserve">2 </t>
    </r>
    <r>
      <rPr>
        <sz val="9.5"/>
        <color rgb="FF000000"/>
        <rFont val="宋体"/>
        <family val="3"/>
        <charset val="134"/>
      </rPr>
      <t xml:space="preserve">单元 </t>
    </r>
    <r>
      <rPr>
        <sz val="9.5"/>
        <color rgb="FF000000"/>
        <rFont val="Times New Roman"/>
        <family val="1"/>
      </rPr>
      <t>3401</t>
    </r>
  </si>
  <si>
    <r>
      <t xml:space="preserve">2 </t>
    </r>
    <r>
      <rPr>
        <sz val="9.5"/>
        <color rgb="FF000000"/>
        <rFont val="宋体"/>
        <family val="3"/>
        <charset val="134"/>
      </rPr>
      <t xml:space="preserve">单元 </t>
    </r>
    <r>
      <rPr>
        <sz val="9.5"/>
        <color rgb="FF000000"/>
        <rFont val="Times New Roman"/>
        <family val="1"/>
      </rPr>
      <t>3402</t>
    </r>
  </si>
  <si>
    <r>
      <t xml:space="preserve">2 </t>
    </r>
    <r>
      <rPr>
        <sz val="9.5"/>
        <color rgb="FF000000"/>
        <rFont val="宋体"/>
        <family val="3"/>
        <charset val="134"/>
      </rPr>
      <t xml:space="preserve">单元 </t>
    </r>
    <r>
      <rPr>
        <sz val="9.5"/>
        <color rgb="FF000000"/>
        <rFont val="Times New Roman"/>
        <family val="1"/>
      </rPr>
      <t>3403</t>
    </r>
  </si>
  <si>
    <r>
      <t xml:space="preserve">2 </t>
    </r>
    <r>
      <rPr>
        <sz val="9.5"/>
        <color rgb="FF000000"/>
        <rFont val="宋体"/>
        <family val="3"/>
        <charset val="134"/>
      </rPr>
      <t xml:space="preserve">单元 </t>
    </r>
    <r>
      <rPr>
        <sz val="9.5"/>
        <color rgb="FF000000"/>
        <rFont val="Times New Roman"/>
        <family val="1"/>
      </rPr>
      <t>3404</t>
    </r>
  </si>
  <si>
    <r>
      <t xml:space="preserve">2 </t>
    </r>
    <r>
      <rPr>
        <sz val="9.5"/>
        <color rgb="FF000000"/>
        <rFont val="宋体"/>
        <family val="3"/>
        <charset val="134"/>
      </rPr>
      <t xml:space="preserve">单元 </t>
    </r>
    <r>
      <rPr>
        <sz val="9.5"/>
        <color rgb="FF000000"/>
        <rFont val="Times New Roman"/>
        <family val="1"/>
      </rPr>
      <t>3405</t>
    </r>
  </si>
  <si>
    <r>
      <t xml:space="preserve">2 </t>
    </r>
    <r>
      <rPr>
        <sz val="9.5"/>
        <color rgb="FF000000"/>
        <rFont val="宋体"/>
        <family val="3"/>
        <charset val="134"/>
      </rPr>
      <t xml:space="preserve">单元 </t>
    </r>
    <r>
      <rPr>
        <sz val="9.5"/>
        <color rgb="FF000000"/>
        <rFont val="Times New Roman"/>
        <family val="1"/>
      </rPr>
      <t>3501</t>
    </r>
  </si>
  <si>
    <r>
      <t xml:space="preserve">2 </t>
    </r>
    <r>
      <rPr>
        <sz val="9.5"/>
        <color rgb="FF000000"/>
        <rFont val="宋体"/>
        <family val="3"/>
        <charset val="134"/>
      </rPr>
      <t xml:space="preserve">单元 </t>
    </r>
    <r>
      <rPr>
        <sz val="9.5"/>
        <color rgb="FF000000"/>
        <rFont val="Times New Roman"/>
        <family val="1"/>
      </rPr>
      <t>3502</t>
    </r>
  </si>
  <si>
    <r>
      <t xml:space="preserve">2 </t>
    </r>
    <r>
      <rPr>
        <sz val="9.5"/>
        <color rgb="FF000000"/>
        <rFont val="宋体"/>
        <family val="3"/>
        <charset val="134"/>
      </rPr>
      <t xml:space="preserve">单元 </t>
    </r>
    <r>
      <rPr>
        <sz val="9.5"/>
        <color rgb="FF000000"/>
        <rFont val="Times New Roman"/>
        <family val="1"/>
      </rPr>
      <t>3503</t>
    </r>
  </si>
  <si>
    <r>
      <t xml:space="preserve">2 </t>
    </r>
    <r>
      <rPr>
        <sz val="9.5"/>
        <color rgb="FF000000"/>
        <rFont val="宋体"/>
        <family val="3"/>
        <charset val="134"/>
      </rPr>
      <t xml:space="preserve">单元 </t>
    </r>
    <r>
      <rPr>
        <sz val="9.5"/>
        <color rgb="FF000000"/>
        <rFont val="Times New Roman"/>
        <family val="1"/>
      </rPr>
      <t>3504</t>
    </r>
  </si>
  <si>
    <r>
      <t xml:space="preserve">2 </t>
    </r>
    <r>
      <rPr>
        <sz val="9.5"/>
        <color rgb="FF000000"/>
        <rFont val="宋体"/>
        <family val="3"/>
        <charset val="134"/>
      </rPr>
      <t xml:space="preserve">单元 </t>
    </r>
    <r>
      <rPr>
        <sz val="9.5"/>
        <color rgb="FF000000"/>
        <rFont val="Times New Roman"/>
        <family val="1"/>
      </rPr>
      <t>3505</t>
    </r>
  </si>
  <si>
    <r>
      <t xml:space="preserve">2 </t>
    </r>
    <r>
      <rPr>
        <sz val="9.5"/>
        <color rgb="FF000000"/>
        <rFont val="宋体"/>
        <family val="3"/>
        <charset val="134"/>
      </rPr>
      <t xml:space="preserve">单元 </t>
    </r>
    <r>
      <rPr>
        <sz val="9.5"/>
        <color rgb="FF000000"/>
        <rFont val="Times New Roman"/>
        <family val="1"/>
      </rPr>
      <t>3601</t>
    </r>
  </si>
  <si>
    <r>
      <t xml:space="preserve">2 </t>
    </r>
    <r>
      <rPr>
        <sz val="9.5"/>
        <color rgb="FF000000"/>
        <rFont val="宋体"/>
        <family val="3"/>
        <charset val="134"/>
      </rPr>
      <t xml:space="preserve">单元 </t>
    </r>
    <r>
      <rPr>
        <sz val="9.5"/>
        <color rgb="FF000000"/>
        <rFont val="Times New Roman"/>
        <family val="1"/>
      </rPr>
      <t>3602</t>
    </r>
  </si>
  <si>
    <r>
      <t xml:space="preserve">2 </t>
    </r>
    <r>
      <rPr>
        <sz val="9.5"/>
        <color rgb="FF000000"/>
        <rFont val="宋体"/>
        <family val="3"/>
        <charset val="134"/>
      </rPr>
      <t xml:space="preserve">单元 </t>
    </r>
    <r>
      <rPr>
        <sz val="9.5"/>
        <color rgb="FF000000"/>
        <rFont val="Times New Roman"/>
        <family val="1"/>
      </rPr>
      <t>3603</t>
    </r>
  </si>
  <si>
    <r>
      <t xml:space="preserve">2 </t>
    </r>
    <r>
      <rPr>
        <sz val="9.5"/>
        <color rgb="FF000000"/>
        <rFont val="宋体"/>
        <family val="3"/>
        <charset val="134"/>
      </rPr>
      <t xml:space="preserve">单元 </t>
    </r>
    <r>
      <rPr>
        <sz val="9.5"/>
        <color rgb="FF000000"/>
        <rFont val="Times New Roman"/>
        <family val="1"/>
      </rPr>
      <t>3604</t>
    </r>
  </si>
  <si>
    <r>
      <t xml:space="preserve">2 </t>
    </r>
    <r>
      <rPr>
        <sz val="9.5"/>
        <color rgb="FF000000"/>
        <rFont val="宋体"/>
        <family val="3"/>
        <charset val="134"/>
      </rPr>
      <t xml:space="preserve">单元 </t>
    </r>
    <r>
      <rPr>
        <sz val="9.5"/>
        <color rgb="FF000000"/>
        <rFont val="Times New Roman"/>
        <family val="1"/>
      </rPr>
      <t>3605</t>
    </r>
  </si>
  <si>
    <t>建筑面积</t>
    <phoneticPr fontId="134" type="noConversion"/>
  </si>
  <si>
    <r>
      <t xml:space="preserve">VIII-13 </t>
    </r>
    <r>
      <rPr>
        <sz val="11"/>
        <color rgb="FF000000"/>
        <rFont val="宋体"/>
        <family val="3"/>
        <charset val="134"/>
      </rPr>
      <t>地块地下部分（商业、</t>
    </r>
  </si>
  <si>
    <t>车位</t>
    <phoneticPr fontId="134" type="noConversion"/>
  </si>
  <si>
    <r>
      <t xml:space="preserve">VIII-13 </t>
    </r>
    <r>
      <rPr>
        <sz val="11"/>
        <color rgb="FF000000"/>
        <rFont val="宋体"/>
        <family val="3"/>
        <charset val="134"/>
      </rPr>
      <t>地块地下部分（商业、 车库及附属设施）</t>
    </r>
  </si>
  <si>
    <t>机械车位</t>
    <phoneticPr fontId="134" type="noConversion"/>
  </si>
  <si>
    <t>商业</t>
    <phoneticPr fontId="134" type="noConversion"/>
  </si>
  <si>
    <t>合计</t>
    <phoneticPr fontId="134" type="noConversion"/>
  </si>
  <si>
    <r>
      <t xml:space="preserve">VIII-13 </t>
    </r>
    <r>
      <rPr>
        <sz val="11"/>
        <color rgb="FFFF0000"/>
        <rFont val="宋体"/>
        <family val="3"/>
        <charset val="134"/>
      </rPr>
      <t>地块地下部分（商业、 车库及附属设施）</t>
    </r>
  </si>
  <si>
    <t xml:space="preserve"> </t>
    <phoneticPr fontId="134" type="noConversion"/>
  </si>
  <si>
    <t xml:space="preserve"> </t>
    <phoneticPr fontId="134" type="noConversion"/>
  </si>
  <si>
    <r>
      <t>VIII-13 地块地上部分（商务型 公寓、商业及附属用房）</t>
    </r>
    <r>
      <rPr>
        <sz val="11"/>
        <color rgb="FF000000"/>
        <rFont val="宋体"/>
        <family val="3"/>
        <charset val="134"/>
      </rPr>
      <t/>
    </r>
  </si>
  <si>
    <r>
      <t xml:space="preserve">VIII-13 </t>
    </r>
    <r>
      <rPr>
        <sz val="11"/>
        <color rgb="FF000000"/>
        <rFont val="宋体"/>
        <family val="3"/>
        <charset val="134"/>
      </rPr>
      <t>地块地上部分（商务型</t>
    </r>
    <r>
      <rPr>
        <sz val="11"/>
        <color rgb="FF000000"/>
        <rFont val="Times New Roman"/>
        <family val="1"/>
      </rPr>
      <t xml:space="preserve"> </t>
    </r>
    <r>
      <rPr>
        <sz val="11"/>
        <color rgb="FF000000"/>
        <rFont val="宋体"/>
        <family val="3"/>
        <charset val="134"/>
      </rPr>
      <t>公寓、商业及附属用房）</t>
    </r>
    <r>
      <rPr>
        <sz val="11"/>
        <color rgb="FF000000"/>
        <rFont val="宋体"/>
        <family val="3"/>
        <charset val="134"/>
      </rPr>
      <t/>
    </r>
    <phoneticPr fontId="134" type="noConversion"/>
  </si>
  <si>
    <t>是</t>
  </si>
  <si>
    <t>地上</t>
  </si>
  <si>
    <t>地下</t>
  </si>
  <si>
    <t>商务公寓</t>
  </si>
  <si>
    <t>商务公寓</t>
    <phoneticPr fontId="7" type="noConversion"/>
  </si>
  <si>
    <t>商业</t>
    <phoneticPr fontId="7" type="noConversion"/>
  </si>
  <si>
    <t>地下车库</t>
  </si>
  <si>
    <t>地下车库</t>
    <phoneticPr fontId="7" type="noConversion"/>
  </si>
  <si>
    <t>项目</t>
  </si>
  <si>
    <t>设定占比</t>
  </si>
  <si>
    <t>1</t>
  </si>
  <si>
    <t>建筑工程</t>
  </si>
  <si>
    <t>（1）</t>
  </si>
  <si>
    <t>基础工程</t>
  </si>
  <si>
    <t>（2）</t>
  </si>
  <si>
    <t>结构工程</t>
  </si>
  <si>
    <t>2</t>
  </si>
  <si>
    <t>设备安装</t>
  </si>
  <si>
    <t>3</t>
  </si>
  <si>
    <t>装修</t>
  </si>
  <si>
    <t>完工</t>
    <phoneticPr fontId="3" type="noConversion"/>
  </si>
  <si>
    <t>建安取值</t>
  </si>
  <si>
    <t>单方建安</t>
  </si>
  <si>
    <t>合计</t>
  </si>
  <si>
    <t>建安</t>
  </si>
  <si>
    <t>主体</t>
  </si>
  <si>
    <t>设备</t>
  </si>
  <si>
    <t>人防</t>
  </si>
  <si>
    <t>综合平均</t>
  </si>
  <si>
    <t>装修-地上</t>
    <phoneticPr fontId="3" type="noConversion"/>
  </si>
  <si>
    <t>装修-地下</t>
    <phoneticPr fontId="3" type="noConversion"/>
  </si>
  <si>
    <t>工程进度</t>
  </si>
  <si>
    <t>面积</t>
  </si>
  <si>
    <t>租金</t>
  </si>
  <si>
    <t>楼层系数</t>
  </si>
  <si>
    <t>租金</t>
    <phoneticPr fontId="3" type="noConversion"/>
  </si>
  <si>
    <t>机械车位</t>
    <phoneticPr fontId="3" type="noConversion"/>
  </si>
  <si>
    <t>车位</t>
    <phoneticPr fontId="3" type="noConversion"/>
  </si>
  <si>
    <t>合计</t>
    <phoneticPr fontId="3" type="noConversion"/>
  </si>
  <si>
    <r>
      <rPr>
        <sz val="10"/>
        <color indexed="8"/>
        <rFont val="宋体"/>
        <family val="3"/>
        <charset val="134"/>
      </rPr>
      <t>个数</t>
    </r>
    <r>
      <rPr>
        <sz val="10"/>
        <color indexed="8"/>
        <rFont val="Arial"/>
        <family val="2"/>
      </rPr>
      <t xml:space="preserve"> </t>
    </r>
    <phoneticPr fontId="3" type="noConversion"/>
  </si>
  <si>
    <t>押一</t>
  </si>
  <si>
    <t>在建（套用方法）</t>
  </si>
  <si>
    <t>钢混</t>
  </si>
  <si>
    <t>非生产用房</t>
  </si>
  <si>
    <t>收益法-办公</t>
  </si>
  <si>
    <t>收益法-办公</t>
    <phoneticPr fontId="16" type="noConversion"/>
  </si>
  <si>
    <t>收益法-商业</t>
  </si>
  <si>
    <t>收益法-商业</t>
    <phoneticPr fontId="16" type="noConversion"/>
  </si>
  <si>
    <t>收益法-车位</t>
  </si>
  <si>
    <t>收益法-车位</t>
    <phoneticPr fontId="16" type="noConversion"/>
  </si>
  <si>
    <t>自定义</t>
  </si>
  <si>
    <t>已全部缴纳</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</si>
  <si>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</si>
  <si>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</si>
  <si>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</si>
  <si>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</si>
  <si>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</si>
  <si>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</si>
  <si>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</si>
  <si>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</si>
  <si>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</si>
  <si>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</si>
  <si>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</si>
  <si>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</si>
  <si>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</si>
  <si>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</si>
  <si>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</si>
  <si>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</si>
  <si>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</si>
  <si>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</si>
  <si>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</si>
  <si>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</si>
  <si>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</si>
  <si>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</si>
  <si>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</si>
  <si>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</si>
  <si>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</si>
  <si>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</si>
  <si>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</si>
  <si>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</si>
  <si>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</si>
  <si>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</si>
  <si>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</si>
  <si>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</si>
  <si>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</si>
  <si>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</si>
  <si>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</si>
  <si>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</si>
  <si>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</si>
  <si>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</si>
  <si>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</si>
  <si>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</si>
  <si>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</si>
  <si>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</si>
  <si>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</si>
  <si>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</si>
  <si>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</si>
  <si>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</si>
  <si>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</si>
  <si>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</si>
  <si>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</si>
  <si>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</si>
  <si>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</si>
  <si>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</si>
  <si>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</si>
  <si>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</si>
  <si>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</si>
  <si>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</si>
  <si>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</si>
  <si>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</si>
  <si>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</si>
  <si>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</si>
  <si>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</si>
  <si>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</si>
  <si>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</si>
  <si>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</si>
  <si>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</si>
  <si>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</si>
  <si>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</si>
  <si>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</si>
  <si>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</si>
  <si>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</si>
  <si>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</si>
  <si>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</si>
  <si>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</si>
  <si>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</si>
  <si>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</si>
  <si>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</si>
  <si>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</si>
  <si>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</si>
  <si>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</si>
  <si>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</si>
  <si>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</si>
  <si>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</si>
  <si>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</si>
  <si>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</si>
  <si>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</si>
  <si>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</si>
  <si>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</si>
  <si>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</si>
  <si>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</si>
  <si>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</si>
  <si>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</si>
  <si>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</si>
  <si>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</si>
  <si>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</si>
  <si>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</si>
  <si>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</si>
  <si>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</si>
  <si>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</si>
  <si>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</si>
  <si>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</si>
  <si>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</si>
  <si>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</si>
  <si>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</si>
  <si>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</si>
  <si>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</si>
  <si>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</si>
  <si>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</si>
  <si>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</si>
  <si>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</si>
  <si>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</si>
  <si>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</si>
  <si>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</si>
  <si>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</si>
  <si>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</si>
  <si>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</si>
  <si>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</si>
  <si>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</si>
  <si>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</si>
  <si>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</si>
  <si>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</si>
  <si>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</si>
  <si>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</si>
  <si>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</si>
  <si>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</si>
  <si>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</si>
  <si>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</si>
  <si>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</si>
  <si>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</si>
  <si>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</si>
  <si>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</si>
  <si>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</si>
  <si>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</si>
  <si>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</si>
  <si>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</si>
  <si>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</si>
  <si>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</si>
  <si>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</si>
  <si>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</si>
  <si>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</si>
  <si>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</si>
  <si>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</si>
  <si>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</si>
  <si>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</si>
  <si>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</si>
  <si>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</si>
  <si>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</si>
  <si>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</si>
  <si>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</si>
  <si>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</si>
  <si>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</si>
  <si>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</si>
  <si>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</si>
  <si>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</si>
  <si>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</si>
  <si>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</si>
  <si>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</si>
  <si>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</si>
  <si>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</si>
  <si>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</si>
  <si>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</si>
  <si>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</si>
  <si>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</si>
  <si>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</si>
  <si>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</si>
  <si>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</si>
  <si>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</si>
  <si>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</si>
  <si>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</si>
  <si>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</si>
  <si>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</si>
  <si>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</si>
  <si>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</si>
  <si>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</si>
  <si>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</si>
  <si>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</si>
  <si>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</si>
  <si>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</si>
  <si>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</si>
  <si>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</si>
  <si>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</si>
  <si>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</si>
  <si>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</si>
  <si>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</si>
  <si>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</si>
  <si>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</si>
  <si>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</si>
  <si>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</si>
  <si>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</si>
  <si>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</si>
  <si>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</si>
  <si>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</si>
  <si>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</si>
  <si>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</si>
  <si>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通州区</t>
    <phoneticPr fontId="6" type="noConversion"/>
  </si>
  <si>
    <r>
      <rPr>
        <sz val="10"/>
        <color theme="9" tint="-0.249977111117893"/>
        <rFont val="宋体"/>
        <family val="3"/>
        <charset val="134"/>
      </rPr>
      <t>通州区运河核心区Ⅷ</t>
    </r>
    <r>
      <rPr>
        <sz val="10"/>
        <color theme="9" tint="-0.249977111117893"/>
        <rFont val="Arial"/>
        <family val="2"/>
      </rPr>
      <t>-13</t>
    </r>
    <r>
      <rPr>
        <sz val="10"/>
        <color theme="9" tint="-0.249977111117893"/>
        <rFont val="宋体"/>
        <family val="3"/>
        <charset val="134"/>
      </rPr>
      <t>地块</t>
    </r>
    <r>
      <rPr>
        <sz val="10"/>
        <color theme="9" tint="-0.249977111117893"/>
        <rFont val="Arial"/>
        <family val="2"/>
      </rPr>
      <t>F3</t>
    </r>
    <r>
      <rPr>
        <sz val="10"/>
        <color theme="9" tint="-0.249977111117893"/>
        <rFont val="宋体"/>
        <family val="3"/>
        <charset val="134"/>
      </rPr>
      <t>其它类多功能用地项目商务金融（办公（商务型公寓）、商业及地下车库）用地</t>
    </r>
    <phoneticPr fontId="6" type="noConversion"/>
  </si>
  <si>
    <t>较好</t>
  </si>
  <si>
    <t>较好</t>
    <phoneticPr fontId="40" type="noConversion"/>
  </si>
  <si>
    <t>较好</t>
    <phoneticPr fontId="24" type="noConversion"/>
  </si>
  <si>
    <t>较好</t>
    <phoneticPr fontId="24" type="noConversion"/>
  </si>
  <si>
    <t>一般</t>
  </si>
  <si>
    <t>一般</t>
    <phoneticPr fontId="40" type="noConversion"/>
  </si>
  <si>
    <t>较好</t>
    <phoneticPr fontId="40" type="noConversion"/>
  </si>
  <si>
    <t>七通</t>
  </si>
  <si>
    <t>七通</t>
    <phoneticPr fontId="24" type="noConversion"/>
  </si>
  <si>
    <t>规则</t>
    <phoneticPr fontId="30" type="noConversion"/>
  </si>
  <si>
    <t>较规则</t>
  </si>
  <si>
    <t>较规则</t>
    <phoneticPr fontId="30" type="noConversion"/>
  </si>
  <si>
    <t>较不规则</t>
  </si>
  <si>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</si>
  <si>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</si>
  <si>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</si>
  <si>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</si>
  <si>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</si>
  <si>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</si>
  <si>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</si>
  <si>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三通</t>
  </si>
  <si>
    <t>未包含在土地购买价格中</t>
  </si>
  <si>
    <t>已包含在土地取得成本中</t>
  </si>
  <si>
    <t>成本法</t>
  </si>
  <si>
    <t>假设开发法</t>
  </si>
  <si>
    <t>项目全部</t>
  </si>
  <si>
    <t>总价</t>
  </si>
  <si>
    <t>成本比率</t>
  </si>
  <si>
    <t>同一抵押权人同一抵押物续贷</t>
  </si>
  <si>
    <r>
      <t>2024</t>
    </r>
    <r>
      <rPr>
        <sz val="10"/>
        <color indexed="8"/>
        <rFont val="宋体"/>
        <family val="3"/>
        <charset val="134"/>
      </rPr>
      <t>年4月20</t>
    </r>
    <phoneticPr fontId="8" type="noConversion"/>
  </si>
  <si>
    <t>自定义容积率</t>
  </si>
  <si>
    <t>不临65条商业街</t>
  </si>
  <si>
    <t>平整</t>
  </si>
  <si>
    <t>与级别开发程度一致</t>
  </si>
  <si>
    <t>中心城区以外</t>
  </si>
  <si>
    <t>楼层修正</t>
  </si>
  <si>
    <t>好</t>
  </si>
  <si>
    <t>商务金融用地</t>
  </si>
  <si>
    <t>延续</t>
    <phoneticPr fontId="3" type="noConversion"/>
  </si>
  <si>
    <t>利息：取LPR</t>
  </si>
  <si>
    <r>
      <rPr>
        <sz val="11"/>
        <color indexed="8"/>
        <rFont val="仿宋_GB2312"/>
        <family val="3"/>
        <charset val="134"/>
      </rPr>
      <t>正常</t>
    </r>
  </si>
  <si>
    <t>50</t>
    <phoneticPr fontId="3" type="noConversion"/>
  </si>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</sst>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indexed="8"/>
      <name val="仿宋_GB2312"/>
      <family val="3"/>
      <charset val="134"/>
    </font>
    <font>
      <sz val="11"/>
      <color rgb="FF000000"/>
      <name val="宋体"/>
      <family val="3"/>
      <charset val="134"/>
    </font>
    <font>
      <sz val="11"/>
      <color rgb="FF000000"/>
      <name val="Times New Roman"/>
      <family val="1"/>
    </font>
    <font>
      <sz val="9.5"/>
      <color rgb="FF000000"/>
      <name val="Times New Roman"/>
      <family val="1"/>
    </font>
    <font>
      <sz val="9.5"/>
      <color rgb="FF000000"/>
      <name val="宋体"/>
      <family val="3"/>
      <charset val="134"/>
    </font>
    <font>
      <sz val="11"/>
      <color rgb="FFFF0000"/>
      <name val="宋体"/>
      <family val="2"/>
      <scheme val="minor"/>
    </font>
    <font>
      <sz val="11"/>
      <color rgb="FFFF0000"/>
      <name val="Times New Roman"/>
      <family val="1"/>
    </font>
    <font>
      <sz val="9.5"/>
      <color rgb="FFFF0000"/>
      <name val="Times New Roman"/>
      <family val="1"/>
    </font>
    <font>
      <sz val="12"/>
      <color theme="1"/>
      <name val="宋体"/>
      <family val="2"/>
      <scheme val="minor"/>
    </font>
    <font>
      <sz val="12"/>
      <color rgb="FFFF0000"/>
      <name val="宋体"/>
      <family val="2"/>
      <scheme val="minor"/>
    </font>
    <font>
      <sz val="11"/>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cellStyleXfs>
  <cellXfs count="38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49" fontId="270" fillId="5" borderId="1" xfId="0" applyNumberFormat="1" applyFont="1" applyFill="1" applyBorder="1" applyAlignment="1" applyProtection="1">
      <alignment horizontal="center" vertical="center" wrapText="1"/>
      <protection locked="0"/>
    </xf>
    <xf numFmtId="0" fontId="271" fillId="0" borderId="176" xfId="12" applyFont="1" applyBorder="1" applyAlignment="1">
      <alignment vertical="center" wrapText="1"/>
    </xf>
    <xf numFmtId="0" fontId="271" fillId="0" borderId="177" xfId="12" applyFont="1" applyBorder="1" applyAlignment="1">
      <alignment horizontal="left" vertical="center" wrapText="1" indent="2"/>
    </xf>
    <xf numFmtId="0" fontId="271" fillId="0" borderId="177" xfId="12" applyFont="1" applyBorder="1" applyAlignment="1">
      <alignment vertical="center" wrapText="1"/>
    </xf>
    <xf numFmtId="0" fontId="271" fillId="0" borderId="177" xfId="12" applyFont="1" applyBorder="1" applyAlignment="1">
      <alignment horizontal="left" vertical="center" wrapText="1" indent="1"/>
    </xf>
    <xf numFmtId="0" fontId="159" fillId="0" borderId="0" xfId="12"/>
    <xf numFmtId="0" fontId="272" fillId="0" borderId="178" xfId="12" applyFont="1" applyBorder="1" applyAlignment="1">
      <alignment vertical="center" wrapText="1"/>
    </xf>
    <xf numFmtId="0" fontId="272" fillId="0" borderId="179" xfId="12" applyFont="1" applyBorder="1" applyAlignment="1">
      <alignment vertical="center" wrapText="1"/>
    </xf>
    <xf numFmtId="0" fontId="273" fillId="0" borderId="179" xfId="12" applyFont="1" applyBorder="1" applyAlignment="1">
      <alignment vertical="center" wrapText="1"/>
    </xf>
    <xf numFmtId="0" fontId="271" fillId="0" borderId="179" xfId="12" applyFont="1" applyBorder="1" applyAlignment="1">
      <alignment horizontal="left" vertical="center" wrapText="1" indent="1"/>
    </xf>
    <xf numFmtId="0" fontId="273" fillId="0" borderId="179" xfId="12" applyFont="1" applyBorder="1" applyAlignment="1">
      <alignment horizontal="left" vertical="center" wrapText="1" indent="1"/>
    </xf>
    <xf numFmtId="0" fontId="272" fillId="0" borderId="180" xfId="12" applyFont="1" applyBorder="1" applyAlignment="1">
      <alignment vertical="center" wrapText="1"/>
    </xf>
    <xf numFmtId="0" fontId="272" fillId="0" borderId="181" xfId="12" applyFont="1" applyBorder="1" applyAlignment="1">
      <alignment vertical="center" wrapText="1"/>
    </xf>
    <xf numFmtId="0" fontId="273" fillId="0" borderId="180" xfId="12" applyFont="1" applyBorder="1" applyAlignment="1">
      <alignment vertical="center" wrapText="1"/>
    </xf>
    <xf numFmtId="0" fontId="271" fillId="0" borderId="180" xfId="12" applyFont="1" applyBorder="1" applyAlignment="1">
      <alignment horizontal="left" vertical="center" wrapText="1" indent="1"/>
    </xf>
    <xf numFmtId="0" fontId="272" fillId="0" borderId="0" xfId="12" applyFont="1" applyFill="1" applyBorder="1" applyAlignment="1">
      <alignment vertical="center" wrapText="1"/>
    </xf>
    <xf numFmtId="0" fontId="272" fillId="0" borderId="182" xfId="12" applyFont="1" applyBorder="1" applyAlignment="1">
      <alignment vertical="center" wrapText="1"/>
    </xf>
    <xf numFmtId="0" fontId="273" fillId="0" borderId="180" xfId="12" applyFont="1" applyBorder="1" applyAlignment="1">
      <alignment horizontal="left" vertical="center" wrapText="1" indent="1"/>
    </xf>
    <xf numFmtId="0" fontId="272" fillId="0" borderId="176" xfId="12" applyFont="1" applyBorder="1" applyAlignment="1">
      <alignment vertical="center" wrapText="1"/>
    </xf>
    <xf numFmtId="0" fontId="272" fillId="0" borderId="177" xfId="12" applyFont="1" applyBorder="1" applyAlignment="1">
      <alignment vertical="center" wrapText="1"/>
    </xf>
    <xf numFmtId="0" fontId="273" fillId="0" borderId="177" xfId="12" applyFont="1" applyBorder="1" applyAlignment="1">
      <alignment horizontal="left" vertical="center" wrapText="1" indent="1"/>
    </xf>
    <xf numFmtId="0" fontId="273" fillId="0" borderId="177" xfId="12" applyFont="1" applyBorder="1" applyAlignment="1">
      <alignment vertical="center" wrapText="1"/>
    </xf>
    <xf numFmtId="0" fontId="275" fillId="0" borderId="0" xfId="12" applyFont="1" applyFill="1"/>
    <xf numFmtId="0" fontId="276" fillId="0" borderId="178" xfId="12" applyFont="1" applyFill="1" applyBorder="1" applyAlignment="1">
      <alignment vertical="center" wrapText="1"/>
    </xf>
    <xf numFmtId="0" fontId="276" fillId="0" borderId="179" xfId="12" applyFont="1" applyFill="1" applyBorder="1" applyAlignment="1">
      <alignment vertical="center" wrapText="1"/>
    </xf>
    <xf numFmtId="0" fontId="277" fillId="0" borderId="179" xfId="12" applyFont="1" applyFill="1" applyBorder="1" applyAlignment="1">
      <alignment horizontal="left" vertical="center" wrapText="1" indent="1"/>
    </xf>
    <xf numFmtId="0" fontId="277" fillId="0" borderId="179" xfId="12" applyFont="1" applyFill="1" applyBorder="1" applyAlignment="1">
      <alignment vertical="center" wrapText="1"/>
    </xf>
    <xf numFmtId="0" fontId="123" fillId="0" borderId="179" xfId="12" applyFont="1" applyFill="1" applyBorder="1" applyAlignment="1">
      <alignment horizontal="left" vertical="center" wrapText="1" indent="1"/>
    </xf>
    <xf numFmtId="0" fontId="275" fillId="0" borderId="0" xfId="12" applyFont="1"/>
    <xf numFmtId="0" fontId="276" fillId="0" borderId="178" xfId="12" applyFont="1" applyBorder="1" applyAlignment="1">
      <alignment vertical="center" wrapText="1"/>
    </xf>
    <xf numFmtId="0" fontId="276" fillId="0" borderId="179" xfId="12" applyFont="1" applyBorder="1" applyAlignment="1">
      <alignment vertical="center" wrapText="1"/>
    </xf>
    <xf numFmtId="0" fontId="277" fillId="0" borderId="179" xfId="12" applyFont="1" applyBorder="1" applyAlignment="1">
      <alignment horizontal="left" vertical="center" wrapText="1" indent="1"/>
    </xf>
    <xf numFmtId="0" fontId="277" fillId="0" borderId="179" xfId="12" applyFont="1" applyBorder="1" applyAlignment="1">
      <alignment vertical="center" wrapText="1"/>
    </xf>
    <xf numFmtId="0" fontId="123" fillId="0" borderId="179" xfId="12" applyFont="1" applyBorder="1" applyAlignment="1">
      <alignment horizontal="left" vertical="center" wrapText="1" indent="1"/>
    </xf>
    <xf numFmtId="0" fontId="273" fillId="0" borderId="0" xfId="12" applyFont="1" applyFill="1" applyBorder="1" applyAlignment="1">
      <alignment vertical="center" wrapText="1"/>
    </xf>
    <xf numFmtId="2" fontId="272" fillId="0" borderId="179" xfId="12" applyNumberFormat="1" applyFont="1" applyBorder="1" applyAlignment="1">
      <alignment vertical="center" wrapText="1"/>
    </xf>
    <xf numFmtId="0" fontId="273" fillId="0" borderId="179" xfId="12" applyNumberFormat="1" applyFont="1" applyBorder="1" applyAlignment="1">
      <alignment vertical="center" wrapText="1"/>
    </xf>
    <xf numFmtId="179" fontId="19" fillId="0" borderId="1" xfId="0" applyNumberFormat="1" applyFont="1" applyFill="1" applyBorder="1" applyAlignment="1" applyProtection="1">
      <alignment horizontal="center" vertical="center" shrinkToFit="1"/>
    </xf>
    <xf numFmtId="9" fontId="47" fillId="12" borderId="0" xfId="17" applyFont="1" applyFill="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7" fillId="12" borderId="0" xfId="0" applyNumberFormat="1" applyFont="1" applyFill="1" applyAlignment="1" applyProtection="1">
      <alignment horizontal="left" vertical="center"/>
      <protection locked="0"/>
    </xf>
    <xf numFmtId="0" fontId="278" fillId="0" borderId="0" xfId="19" applyNumberFormat="1"/>
    <xf numFmtId="0" fontId="279" fillId="0" borderId="0" xfId="19" applyNumberFormat="1" applyFont="1"/>
    <xf numFmtId="14" fontId="248" fillId="0" borderId="0" xfId="19" applyNumberFormat="1" applyFont="1"/>
    <xf numFmtId="0" fontId="248" fillId="0" borderId="0" xfId="19" applyNumberFormat="1" applyFont="1"/>
    <xf numFmtId="0" fontId="279" fillId="5" borderId="0" xfId="19" applyNumberFormat="1" applyFont="1" applyFill="1"/>
    <xf numFmtId="14" fontId="248" fillId="5" borderId="0" xfId="19" applyNumberFormat="1" applyFont="1" applyFill="1"/>
    <xf numFmtId="0" fontId="248" fillId="5" borderId="0" xfId="19" applyNumberFormat="1" applyFont="1" applyFill="1"/>
    <xf numFmtId="0" fontId="278" fillId="5" borderId="0" xfId="19" applyNumberFormat="1" applyFill="1"/>
    <xf numFmtId="14" fontId="278" fillId="5" borderId="0" xfId="19" applyNumberFormat="1" applyFill="1"/>
    <xf numFmtId="14" fontId="278" fillId="0" borderId="0" xfId="19" applyNumberFormat="1"/>
    <xf numFmtId="0" fontId="279" fillId="9" borderId="0" xfId="19" applyNumberFormat="1" applyFont="1" applyFill="1"/>
    <xf numFmtId="0" fontId="278" fillId="9" borderId="0" xfId="19" applyNumberFormat="1" applyFill="1"/>
    <xf numFmtId="0" fontId="77" fillId="7" borderId="60"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0" fontId="44" fillId="22" borderId="28" xfId="0" applyFont="1" applyFill="1" applyBorder="1" applyAlignment="1" applyProtection="1">
      <alignment horizontal="right" vertical="center"/>
    </xf>
    <xf numFmtId="10" fontId="44" fillId="2" borderId="61" xfId="0" applyNumberFormat="1" applyFont="1" applyFill="1" applyBorder="1" applyAlignment="1" applyProtection="1">
      <alignment horizontal="center" vertical="center"/>
    </xf>
    <xf numFmtId="0" fontId="44" fillId="2" borderId="20" xfId="0" applyNumberFormat="1" applyFont="1" applyFill="1" applyBorder="1" applyAlignment="1" applyProtection="1">
      <alignment horizontal="center" vertical="center" wrapText="1"/>
      <protection locked="0"/>
    </xf>
    <xf numFmtId="0" fontId="159" fillId="5" borderId="0" xfId="12" applyFill="1"/>
    <xf numFmtId="0" fontId="272" fillId="5" borderId="178" xfId="12" applyFont="1" applyFill="1" applyBorder="1" applyAlignment="1">
      <alignment vertical="center" wrapText="1"/>
    </xf>
    <xf numFmtId="0" fontId="272" fillId="5" borderId="179" xfId="12" applyFont="1" applyFill="1" applyBorder="1" applyAlignment="1">
      <alignment vertical="center" wrapText="1"/>
    </xf>
    <xf numFmtId="0" fontId="273" fillId="5" borderId="179" xfId="12" applyFont="1" applyFill="1" applyBorder="1" applyAlignment="1">
      <alignment horizontal="left" vertical="center" wrapText="1" indent="1"/>
    </xf>
    <xf numFmtId="0" fontId="273" fillId="5" borderId="179" xfId="12" applyFont="1" applyFill="1" applyBorder="1" applyAlignment="1">
      <alignment vertical="center" wrapText="1"/>
    </xf>
    <xf numFmtId="0" fontId="271" fillId="5" borderId="179" xfId="12" applyFont="1" applyFill="1" applyBorder="1" applyAlignment="1">
      <alignment horizontal="left" vertical="center" wrapText="1" inden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1114166</xdr:colOff>
      <xdr:row>46</xdr:row>
      <xdr:rowOff>27917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37417"/>
          <a:ext cx="10533333" cy="5266667"/>
        </a:xfrm>
        <a:prstGeom prst="rect">
          <a:avLst/>
        </a:prstGeom>
      </xdr:spPr>
    </xdr:pic>
    <xdr:clientData/>
  </xdr:twoCellAnchor>
  <xdr:twoCellAnchor editAs="oneCell">
    <xdr:from>
      <xdr:col>0</xdr:col>
      <xdr:colOff>0</xdr:colOff>
      <xdr:row>81</xdr:row>
      <xdr:rowOff>31750</xdr:rowOff>
    </xdr:from>
    <xdr:to>
      <xdr:col>6</xdr:col>
      <xdr:colOff>1443072</xdr:colOff>
      <xdr:row>97</xdr:row>
      <xdr:rowOff>10226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605000"/>
          <a:ext cx="3961905" cy="2857143"/>
        </a:xfrm>
        <a:prstGeom prst="rect">
          <a:avLst/>
        </a:prstGeom>
      </xdr:spPr>
    </xdr:pic>
    <xdr:clientData/>
  </xdr:twoCellAnchor>
  <xdr:twoCellAnchor editAs="oneCell">
    <xdr:from>
      <xdr:col>6</xdr:col>
      <xdr:colOff>1777999</xdr:colOff>
      <xdr:row>82</xdr:row>
      <xdr:rowOff>95249</xdr:rowOff>
    </xdr:from>
    <xdr:to>
      <xdr:col>18</xdr:col>
      <xdr:colOff>868141</xdr:colOff>
      <xdr:row>97</xdr:row>
      <xdr:rowOff>34594</xdr:rowOff>
    </xdr:to>
    <xdr:pic>
      <xdr:nvPicPr>
        <xdr:cNvPr id="4" name="图片 3"/>
        <xdr:cNvPicPr>
          <a:picLocks noChangeAspect="1"/>
        </xdr:cNvPicPr>
      </xdr:nvPicPr>
      <xdr:blipFill>
        <a:blip xmlns:r="http://schemas.openxmlformats.org/officeDocument/2006/relationships" r:embed="rId3"/>
        <a:stretch>
          <a:fillRect/>
        </a:stretch>
      </xdr:blipFill>
      <xdr:spPr>
        <a:xfrm>
          <a:off x="4296832" y="14848416"/>
          <a:ext cx="5990476" cy="2638095"/>
        </a:xfrm>
        <a:prstGeom prst="rect">
          <a:avLst/>
        </a:prstGeom>
      </xdr:spPr>
    </xdr:pic>
    <xdr:clientData/>
  </xdr:twoCellAnchor>
  <xdr:twoCellAnchor editAs="oneCell">
    <xdr:from>
      <xdr:col>0</xdr:col>
      <xdr:colOff>0</xdr:colOff>
      <xdr:row>62</xdr:row>
      <xdr:rowOff>137584</xdr:rowOff>
    </xdr:from>
    <xdr:to>
      <xdr:col>6</xdr:col>
      <xdr:colOff>2147834</xdr:colOff>
      <xdr:row>80</xdr:row>
      <xdr:rowOff>41941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2417"/>
          <a:ext cx="4666667" cy="3142857"/>
        </a:xfrm>
        <a:prstGeom prst="rect">
          <a:avLst/>
        </a:prstGeom>
      </xdr:spPr>
    </xdr:pic>
    <xdr:clientData/>
  </xdr:twoCellAnchor>
  <xdr:twoCellAnchor editAs="oneCell">
    <xdr:from>
      <xdr:col>0</xdr:col>
      <xdr:colOff>0</xdr:colOff>
      <xdr:row>49</xdr:row>
      <xdr:rowOff>0</xdr:rowOff>
    </xdr:from>
    <xdr:to>
      <xdr:col>6</xdr:col>
      <xdr:colOff>547834</xdr:colOff>
      <xdr:row>62</xdr:row>
      <xdr:rowOff>70608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5917"/>
          <a:ext cx="3066667" cy="2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B/&#25253;&#21578;/2024-1-0314-&#21152;&#20108;&#22312;&#24314;/F01DYGJ1/&#26368;&#32456;/&#27979;&#31639;&#34920;-&#36890;&#24030;&#26680;&#24515;&#21306;-&#21152;&#20108;&#22312;&#2431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规证指标"/>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
      <sheetName val="假设开发法"/>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商业"/>
      <sheetName val="收益法-车位"/>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商务公寓</v>
          </cell>
        </row>
        <row r="20">
          <cell r="C20" t="str">
            <v>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72">
          <cell r="A72" t="str">
            <v>交易情况</v>
          </cell>
          <cell r="C72" t="str">
            <v>正常</v>
          </cell>
        </row>
        <row r="74">
          <cell r="B74" t="str">
            <v>用途</v>
          </cell>
          <cell r="C74" t="str">
            <v xml:space="preserve"> F3其他类多功能用地</v>
          </cell>
        </row>
        <row r="105">
          <cell r="B105" t="str">
            <v>毗邻道路的类型与等级</v>
          </cell>
        </row>
        <row r="107">
          <cell r="B107" t="str">
            <v>土地级别</v>
          </cell>
        </row>
        <row r="118">
          <cell r="B118" t="str">
            <v>宗地形状</v>
          </cell>
          <cell r="C118" t="str">
            <v>规则</v>
          </cell>
          <cell r="D118" t="str">
            <v>较规则</v>
          </cell>
          <cell r="E118" t="str">
            <v>一般</v>
          </cell>
          <cell r="F118" t="str">
            <v>较不规则</v>
          </cell>
          <cell r="G118" t="str">
            <v>不规则</v>
          </cell>
        </row>
        <row r="120">
          <cell r="B120" t="str">
            <v>临街宽度及深度</v>
          </cell>
          <cell r="C120" t="str">
            <v>适宜</v>
          </cell>
          <cell r="D120" t="str">
            <v>较适宜</v>
          </cell>
          <cell r="E120" t="str">
            <v>一般</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4">
        <row r="7">
          <cell r="I7">
            <v>16122.82</v>
          </cell>
          <cell r="K7">
            <v>2.8</v>
          </cell>
          <cell r="AE7">
            <v>44761.000497685185</v>
          </cell>
          <cell r="AT7">
            <v>16835</v>
          </cell>
        </row>
        <row r="8">
          <cell r="I8">
            <v>29991.73</v>
          </cell>
          <cell r="K8">
            <v>4</v>
          </cell>
          <cell r="AE8">
            <v>44566.000497685185</v>
          </cell>
          <cell r="AT8">
            <v>13779</v>
          </cell>
        </row>
        <row r="9">
          <cell r="I9">
            <v>204418.11</v>
          </cell>
          <cell r="K9">
            <v>1.5</v>
          </cell>
          <cell r="AE9">
            <v>44495.000497685185</v>
          </cell>
          <cell r="AT9">
            <v>16778</v>
          </cell>
        </row>
      </sheetData>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sheetData sheetId="38"/>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74">
          <cell r="A74" t="str">
            <v>交易情况</v>
          </cell>
        </row>
      </sheetData>
      <sheetData sheetId="19" refreshError="1"/>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ow r="8">
          <cell r="A8" t="str">
            <v>通路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row>
      </sheetData>
      <sheetData sheetId="41">
        <row r="61">
          <cell r="A61" t="str">
            <v>交易情况</v>
          </cell>
        </row>
      </sheetData>
      <sheetData sheetId="42">
        <row r="62">
          <cell r="A62" t="str">
            <v>交易情况</v>
          </cell>
        </row>
      </sheetData>
      <sheetData sheetId="43">
        <row r="55">
          <cell r="A55" t="str">
            <v>交易情况</v>
          </cell>
        </row>
      </sheetData>
      <sheetData sheetId="44">
        <row r="51">
          <cell r="A51" t="str">
            <v>交易情况</v>
          </cell>
        </row>
      </sheetData>
      <sheetData sheetId="45">
        <row r="49">
          <cell r="A49" t="str">
            <v>交易情况</v>
          </cell>
        </row>
      </sheetData>
      <sheetData sheetId="46">
        <row r="5">
          <cell r="B5" t="str">
            <v>修正项2</v>
          </cell>
        </row>
      </sheetData>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北京市通州区运河核心区Ⅷ-13地块F3其它类多功能用地项目商务金融（办公（商务型公寓）、商业及地下车库）用地出让国有建设用地使用权及在建建筑物房地产抵押价值预评估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受贵公司委托，我公司对北京市通州区运河核心区Ⅷ-13地块F3其它类多功能用地项目商务金融（办公（商务型公寓）、商业及地下车库）用地出让国有建设用地使用权及在建建筑物房地产抵押价值进行了预评估。</v>
      </c>
    </row>
    <row r="7" spans="1:2" s="1201" customFormat="1">
      <c r="A7" s="1199" t="s">
        <v>566</v>
      </c>
      <c r="B7" s="1200" t="str">
        <f>'预评函-1'!A7</f>
        <v>估价对象为北京市通州区运河核心区Ⅷ-13地块F3其它类多功能用地项目商务金融（办公（商务型公寓）、商业及地下车库）用地出让国有建设用地使用权及在建建筑物房地产，为所有。根据《国有土地使用证》[]，估价对象（分摊）出让国有建设用地使用权面积为13594.73平方米，建筑面积为127815.42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运河核心区Ⅷ-13地块F3其它类多功能用地项目商务金融（办公（商务型公寓）、商业及地下车库）用地出让国有建设用地使用权及在建建筑物房地产,为开发建设的综合项目（商业、办公），该项目尚在开发建设中。根据《国有土地使用证》[]，估价对象（分摊）出让国有建设用地使用权面积为13594.73平方米，规划建筑面积为127815.42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2024年10月22日（评估专业人员实地查勘之日）</v>
      </c>
    </row>
    <row r="13" spans="1:2" s="1201" customFormat="1">
      <c r="A13" s="1199" t="s">
        <v>529</v>
      </c>
      <c r="B13" s="1200"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196457</v>
      </c>
    </row>
    <row r="21" spans="1:2" s="1201" customFormat="1">
      <c r="A21" s="1199" t="s">
        <v>537</v>
      </c>
      <c r="B21" s="1200">
        <f ca="1">'预评函-2'!D7</f>
        <v>15370</v>
      </c>
    </row>
    <row r="22" spans="1:2" s="1201" customFormat="1">
      <c r="A22" s="1199" t="s">
        <v>538</v>
      </c>
      <c r="B22" s="1200" t="str">
        <f ca="1">'预评函-2'!D6</f>
        <v>壹拾玖亿陆仟肆佰伍拾柒万元整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t="str">
        <f>'预评函-2'!D10</f>
        <v>（续贷，未扣减，详见特别提示）</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196457</v>
      </c>
    </row>
    <row r="31" spans="1:2" s="1201" customFormat="1">
      <c r="A31" s="1199" t="s">
        <v>576</v>
      </c>
      <c r="B31" s="1200">
        <f ca="1">'预评函-2'!D15</f>
        <v>15370</v>
      </c>
    </row>
    <row r="32" spans="1:2" s="1201" customFormat="1">
      <c r="A32" s="1199" t="s">
        <v>543</v>
      </c>
      <c r="B32" s="1200" t="str">
        <f ca="1">'预评函-2'!D14</f>
        <v>壹拾玖亿陆仟肆佰伍拾柒万元整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北京市通州区运河核心区Ⅷ-13地块F3其它类多功能用地项目商务金融（办公（商务型公寓）、商业及地下车库）用地出让国有建设用地使用权及在建建筑物房地产</v>
      </c>
    </row>
    <row r="42" spans="1:2" s="1201" customFormat="1">
      <c r="A42" s="1199" t="s">
        <v>590</v>
      </c>
      <c r="B42" s="1200" t="str">
        <f>'预评函-3'!B2</f>
        <v>建筑面积</v>
      </c>
    </row>
    <row r="43" spans="1:2" s="1201" customFormat="1">
      <c r="A43" s="1199" t="s">
        <v>591</v>
      </c>
      <c r="B43" s="1200">
        <f>'预评函-3'!B4</f>
        <v>127815.41999999985</v>
      </c>
    </row>
    <row r="44" spans="1:2" s="1201" customFormat="1">
      <c r="A44" s="1199" t="s">
        <v>575</v>
      </c>
      <c r="B44" s="1200" t="str">
        <f>'预评函-3'!C2</f>
        <v>(分摊)土地面积</v>
      </c>
    </row>
    <row r="45" spans="1:2" s="1201" customFormat="1">
      <c r="A45" s="1199" t="s">
        <v>547</v>
      </c>
      <c r="B45" s="1200">
        <f>'预评函-3'!C4</f>
        <v>13594.730000000014</v>
      </c>
    </row>
    <row r="46" spans="1:2" s="1201" customFormat="1">
      <c r="A46" s="1199" t="s">
        <v>573</v>
      </c>
      <c r="B46" s="1200" t="str">
        <f>'预评函-3'!D2</f>
        <v>出让国有建设用地使用权价值</v>
      </c>
    </row>
    <row r="47" spans="1:2" s="1201" customFormat="1">
      <c r="A47" s="1199" t="s">
        <v>548</v>
      </c>
      <c r="B47" s="1200">
        <f ca="1">'预评函-3'!D4</f>
        <v>162273</v>
      </c>
    </row>
    <row r="48" spans="1:2" s="1201" customFormat="1">
      <c r="A48" s="1199" t="s">
        <v>549</v>
      </c>
      <c r="B48" s="1200">
        <f ca="1">'预评函-3'!E4</f>
        <v>12696</v>
      </c>
    </row>
    <row r="49" spans="1:2" s="1201" customFormat="1">
      <c r="A49" s="1199" t="s">
        <v>550</v>
      </c>
      <c r="B49" s="1200" t="str">
        <f ca="1">'预评函-3'!D5</f>
        <v>壹拾陆亿贰仟贰佰柒拾叁万元整</v>
      </c>
    </row>
    <row r="50" spans="1:2" s="1201" customFormat="1">
      <c r="A50" s="1199" t="s">
        <v>574</v>
      </c>
      <c r="B50" s="1200" t="str">
        <f>'预评函-3'!F2</f>
        <v>在建建筑物价值</v>
      </c>
    </row>
    <row r="51" spans="1:2" s="1201" customFormat="1">
      <c r="A51" s="1199" t="s">
        <v>551</v>
      </c>
      <c r="B51" s="1200">
        <f ca="1">'预评函-3'!F4</f>
        <v>34184</v>
      </c>
    </row>
    <row r="52" spans="1:2" s="1201" customFormat="1">
      <c r="A52" s="1199" t="s">
        <v>552</v>
      </c>
      <c r="B52" s="1200">
        <f ca="1">'预评函-3'!G4</f>
        <v>2674</v>
      </c>
    </row>
    <row r="53" spans="1:2" s="1201" customFormat="1">
      <c r="A53" s="1199" t="s">
        <v>580</v>
      </c>
      <c r="B53" s="1200" t="str">
        <f ca="1">'预评函-3'!F5</f>
        <v>叁亿肆仟壹佰捌拾肆万元整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3333</v>
      </c>
    </row>
    <row r="8" spans="1:23">
      <c r="A8" s="1544" t="s">
        <v>1026</v>
      </c>
      <c r="B8" s="1544" t="s">
        <v>1027</v>
      </c>
      <c r="C8" s="1545" t="s">
        <v>319</v>
      </c>
      <c r="F8" s="1546" t="s">
        <v>1028</v>
      </c>
      <c r="H8" s="1546" t="s">
        <v>2569</v>
      </c>
      <c r="I8" s="1546" t="s">
        <v>3334</v>
      </c>
    </row>
    <row r="9" spans="1:23">
      <c r="A9" s="1544" t="s">
        <v>1029</v>
      </c>
      <c r="B9" s="1544" t="s">
        <v>1030</v>
      </c>
      <c r="C9" s="1545" t="s">
        <v>320</v>
      </c>
      <c r="F9" s="1546" t="s">
        <v>1031</v>
      </c>
      <c r="H9" s="1546"/>
      <c r="I9" s="1549" t="s">
        <v>3335</v>
      </c>
    </row>
    <row r="10" spans="1:23">
      <c r="A10" s="1544" t="s">
        <v>1032</v>
      </c>
      <c r="B10" s="1544" t="s">
        <v>1033</v>
      </c>
      <c r="C10" s="1545" t="s">
        <v>321</v>
      </c>
      <c r="F10" s="1546" t="s">
        <v>2570</v>
      </c>
      <c r="I10" s="1549" t="s">
        <v>3336</v>
      </c>
    </row>
    <row r="11" spans="1:23">
      <c r="A11" s="1544" t="s">
        <v>1034</v>
      </c>
      <c r="B11" s="1544" t="s">
        <v>1035</v>
      </c>
      <c r="C11" s="1545" t="s">
        <v>322</v>
      </c>
      <c r="F11" s="1546" t="s">
        <v>13</v>
      </c>
      <c r="I11" s="1549" t="s">
        <v>3337</v>
      </c>
    </row>
    <row r="12" spans="1:23">
      <c r="A12" s="1544" t="s">
        <v>1036</v>
      </c>
      <c r="B12" s="1544" t="s">
        <v>1037</v>
      </c>
      <c r="C12" s="1545" t="s">
        <v>323</v>
      </c>
      <c r="I12" s="1549" t="s">
        <v>3338</v>
      </c>
    </row>
    <row r="13" spans="1:23">
      <c r="A13" s="1544" t="s">
        <v>1038</v>
      </c>
      <c r="B13" s="1544" t="s">
        <v>1039</v>
      </c>
      <c r="C13" s="1545" t="s">
        <v>324</v>
      </c>
      <c r="I13" s="1549" t="s">
        <v>3339</v>
      </c>
    </row>
    <row r="14" spans="1:23">
      <c r="A14" s="1544" t="s">
        <v>1040</v>
      </c>
      <c r="B14" s="1544" t="s">
        <v>1041</v>
      </c>
      <c r="C14" s="1546" t="s">
        <v>13</v>
      </c>
      <c r="I14" s="1549" t="s">
        <v>3340</v>
      </c>
    </row>
    <row r="15" spans="1:23">
      <c r="A15" s="1544" t="s">
        <v>1042</v>
      </c>
      <c r="B15" s="1544" t="s">
        <v>1043</v>
      </c>
      <c r="C15" s="1545"/>
      <c r="I15" s="1549" t="s">
        <v>3341</v>
      </c>
    </row>
    <row r="16" spans="1:23">
      <c r="A16" s="1544" t="s">
        <v>1044</v>
      </c>
      <c r="B16" s="1544" t="s">
        <v>312</v>
      </c>
      <c r="C16" s="1545"/>
    </row>
    <row r="17" spans="1:3">
      <c r="A17" s="1544" t="s">
        <v>1045</v>
      </c>
      <c r="B17" s="1544" t="s">
        <v>2284</v>
      </c>
      <c r="C17" s="1545"/>
    </row>
    <row r="18" spans="1:3">
      <c r="A18" s="1544" t="s">
        <v>1046</v>
      </c>
      <c r="B18" s="1544" t="s">
        <v>2425</v>
      </c>
      <c r="C18" s="1545"/>
    </row>
    <row r="19" spans="1:3">
      <c r="A19" s="1544" t="s">
        <v>1047</v>
      </c>
      <c r="B19" s="1544" t="s">
        <v>3788</v>
      </c>
      <c r="C19" s="1545"/>
    </row>
    <row r="20" spans="1:3">
      <c r="A20" s="1544" t="s">
        <v>1048</v>
      </c>
      <c r="B20" s="1544" t="s">
        <v>3790</v>
      </c>
      <c r="C20" s="1545"/>
    </row>
    <row r="21" spans="1:3">
      <c r="A21" s="1544" t="s">
        <v>1049</v>
      </c>
      <c r="B21" s="1544" t="s">
        <v>3792</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8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1552" t="s">
        <v>385</v>
      </c>
      <c r="C54" s="1549" t="s">
        <v>583</v>
      </c>
    </row>
    <row r="55" spans="1:4">
      <c r="A55" s="3582"/>
      <c r="B55" s="1552" t="s">
        <v>386</v>
      </c>
      <c r="C55" s="1549" t="s">
        <v>584</v>
      </c>
    </row>
    <row r="56" spans="1:4">
      <c r="A56" s="3582"/>
      <c r="B56" s="1552" t="s">
        <v>387</v>
      </c>
      <c r="C56" s="1549" t="s">
        <v>588</v>
      </c>
    </row>
    <row r="57" spans="1:4">
      <c r="A57" s="358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2492</v>
      </c>
      <c r="B1" s="3008"/>
      <c r="C1" s="3008"/>
      <c r="D1" s="3008"/>
      <c r="E1" s="3008"/>
      <c r="F1" s="3009"/>
      <c r="I1" s="3431" t="s">
        <v>2585</v>
      </c>
      <c r="J1" s="3220"/>
      <c r="K1" s="3220"/>
      <c r="L1" s="3220"/>
      <c r="M1" s="3220"/>
      <c r="N1" s="3432"/>
      <c r="O1" s="3432"/>
      <c r="P1" s="3432"/>
      <c r="Q1" s="3432"/>
      <c r="R1" s="3432"/>
    </row>
    <row r="2" spans="1:18">
      <c r="A2" s="3011"/>
      <c r="B2" s="3012"/>
      <c r="C2" s="3012"/>
      <c r="D2" s="3012"/>
      <c r="E2" s="3012"/>
      <c r="F2" s="3013"/>
      <c r="I2" s="3583" t="s">
        <v>2572</v>
      </c>
      <c r="J2" s="3583"/>
      <c r="K2" s="3583"/>
      <c r="L2" s="3583"/>
      <c r="M2" s="3583"/>
      <c r="N2" s="3583"/>
      <c r="O2" s="3583"/>
      <c r="P2" s="3583"/>
      <c r="Q2" s="3583"/>
      <c r="R2" s="3583"/>
    </row>
    <row r="3" spans="1:18">
      <c r="A3" s="3014" t="s">
        <v>2493</v>
      </c>
      <c r="B3" s="3015">
        <f>项目基本情况!D3</f>
        <v>45587</v>
      </c>
      <c r="C3" s="3017"/>
      <c r="D3" s="3017"/>
      <c r="E3" s="3017"/>
      <c r="F3" s="3013"/>
      <c r="I3" s="3433"/>
      <c r="J3" s="3433" t="s">
        <v>2576</v>
      </c>
      <c r="K3" s="3433" t="s">
        <v>2577</v>
      </c>
      <c r="L3" s="3433" t="s">
        <v>2578</v>
      </c>
      <c r="M3" s="3433" t="s">
        <v>2579</v>
      </c>
      <c r="N3" s="3434" t="s">
        <v>2580</v>
      </c>
      <c r="O3" s="3434" t="s">
        <v>2581</v>
      </c>
      <c r="P3" s="3434" t="s">
        <v>2582</v>
      </c>
      <c r="Q3" s="3434" t="s">
        <v>2583</v>
      </c>
      <c r="R3" s="3434" t="s">
        <v>2584</v>
      </c>
    </row>
    <row r="4" spans="1:18">
      <c r="A4" s="3014" t="s">
        <v>2494</v>
      </c>
      <c r="B4" s="3017" t="s">
        <v>2495</v>
      </c>
      <c r="C4" s="3017" t="s">
        <v>2496</v>
      </c>
      <c r="D4" s="3017" t="s">
        <v>2497</v>
      </c>
      <c r="E4" s="3017" t="s">
        <v>2498</v>
      </c>
      <c r="F4" s="3013"/>
      <c r="I4" s="3433" t="s">
        <v>2573</v>
      </c>
      <c r="J4" s="3433">
        <v>80</v>
      </c>
      <c r="K4" s="3433">
        <v>70</v>
      </c>
      <c r="L4" s="3433">
        <v>20</v>
      </c>
      <c r="M4" s="3433">
        <v>30</v>
      </c>
      <c r="N4" s="3017">
        <v>45</v>
      </c>
      <c r="O4" s="3017">
        <v>60</v>
      </c>
      <c r="P4" s="3017">
        <v>50</v>
      </c>
      <c r="Q4" s="3017">
        <v>20</v>
      </c>
      <c r="R4" s="3017">
        <v>375</v>
      </c>
    </row>
    <row r="5" spans="1:18">
      <c r="A5" s="3018">
        <v>40</v>
      </c>
      <c r="B5" s="3015">
        <v>46375</v>
      </c>
      <c r="C5" s="3017">
        <f>ROUNDDOWN(MIN((B5-B3)/365,A5),2)</f>
        <v>2.15</v>
      </c>
      <c r="D5" s="3019">
        <f>IF(ISERROR(ROUND(POWER(1+E5,A5-C5)*(POWER(1+E5,C5)-1)/(POWER(1+E5,A5)-1),3)),0,ROUND(POWER(1+E5,A5-C5)*(POWER(1+E5,C5)-1)/(POWER(1+E5,A5)-1),4))</f>
        <v>0.1021</v>
      </c>
      <c r="E5" s="3020">
        <v>0.04</v>
      </c>
      <c r="F5" s="3013"/>
      <c r="I5" s="3433" t="s">
        <v>2574</v>
      </c>
      <c r="J5" s="3433">
        <v>70</v>
      </c>
      <c r="K5" s="3433">
        <v>60</v>
      </c>
      <c r="L5" s="3433">
        <v>15</v>
      </c>
      <c r="M5" s="3433">
        <v>25</v>
      </c>
      <c r="N5" s="3017">
        <v>40</v>
      </c>
      <c r="O5" s="3017">
        <v>50</v>
      </c>
      <c r="P5" s="3017">
        <v>40</v>
      </c>
      <c r="Q5" s="3017">
        <v>15</v>
      </c>
      <c r="R5" s="3017">
        <v>315</v>
      </c>
    </row>
    <row r="6" spans="1:18">
      <c r="A6" s="3018">
        <v>50</v>
      </c>
      <c r="B6" s="3015">
        <v>50028</v>
      </c>
      <c r="C6" s="3017">
        <f>ROUNDDOWN(MIN((B6-B3)/365,A6),2)</f>
        <v>12.16</v>
      </c>
      <c r="D6" s="3019">
        <f>IF(ISERROR(ROUND(POWER(1+E6,A6-C6)*(POWER(1+E6,C6)-1)/(POWER(1+E6,A6)-1),3)),0,ROUND(POWER(1+E6,A6-C6)*(POWER(1+E6,C6)-1)/(POWER(1+E6,A6)-1),4))</f>
        <v>0.44140000000000001</v>
      </c>
      <c r="E6" s="3020">
        <v>0.04</v>
      </c>
      <c r="F6" s="3013"/>
      <c r="I6" s="3433" t="s">
        <v>2575</v>
      </c>
      <c r="J6" s="3433">
        <v>60</v>
      </c>
      <c r="K6" s="3433">
        <v>50</v>
      </c>
      <c r="L6" s="3433">
        <v>10</v>
      </c>
      <c r="M6" s="3433">
        <v>20</v>
      </c>
      <c r="N6" s="3017">
        <v>35</v>
      </c>
      <c r="O6" s="3017">
        <v>40</v>
      </c>
      <c r="P6" s="3017">
        <v>30</v>
      </c>
      <c r="Q6" s="3017">
        <v>10</v>
      </c>
      <c r="R6" s="3017">
        <v>255</v>
      </c>
    </row>
    <row r="7" spans="1:18">
      <c r="A7" s="3018">
        <v>70</v>
      </c>
      <c r="B7" s="3015">
        <v>57333</v>
      </c>
      <c r="C7" s="3017">
        <f>ROUNDDOWN(MIN((B7-B3)/365,A7),2)</f>
        <v>32.18</v>
      </c>
      <c r="D7" s="3019">
        <f>IF(ISERROR(ROUND(POWER(1+E7,A7-C7)*(POWER(1+E7,C7)-1)/(POWER(1+E7,A7)-1),3)),0,ROUND(POWER(1+E7,A7-C7)*(POWER(1+E7,C7)-1)/(POWER(1+E7,A7)-1),4))</f>
        <v>0.7661</v>
      </c>
      <c r="E7" s="3020">
        <v>0.04</v>
      </c>
      <c r="F7" s="3013"/>
    </row>
    <row r="8" spans="1:18">
      <c r="A8" s="3011"/>
      <c r="B8" s="3012"/>
      <c r="C8" s="3012"/>
      <c r="D8" s="3012"/>
      <c r="E8" s="3012"/>
      <c r="F8" s="3013"/>
    </row>
    <row r="9" spans="1:18">
      <c r="A9" s="3014" t="s">
        <v>2499</v>
      </c>
      <c r="B9" s="3017"/>
      <c r="C9" s="3017"/>
      <c r="D9" s="3017"/>
      <c r="E9" s="3017"/>
      <c r="F9" s="3021"/>
    </row>
    <row r="10" spans="1:18">
      <c r="A10" s="3014" t="s">
        <v>2500</v>
      </c>
      <c r="B10" s="3017"/>
      <c r="C10" s="3017"/>
      <c r="D10" s="3017" t="s">
        <v>2498</v>
      </c>
      <c r="E10" s="3017"/>
      <c r="F10" s="3021" t="s">
        <v>2497</v>
      </c>
    </row>
    <row r="11" spans="1:18">
      <c r="A11" s="3014" t="s">
        <v>2501</v>
      </c>
      <c r="B11" s="3022">
        <v>70</v>
      </c>
      <c r="C11" s="3017" t="s">
        <v>2502</v>
      </c>
      <c r="D11" s="3023">
        <v>4.4999999999999998E-2</v>
      </c>
      <c r="E11" s="3017" t="s">
        <v>2503</v>
      </c>
      <c r="F11" s="3024">
        <f>ROUND(1-(1/(POWER(1+D11,B11))),4)</f>
        <v>0.95409999999999995</v>
      </c>
    </row>
    <row r="12" spans="1:18">
      <c r="A12" s="3014" t="s">
        <v>2504</v>
      </c>
      <c r="B12" s="3022">
        <v>40</v>
      </c>
      <c r="C12" s="3017" t="s">
        <v>2505</v>
      </c>
      <c r="D12" s="3023">
        <v>4.4999999999999998E-2</v>
      </c>
      <c r="E12" s="3017" t="s">
        <v>2506</v>
      </c>
      <c r="F12" s="3024">
        <f>ROUND(1-(1/(POWER(1+D12,B12))),4)</f>
        <v>0.82809999999999995</v>
      </c>
    </row>
    <row r="13" spans="1:18">
      <c r="A13" s="3014" t="s">
        <v>2507</v>
      </c>
      <c r="B13" s="3017"/>
      <c r="C13" s="3017"/>
      <c r="D13" s="3012"/>
      <c r="E13" s="3012"/>
      <c r="F13" s="3013"/>
    </row>
    <row r="14" spans="1:18">
      <c r="A14" s="3014" t="s">
        <v>2508</v>
      </c>
      <c r="B14" s="3022">
        <v>5000</v>
      </c>
      <c r="C14" s="3016"/>
      <c r="D14" s="3012"/>
      <c r="E14" s="3012"/>
      <c r="F14" s="3013"/>
    </row>
    <row r="15" spans="1:18">
      <c r="A15" s="3014" t="s">
        <v>2509</v>
      </c>
      <c r="B15" s="3017">
        <f>ROUND(B14*F12/F11,2)</f>
        <v>4339.6899999999996</v>
      </c>
      <c r="C15" s="3017">
        <f>ROUND(F12/F11,4)</f>
        <v>0.8679</v>
      </c>
      <c r="D15" s="3012"/>
      <c r="E15" s="3012"/>
      <c r="F15" s="3013"/>
    </row>
    <row r="16" spans="1:18">
      <c r="A16" s="3014" t="s">
        <v>2510</v>
      </c>
      <c r="B16" s="3017"/>
      <c r="C16" s="3017"/>
      <c r="D16" s="3012"/>
      <c r="E16" s="3012"/>
      <c r="F16" s="3013"/>
    </row>
    <row r="17" spans="1:13">
      <c r="A17" s="3014" t="s">
        <v>2509</v>
      </c>
      <c r="B17" s="3023">
        <v>4810</v>
      </c>
      <c r="C17" s="3016"/>
      <c r="D17" s="3012"/>
      <c r="E17" s="3012"/>
      <c r="F17" s="3013"/>
    </row>
    <row r="18" spans="1:13" ht="14.25" thickBot="1">
      <c r="A18" s="3025" t="s">
        <v>2508</v>
      </c>
      <c r="B18" s="3026">
        <f>ROUND(B17*F11/F12,2)</f>
        <v>5541.87</v>
      </c>
      <c r="C18" s="3026">
        <f>ROUND(F11/F12,4)</f>
        <v>1.1521999999999999</v>
      </c>
      <c r="D18" s="3027"/>
      <c r="E18" s="3027"/>
      <c r="F18" s="3028"/>
    </row>
    <row r="19" spans="1:13" ht="14.25" thickBot="1"/>
    <row r="20" spans="1:13" s="3063" customFormat="1" ht="14.25" thickTop="1">
      <c r="A20" s="3060" t="s">
        <v>2511</v>
      </c>
      <c r="B20" s="3061"/>
      <c r="C20" s="3061"/>
      <c r="D20" s="3061"/>
      <c r="E20" s="3061"/>
      <c r="F20" s="3061"/>
      <c r="G20" s="3062"/>
      <c r="I20" s="3064" t="s">
        <v>2556</v>
      </c>
      <c r="J20" s="3064" t="s">
        <v>2561</v>
      </c>
      <c r="K20" s="3064"/>
      <c r="L20" s="3064"/>
      <c r="M20" s="3064"/>
    </row>
    <row r="21" spans="1:13">
      <c r="A21" s="3029"/>
      <c r="B21" s="3030" t="s">
        <v>2512</v>
      </c>
      <c r="C21" s="3030" t="s">
        <v>2513</v>
      </c>
      <c r="D21" s="3030" t="s">
        <v>2514</v>
      </c>
      <c r="E21" s="3030" t="s">
        <v>2515</v>
      </c>
      <c r="F21" s="3030" t="s">
        <v>2516</v>
      </c>
      <c r="G21" s="3031" t="s">
        <v>2517</v>
      </c>
      <c r="I21" s="3052">
        <v>5</v>
      </c>
      <c r="J21" s="3052">
        <v>54.2</v>
      </c>
    </row>
    <row r="22" spans="1:13">
      <c r="A22" s="3029" t="s">
        <v>2518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2559</v>
      </c>
      <c r="M23" s="3052" t="s">
        <v>2560</v>
      </c>
    </row>
    <row r="24" spans="1:13">
      <c r="A24" s="3029" t="s">
        <v>2520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2558</v>
      </c>
      <c r="M24" s="3052">
        <v>10</v>
      </c>
    </row>
    <row r="25" spans="1:13">
      <c r="A25" s="3029" t="s">
        <v>2521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2562</v>
      </c>
      <c r="M25" s="3052">
        <v>8</v>
      </c>
    </row>
    <row r="26" spans="1:13">
      <c r="A26" s="3034"/>
      <c r="B26" s="3035"/>
      <c r="C26" s="3035"/>
      <c r="D26" s="3035"/>
      <c r="E26" s="3035"/>
      <c r="F26" s="3035"/>
      <c r="G26" s="3036"/>
      <c r="I26" s="3052">
        <v>30</v>
      </c>
      <c r="J26" s="3052">
        <v>90.5</v>
      </c>
      <c r="K26" s="3052">
        <f t="shared" si="2"/>
        <v>4.2000000000000028</v>
      </c>
      <c r="L26" s="3052" t="s">
        <v>2563</v>
      </c>
      <c r="M26" s="3052">
        <v>5</v>
      </c>
    </row>
    <row r="27" spans="1:13">
      <c r="A27" s="3034" t="s">
        <v>2522</v>
      </c>
      <c r="B27" s="3035"/>
      <c r="C27" s="3035"/>
      <c r="D27" s="3035"/>
      <c r="E27" s="3035"/>
      <c r="F27" s="3035"/>
      <c r="G27" s="3036"/>
      <c r="I27" s="3052">
        <v>35</v>
      </c>
      <c r="J27" s="3052">
        <v>93.8</v>
      </c>
      <c r="K27" s="3052">
        <f t="shared" si="2"/>
        <v>3.2999999999999972</v>
      </c>
      <c r="L27" s="3052" t="s">
        <v>2564</v>
      </c>
      <c r="M27" s="3052">
        <v>3</v>
      </c>
    </row>
    <row r="28" spans="1:13">
      <c r="A28" s="3034" t="s">
        <v>2523</v>
      </c>
      <c r="B28" s="3035"/>
      <c r="C28" s="3035"/>
      <c r="D28" s="3035"/>
      <c r="E28" s="3035"/>
      <c r="F28" s="3035"/>
      <c r="G28" s="3036"/>
      <c r="I28" s="3052">
        <v>40</v>
      </c>
      <c r="J28" s="3052">
        <v>96.4</v>
      </c>
      <c r="K28" s="3052">
        <f t="shared" si="2"/>
        <v>2.6000000000000085</v>
      </c>
      <c r="L28" s="3052" t="s">
        <v>2565</v>
      </c>
      <c r="M28" s="3052">
        <v>2</v>
      </c>
    </row>
    <row r="29" spans="1:13">
      <c r="A29" s="3034" t="s">
        <v>2524</v>
      </c>
      <c r="B29" s="3035"/>
      <c r="C29" s="3035"/>
      <c r="D29" s="3035"/>
      <c r="E29" s="3035"/>
      <c r="F29" s="3035"/>
      <c r="G29" s="3036"/>
      <c r="I29" s="3052">
        <v>45</v>
      </c>
      <c r="J29" s="3052">
        <v>98.4</v>
      </c>
      <c r="K29" s="3052">
        <f t="shared" si="2"/>
        <v>2</v>
      </c>
    </row>
    <row r="30" spans="1:13">
      <c r="A30" s="3034" t="s">
        <v>2525</v>
      </c>
      <c r="B30" s="3035"/>
      <c r="C30" s="3035"/>
      <c r="D30" s="3035"/>
      <c r="E30" s="3035"/>
      <c r="F30" s="3035"/>
      <c r="G30" s="3036"/>
      <c r="I30" s="3052">
        <v>50</v>
      </c>
      <c r="J30" s="3052">
        <v>100</v>
      </c>
      <c r="K30" s="3052">
        <f t="shared" si="2"/>
        <v>1.5999999999999943</v>
      </c>
    </row>
    <row r="31" spans="1:13">
      <c r="A31" s="3034" t="s">
        <v>2526</v>
      </c>
      <c r="B31" s="3035"/>
      <c r="C31" s="3035"/>
      <c r="D31" s="3035"/>
      <c r="E31" s="3035"/>
      <c r="F31" s="3035"/>
      <c r="G31" s="3036"/>
      <c r="I31" s="3052" t="s">
        <v>2557</v>
      </c>
    </row>
    <row r="32" spans="1:13">
      <c r="A32" s="3034" t="s">
        <v>2527</v>
      </c>
      <c r="B32" s="3035"/>
      <c r="C32" s="3035"/>
      <c r="D32" s="3035"/>
      <c r="E32" s="3035"/>
      <c r="F32" s="3035"/>
      <c r="G32" s="3036"/>
    </row>
    <row r="33" spans="1:13">
      <c r="A33" s="3034" t="s">
        <v>2528</v>
      </c>
      <c r="B33" s="3035"/>
      <c r="C33" s="3035"/>
      <c r="D33" s="3035"/>
      <c r="E33" s="3035"/>
      <c r="F33" s="3035"/>
      <c r="G33" s="3036"/>
      <c r="I33" s="3052" t="s">
        <v>2556</v>
      </c>
      <c r="J33" s="3052" t="s">
        <v>2566</v>
      </c>
    </row>
    <row r="34" spans="1:13">
      <c r="A34" s="3034" t="s">
        <v>2529</v>
      </c>
      <c r="B34" s="3035"/>
      <c r="C34" s="3035"/>
      <c r="D34" s="3035"/>
      <c r="E34" s="3035"/>
      <c r="F34" s="3035"/>
      <c r="G34" s="3036"/>
      <c r="I34" s="3052">
        <v>5</v>
      </c>
      <c r="J34" s="3052">
        <v>55.1</v>
      </c>
    </row>
    <row r="35" spans="1:13">
      <c r="A35" s="3034" t="s">
        <v>2530</v>
      </c>
      <c r="B35" s="3035"/>
      <c r="C35" s="3035"/>
      <c r="D35" s="3035"/>
      <c r="E35" s="3035"/>
      <c r="F35" s="3035"/>
      <c r="G35" s="3036"/>
      <c r="I35" s="3052">
        <v>10</v>
      </c>
      <c r="J35" s="3052">
        <v>67</v>
      </c>
      <c r="K35" s="3052">
        <f>J35-J34</f>
        <v>11.899999999999999</v>
      </c>
    </row>
    <row r="36" spans="1:13">
      <c r="A36" s="3034" t="s">
        <v>2531</v>
      </c>
      <c r="B36" s="3035"/>
      <c r="C36" s="3035"/>
      <c r="D36" s="3035"/>
      <c r="E36" s="3035"/>
      <c r="F36" s="3035"/>
      <c r="G36" s="3036"/>
      <c r="I36" s="3052">
        <v>15</v>
      </c>
      <c r="J36" s="3052">
        <v>76.3</v>
      </c>
      <c r="K36" s="3052">
        <f t="shared" ref="K36:K41" si="3">J36-J35</f>
        <v>9.2999999999999972</v>
      </c>
      <c r="L36" s="3052" t="s">
        <v>2559</v>
      </c>
      <c r="M36" s="3052" t="s">
        <v>2560</v>
      </c>
    </row>
    <row r="37" spans="1:13">
      <c r="A37" s="3034" t="s">
        <v>2532</v>
      </c>
      <c r="B37" s="3035"/>
      <c r="C37" s="3035"/>
      <c r="D37" s="3035"/>
      <c r="E37" s="3035"/>
      <c r="F37" s="3035"/>
      <c r="G37" s="3036"/>
      <c r="I37" s="3052">
        <v>20</v>
      </c>
      <c r="J37" s="3052">
        <v>83.6</v>
      </c>
      <c r="K37" s="3052">
        <f t="shared" si="3"/>
        <v>7.2999999999999972</v>
      </c>
      <c r="L37" s="3052" t="s">
        <v>2558</v>
      </c>
      <c r="M37" s="3052">
        <v>10</v>
      </c>
    </row>
    <row r="38" spans="1:13">
      <c r="A38" s="3034" t="s">
        <v>2533</v>
      </c>
      <c r="B38" s="3035"/>
      <c r="C38" s="3035"/>
      <c r="D38" s="3035"/>
      <c r="E38" s="3035"/>
      <c r="F38" s="3035"/>
      <c r="G38" s="3036"/>
      <c r="I38" s="3052">
        <v>25</v>
      </c>
      <c r="J38" s="3052">
        <v>89.3</v>
      </c>
      <c r="K38" s="3052">
        <f t="shared" si="3"/>
        <v>5.7000000000000028</v>
      </c>
      <c r="L38" s="3052" t="s">
        <v>2562</v>
      </c>
      <c r="M38" s="3052">
        <v>8</v>
      </c>
    </row>
    <row r="39" spans="1:13">
      <c r="A39" s="3034"/>
      <c r="B39" s="3035"/>
      <c r="C39" s="3035"/>
      <c r="D39" s="3035"/>
      <c r="E39" s="3035"/>
      <c r="F39" s="3035"/>
      <c r="G39" s="3036"/>
      <c r="I39" s="3052">
        <v>30</v>
      </c>
      <c r="J39" s="3052">
        <v>93.8</v>
      </c>
      <c r="K39" s="3052">
        <f t="shared" si="3"/>
        <v>4.5</v>
      </c>
      <c r="L39" s="3052" t="s">
        <v>2563</v>
      </c>
      <c r="M39" s="3052">
        <v>6</v>
      </c>
    </row>
    <row r="40" spans="1:13">
      <c r="A40" s="3037" t="s">
        <v>2534</v>
      </c>
      <c r="B40" s="3038"/>
      <c r="C40" s="3038"/>
      <c r="D40" s="3038"/>
      <c r="E40" s="3038"/>
      <c r="F40" s="3038"/>
      <c r="G40" s="3039"/>
      <c r="I40" s="3052">
        <v>35</v>
      </c>
      <c r="J40" s="3052">
        <v>97.2</v>
      </c>
      <c r="K40" s="3052">
        <f t="shared" si="3"/>
        <v>3.4000000000000057</v>
      </c>
      <c r="L40" s="3052" t="s">
        <v>2564</v>
      </c>
      <c r="M40" s="3052">
        <v>3</v>
      </c>
    </row>
    <row r="41" spans="1:13">
      <c r="A41" s="3040" t="s">
        <v>2535</v>
      </c>
      <c r="B41" s="3041" t="s">
        <v>2536</v>
      </c>
      <c r="C41" s="3042" t="s">
        <v>2537</v>
      </c>
      <c r="D41" s="3042" t="s">
        <v>2538</v>
      </c>
      <c r="E41" s="3043"/>
      <c r="F41" s="3044"/>
      <c r="G41" s="3045"/>
      <c r="I41" s="3052">
        <v>40</v>
      </c>
      <c r="J41" s="3052">
        <v>100</v>
      </c>
      <c r="K41" s="3052">
        <f t="shared" si="3"/>
        <v>2.7999999999999972</v>
      </c>
    </row>
    <row r="42" spans="1:13">
      <c r="A42" s="3040" t="s">
        <v>2539</v>
      </c>
      <c r="B42" s="3041" t="s">
        <v>2540</v>
      </c>
      <c r="C42" s="3042" t="s">
        <v>2541</v>
      </c>
      <c r="D42" s="3046" t="s">
        <v>2542</v>
      </c>
      <c r="E42" s="3038" t="s">
        <v>2543</v>
      </c>
      <c r="F42" s="3038"/>
      <c r="G42" s="3039"/>
    </row>
    <row r="43" spans="1:13">
      <c r="A43" s="3040" t="s">
        <v>2544</v>
      </c>
      <c r="B43" s="3041" t="s">
        <v>2545</v>
      </c>
      <c r="C43" s="3042" t="s">
        <v>2546</v>
      </c>
      <c r="D43" s="3042" t="s">
        <v>2547</v>
      </c>
      <c r="E43" s="3043" t="s">
        <v>2548</v>
      </c>
      <c r="F43" s="3044"/>
      <c r="G43" s="3045"/>
      <c r="I43" s="3052" t="s">
        <v>2556</v>
      </c>
      <c r="J43" s="3052" t="s">
        <v>2567</v>
      </c>
    </row>
    <row r="44" spans="1:13">
      <c r="A44" s="3040" t="s">
        <v>2549</v>
      </c>
      <c r="B44" s="3041" t="s">
        <v>2550</v>
      </c>
      <c r="C44" s="3042" t="s">
        <v>2551</v>
      </c>
      <c r="D44" s="3046">
        <v>0.5</v>
      </c>
      <c r="E44" s="3043" t="s">
        <v>2552</v>
      </c>
      <c r="F44" s="3044"/>
      <c r="G44" s="3045"/>
      <c r="I44" s="3052">
        <v>30</v>
      </c>
      <c r="J44" s="3052">
        <v>81.7</v>
      </c>
    </row>
    <row r="45" spans="1:13" ht="14.25" thickBot="1">
      <c r="A45" s="3047" t="s">
        <v>2553</v>
      </c>
      <c r="B45" s="3048" t="s">
        <v>2540</v>
      </c>
      <c r="C45" s="3049" t="s">
        <v>2540</v>
      </c>
      <c r="D45" s="3049" t="s">
        <v>2554</v>
      </c>
      <c r="E45" s="3050" t="s">
        <v>2555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92" t="str">
        <f>IF(B10="北京市","北京市",C10)&amp;F10&amp;IF(结果表!G1="在建","出让国有建设用地使用权及在建建筑物",IF(结果表!G1="土地","出让国有建设用地使用权",))&amp;B9&amp;"预评估"</f>
        <v>北京市通州区运河核心区Ⅷ-13地块F3其它类多功能用地项目商务金融（办公（商务型公寓）、商业及地下车库）用地出让国有建设用地使用权及在建建筑物房地产抵押价值预评估</v>
      </c>
      <c r="C1" s="3593"/>
      <c r="D1" s="3593"/>
      <c r="E1" s="3593"/>
      <c r="F1" s="3593"/>
      <c r="G1" s="3593"/>
      <c r="H1" s="3593"/>
      <c r="I1" s="3594"/>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北京市通州区运河核心区Ⅷ-13地块F3其它类多功能用地项目商务金融（办公（商务型公寓）、商业及地下车库）用地出让国有建设用地使用权及在建建筑物房地产抵押价值</v>
      </c>
      <c r="T1" s="1743"/>
      <c r="U1" s="1743"/>
      <c r="V1" s="1743"/>
      <c r="W1" s="1743"/>
      <c r="X1" s="1743"/>
      <c r="Y1" s="1743"/>
      <c r="Z1" s="1743"/>
      <c r="AA1" s="1743"/>
      <c r="AB1" s="1743"/>
    </row>
    <row r="2" spans="1:30">
      <c r="A2" s="2365" t="s">
        <v>2167</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北京市通州区运河核心区Ⅷ-13地块F3其它类多功能用地项目商务金融（办公（商务型公寓）、商业及地下车库）用地出让国有建设用地使用权及在建建筑物房地产</v>
      </c>
      <c r="T2" s="1743"/>
      <c r="U2" s="1743"/>
      <c r="V2" s="1743"/>
      <c r="W2" s="1743"/>
      <c r="X2" s="1743"/>
      <c r="Y2" s="1743"/>
      <c r="Z2" s="1743"/>
      <c r="AA2" s="1743"/>
      <c r="AB2" s="1743"/>
    </row>
    <row r="3" spans="1:30">
      <c r="A3" s="302" t="s">
        <v>2168</v>
      </c>
      <c r="B3" s="2371">
        <v>45587</v>
      </c>
      <c r="C3" s="2372" t="s">
        <v>2169</v>
      </c>
      <c r="D3" s="2371">
        <f>B3</f>
        <v>45587</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t="s">
        <v>3379</v>
      </c>
      <c r="C4" s="2374">
        <f ca="1">SUMIF(注册房地产估价师,B4,估价师及机构信息!B3:B24)</f>
        <v>1120100036</v>
      </c>
      <c r="D4" s="2373" t="s">
        <v>3380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2173</v>
      </c>
      <c r="B7" s="2385"/>
      <c r="C7" s="2383"/>
      <c r="D7" s="2384"/>
      <c r="E7" s="2656"/>
      <c r="F7" s="2658"/>
      <c r="G7" s="2658"/>
      <c r="H7" s="2658"/>
      <c r="I7" s="2658"/>
      <c r="J7" s="2435"/>
      <c r="K7" s="2610"/>
      <c r="L7" s="2607"/>
      <c r="M7" s="2607"/>
      <c r="N7" s="2435"/>
      <c r="O7" s="2446"/>
      <c r="P7" s="2435"/>
      <c r="Q7" s="2435"/>
      <c r="R7" s="2435"/>
    </row>
    <row r="8" spans="1:30">
      <c r="A8" s="2386" t="s">
        <v>2174</v>
      </c>
      <c r="B8" s="2387" t="s">
        <v>3381</v>
      </c>
      <c r="C8" s="2388"/>
      <c r="D8" s="3595" t="s">
        <v>2175</v>
      </c>
      <c r="E8" s="2389" t="s">
        <v>3382</v>
      </c>
      <c r="F8" s="2390"/>
      <c r="G8" s="2657"/>
      <c r="H8" s="2657"/>
      <c r="I8" s="2657"/>
      <c r="J8" s="2435"/>
      <c r="K8" s="2608"/>
      <c r="L8" s="2607"/>
      <c r="M8" s="2607"/>
      <c r="N8" s="2435"/>
      <c r="O8" s="2446"/>
      <c r="P8" s="2435"/>
      <c r="Q8" s="2435"/>
      <c r="R8" s="2435"/>
    </row>
    <row r="9" spans="1:30" ht="13.5" thickBot="1">
      <c r="A9" s="2391" t="s">
        <v>2176</v>
      </c>
      <c r="B9" s="2392" t="s">
        <v>3382</v>
      </c>
      <c r="C9" s="2393"/>
      <c r="D9" s="3596"/>
      <c r="E9" s="2392" t="s">
        <v>43</v>
      </c>
      <c r="F9" s="2394"/>
      <c r="G9" s="2659"/>
      <c r="H9" s="2659"/>
      <c r="I9" s="2659"/>
      <c r="J9" s="2435"/>
      <c r="K9" s="2610"/>
      <c r="L9" s="2607"/>
      <c r="M9" s="2607"/>
      <c r="N9" s="2435"/>
      <c r="O9" s="2446"/>
      <c r="P9" s="2435"/>
      <c r="Q9" s="2435"/>
      <c r="R9" s="2435"/>
    </row>
    <row r="10" spans="1:30" ht="13.5" thickTop="1">
      <c r="A10" s="2395" t="s">
        <v>2177</v>
      </c>
      <c r="B10" s="2396" t="s">
        <v>3383</v>
      </c>
      <c r="C10" s="3525" t="s">
        <v>3988</v>
      </c>
      <c r="D10" s="2380"/>
      <c r="E10" s="2397" t="s">
        <v>2178</v>
      </c>
      <c r="F10" s="2660" t="s">
        <v>3989</v>
      </c>
      <c r="G10" s="2661"/>
      <c r="H10" s="2662"/>
      <c r="I10" s="2663"/>
      <c r="J10" s="2435"/>
      <c r="K10" s="2610"/>
      <c r="L10" s="2607"/>
      <c r="M10" s="2607"/>
      <c r="N10" s="2435"/>
      <c r="O10" s="2446"/>
      <c r="P10" s="2435"/>
      <c r="Q10" s="2435"/>
      <c r="R10" s="2435"/>
    </row>
    <row r="11" spans="1:30">
      <c r="A11" s="2398" t="s">
        <v>2179</v>
      </c>
      <c r="B11" s="2399" t="s">
        <v>3384</v>
      </c>
      <c r="C11" s="2400"/>
      <c r="D11" s="2401"/>
      <c r="E11" s="2368"/>
      <c r="F11" s="2368"/>
      <c r="G11" s="2368"/>
      <c r="H11" s="2368"/>
      <c r="I11" s="2368"/>
      <c r="J11" s="3055"/>
      <c r="K11" s="3054"/>
      <c r="L11" s="2607"/>
      <c r="M11" s="2607"/>
      <c r="N11" s="2435"/>
      <c r="O11" s="2446"/>
      <c r="P11" s="2435"/>
      <c r="Q11" s="2435"/>
      <c r="R11" s="2435"/>
    </row>
    <row r="12" spans="1:30">
      <c r="A12" s="2402" t="s">
        <v>2180</v>
      </c>
      <c r="B12" s="323" t="s">
        <v>2181</v>
      </c>
      <c r="C12" s="2403" t="s">
        <v>2182</v>
      </c>
      <c r="D12" s="2403" t="s">
        <v>2183</v>
      </c>
      <c r="E12" s="2403" t="s">
        <v>2184</v>
      </c>
      <c r="F12" s="2403" t="s">
        <v>2185</v>
      </c>
      <c r="G12" s="2403" t="s">
        <v>2186</v>
      </c>
      <c r="H12" s="2403" t="s">
        <v>2187</v>
      </c>
      <c r="I12" s="3053" t="s">
        <v>2568</v>
      </c>
      <c r="J12" s="3056"/>
      <c r="K12" s="2607"/>
      <c r="L12" s="2607"/>
      <c r="M12" s="2435"/>
      <c r="N12" s="2446"/>
      <c r="O12" s="2435"/>
      <c r="P12" s="2435"/>
      <c r="Q12" s="2435"/>
      <c r="AD12" s="1743"/>
    </row>
    <row r="13" spans="1:30">
      <c r="A13" s="3417" t="s">
        <v>3323</v>
      </c>
      <c r="B13" s="2404" t="s">
        <v>2188</v>
      </c>
      <c r="C13" s="856"/>
      <c r="D13" s="856">
        <v>55827</v>
      </c>
      <c r="E13" s="856">
        <v>59479</v>
      </c>
      <c r="F13" s="856">
        <f>E13</f>
        <v>59479</v>
      </c>
      <c r="G13" s="856"/>
      <c r="H13" s="856"/>
      <c r="I13" s="856"/>
      <c r="J13" s="3056"/>
      <c r="K13" s="2607"/>
      <c r="L13" s="2607"/>
      <c r="M13" s="2435"/>
      <c r="N13" s="2446"/>
      <c r="O13" s="2435"/>
      <c r="P13" s="2435"/>
      <c r="Q13" s="2435"/>
      <c r="AD13" s="1743"/>
    </row>
    <row r="14" spans="1:30">
      <c r="A14" s="1080"/>
      <c r="B14" s="2404" t="s">
        <v>2189</v>
      </c>
      <c r="C14" s="2405"/>
      <c r="D14" s="2405">
        <v>40</v>
      </c>
      <c r="E14" s="2405">
        <v>50</v>
      </c>
      <c r="F14" s="2405">
        <v>50</v>
      </c>
      <c r="G14" s="2405"/>
      <c r="H14" s="2405"/>
      <c r="I14" s="2405"/>
      <c r="J14" s="3057"/>
      <c r="K14" s="2607"/>
      <c r="L14" s="2607"/>
      <c r="M14" s="2435"/>
      <c r="N14" s="2446"/>
      <c r="O14" s="2435"/>
      <c r="P14" s="2435"/>
      <c r="Q14" s="2435"/>
      <c r="AD14" s="1743"/>
    </row>
    <row r="15" spans="1:30">
      <c r="A15" s="320"/>
      <c r="B15" s="2406" t="s">
        <v>2190</v>
      </c>
      <c r="C15" s="2407" t="str">
        <f>IF(A13="出让",IF(C13="","",ROUNDDOWN(MIN((C13-$D$3)/365,C14),2)),C14)</f>
        <v/>
      </c>
      <c r="D15" s="2407">
        <f>IF(A13="出让",IF(D13="","",ROUNDDOWN(MIN((D13-$D$3)/365,D14),2)),D14)</f>
        <v>28.05</v>
      </c>
      <c r="E15" s="2407">
        <f>IF(A13="出让",IF(E13="","",ROUNDDOWN(MIN((E13-$D$3)/365,E14),2)),E14)</f>
        <v>38.06</v>
      </c>
      <c r="F15" s="2407">
        <f>IF(A13="出让",IF(F13="","",ROUNDDOWN(MIN((F13-$D$3)/365,F14),2)),F14)</f>
        <v>38.06</v>
      </c>
      <c r="G15" s="2407" t="str">
        <f>IF(A13="出让",IF(G13="","",ROUNDDOWN(MIN((G13-$D$3)/365,G14),2)),G14)</f>
        <v/>
      </c>
      <c r="H15" s="2407" t="str">
        <f>IF(A13="出让",IF(H13="","",ROUNDDOWN(MIN((H13-$D$3)/365,H14),2)),H14)</f>
        <v/>
      </c>
      <c r="I15" s="2407" t="str">
        <f>IF(A13="出让",IF(I13="","",ROUNDDOWN(MIN((I13-$D$3)/365,I14),2)),I14)</f>
        <v/>
      </c>
      <c r="J15" s="3058"/>
      <c r="K15" s="2447"/>
      <c r="L15" s="2447"/>
      <c r="M15" s="2503"/>
      <c r="N15" s="2447"/>
      <c r="O15" s="2503"/>
      <c r="P15" s="2435"/>
      <c r="Q15" s="2435"/>
      <c r="AD15" s="1743"/>
    </row>
    <row r="16" spans="1:30">
      <c r="A16" s="2397" t="s">
        <v>2191</v>
      </c>
      <c r="B16" s="3602"/>
      <c r="C16" s="3603"/>
      <c r="D16" s="3604"/>
      <c r="E16" s="2410" t="s">
        <v>2192</v>
      </c>
      <c r="F16" s="3605"/>
      <c r="G16" s="3606"/>
      <c r="H16" s="3606"/>
      <c r="I16" s="3607"/>
      <c r="J16" s="2435"/>
      <c r="K16" s="2611"/>
      <c r="L16" s="2447"/>
      <c r="M16" s="2447"/>
      <c r="N16" s="2503"/>
      <c r="O16" s="2447"/>
      <c r="P16" s="2503"/>
      <c r="Q16" s="2435"/>
      <c r="R16" s="2435"/>
    </row>
    <row r="17" spans="1:28">
      <c r="A17" s="313" t="s">
        <v>2193</v>
      </c>
      <c r="B17" s="302" t="s">
        <v>2194</v>
      </c>
      <c r="C17" s="8">
        <f>'数据-汇总表'!E3</f>
        <v>127815.41999999985</v>
      </c>
      <c r="D17" s="2320" t="s">
        <v>2195</v>
      </c>
      <c r="E17" s="3608" t="s">
        <v>2196</v>
      </c>
      <c r="F17" s="3609"/>
      <c r="G17" s="3609"/>
      <c r="H17" s="3609"/>
      <c r="I17" s="3610"/>
      <c r="J17" s="2435"/>
      <c r="K17" s="2612"/>
      <c r="L17" s="2447"/>
      <c r="M17" s="2447"/>
      <c r="N17" s="2503"/>
      <c r="O17" s="2447"/>
      <c r="P17" s="2503"/>
      <c r="Q17" s="2435"/>
      <c r="R17" s="2435"/>
      <c r="S17" s="2435"/>
      <c r="T17" s="2435"/>
      <c r="U17" s="2435"/>
      <c r="V17" s="2435"/>
    </row>
    <row r="18" spans="1:28" ht="24.75" thickBot="1">
      <c r="A18" s="2411" t="s">
        <v>2197</v>
      </c>
      <c r="B18" s="1089" t="s">
        <v>2198</v>
      </c>
      <c r="C18" s="2412">
        <f>'数据-汇总表'!D3</f>
        <v>13594.730000000014</v>
      </c>
      <c r="D18" s="1091" t="s">
        <v>2199</v>
      </c>
      <c r="E18" s="3611" t="s">
        <v>2200</v>
      </c>
      <c r="F18" s="3612"/>
      <c r="G18" s="3612"/>
      <c r="H18" s="3612"/>
      <c r="I18" s="3613"/>
      <c r="J18" s="2435"/>
      <c r="K18" s="2612"/>
      <c r="L18" s="2447"/>
      <c r="M18" s="2447"/>
      <c r="N18" s="2503"/>
      <c r="O18" s="2447"/>
      <c r="P18" s="2503"/>
      <c r="Q18" s="2435"/>
      <c r="R18" s="2435"/>
      <c r="S18" s="2435"/>
      <c r="T18" s="2435"/>
      <c r="U18" s="2435"/>
      <c r="V18" s="2435"/>
    </row>
    <row r="19" spans="1:28" ht="37.5" thickTop="1" thickBot="1">
      <c r="A19" s="327" t="s">
        <v>1055</v>
      </c>
      <c r="B19" s="307" t="s">
        <v>2201</v>
      </c>
      <c r="C19" s="1561"/>
      <c r="D19" s="1562" t="s">
        <v>2202</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2203</v>
      </c>
      <c r="B20" s="3598" t="s">
        <v>2204</v>
      </c>
      <c r="C20" s="3599"/>
      <c r="D20" s="3600" t="s">
        <v>2205</v>
      </c>
      <c r="E20" s="3601"/>
      <c r="F20" s="2641" t="s">
        <v>1056</v>
      </c>
      <c r="G20" s="2658"/>
      <c r="H20" s="2658"/>
      <c r="I20" s="2658"/>
      <c r="J20" s="2435"/>
      <c r="K20" s="3597"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6.25" thickBot="1">
      <c r="A21" s="2626"/>
      <c r="B21" s="2627" t="s">
        <v>3385</v>
      </c>
      <c r="C21" s="2628" t="s">
        <v>3386</v>
      </c>
      <c r="D21" s="1566"/>
      <c r="E21" s="2629"/>
      <c r="F21" s="2642"/>
      <c r="G21" s="2658"/>
      <c r="H21" s="2658"/>
      <c r="I21" s="2658"/>
      <c r="J21" s="2435"/>
      <c r="K21" s="35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7"/>
      <c r="N22" s="2409"/>
      <c r="O22" s="2408"/>
      <c r="P22" s="2409"/>
      <c r="Q22" s="2368"/>
      <c r="R22" s="2368"/>
      <c r="S22" s="2368"/>
      <c r="T22" s="2368"/>
      <c r="U22" s="2368"/>
      <c r="V22" s="2368"/>
      <c r="W22" s="1743"/>
      <c r="X22" s="1743"/>
      <c r="Y22" s="1743"/>
      <c r="Z22" s="1743"/>
      <c r="AA22" s="1743"/>
      <c r="AB22" s="1743"/>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85" t="s">
        <v>2209</v>
      </c>
      <c r="B27" s="320" t="s">
        <v>2210</v>
      </c>
      <c r="C27" s="2413" t="s">
        <v>3387</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585"/>
      <c r="B28" s="302" t="s">
        <v>2211</v>
      </c>
      <c r="C28" s="2415" t="s">
        <v>3388</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585"/>
      <c r="B29" s="302" t="s">
        <v>2212</v>
      </c>
      <c r="C29" s="2417" t="s">
        <v>3389</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586"/>
      <c r="B30" s="302" t="s">
        <v>2213</v>
      </c>
      <c r="C30" s="3587"/>
      <c r="D30" s="3588"/>
      <c r="E30" s="2658"/>
      <c r="F30" s="2658"/>
      <c r="G30" s="2658"/>
      <c r="H30" s="2658"/>
      <c r="I30" s="2658"/>
      <c r="J30" s="2435"/>
      <c r="K30" s="2610"/>
      <c r="L30" s="2607"/>
      <c r="M30" s="2607"/>
      <c r="N30" s="2435"/>
      <c r="O30" s="2446"/>
      <c r="P30" s="2435"/>
      <c r="Q30" s="2435"/>
      <c r="R30" s="2435"/>
      <c r="S30" s="2435"/>
      <c r="T30" s="2435"/>
      <c r="U30" s="2435"/>
      <c r="V30" s="2435"/>
    </row>
    <row r="31" spans="1:28">
      <c r="A31" s="3589" t="s">
        <v>2214</v>
      </c>
      <c r="B31" s="2419" t="s">
        <v>3390</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590"/>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590"/>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2" t="s">
        <v>2215</v>
      </c>
      <c r="B34" s="2024" t="s">
        <v>3391</v>
      </c>
      <c r="C34" s="2024" t="s">
        <v>3392</v>
      </c>
      <c r="D34" s="2024" t="s">
        <v>3393</v>
      </c>
      <c r="E34" s="2024" t="s">
        <v>3394</v>
      </c>
      <c r="F34" s="2024" t="s">
        <v>3395</v>
      </c>
      <c r="G34" s="2024" t="s">
        <v>3396</v>
      </c>
      <c r="H34" s="2024" t="s">
        <v>3397</v>
      </c>
      <c r="I34" s="2658"/>
      <c r="J34" s="2435"/>
      <c r="K34" s="2424">
        <f>COUNTIF(B34:H34,"——")</f>
        <v>0</v>
      </c>
      <c r="L34" s="323" t="s">
        <v>2216</v>
      </c>
      <c r="M34" s="323" t="s">
        <v>2217</v>
      </c>
      <c r="N34" s="323" t="s">
        <v>2218</v>
      </c>
      <c r="O34" s="323" t="s">
        <v>2219</v>
      </c>
      <c r="P34" s="323" t="s">
        <v>2220</v>
      </c>
      <c r="Q34" s="323" t="s">
        <v>2221</v>
      </c>
      <c r="R34" s="323" t="s">
        <v>2222</v>
      </c>
      <c r="S34" s="3584" t="s">
        <v>2223</v>
      </c>
      <c r="T34" s="2425" t="str">
        <f>NUMBERSTRING(7-K34,1)&amp;"通"</f>
        <v>七通</v>
      </c>
      <c r="U34" s="2435"/>
      <c r="V34" s="2435"/>
    </row>
    <row r="35" spans="1:30">
      <c r="A35" s="2426"/>
      <c r="B35" s="3591" t="s">
        <v>2224</v>
      </c>
      <c r="C35" s="3591"/>
      <c r="D35" s="3591"/>
      <c r="E35" s="3591"/>
      <c r="F35" s="664" t="str">
        <f>C10</f>
        <v>通州区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84"/>
      <c r="T35" s="329" t="str">
        <f>IF(T34="一通",L35,IF(T34="二通",M35,IF(T34="三通",N35,IF(T34="四通",O35,IF(T34="五通",P35,IF(T34="六通",Q35,R35))))))</f>
        <v>通路、通电、通讯、通上水、通下水、通热、燃气</v>
      </c>
      <c r="U35" s="2435"/>
      <c r="V35" s="2435"/>
    </row>
    <row r="36" spans="1:30">
      <c r="A36" s="2427"/>
      <c r="B36" s="664" t="s">
        <v>2183</v>
      </c>
      <c r="C36" s="664" t="s">
        <v>2184</v>
      </c>
      <c r="D36" s="664" t="s">
        <v>2182</v>
      </c>
      <c r="E36" s="664" t="s">
        <v>2187</v>
      </c>
      <c r="F36" s="3059" t="s">
        <v>2571</v>
      </c>
      <c r="G36" s="2658"/>
      <c r="H36" s="2658"/>
      <c r="I36" s="2658"/>
      <c r="J36" s="2435"/>
      <c r="K36" s="2610"/>
      <c r="L36" s="2607"/>
      <c r="M36" s="2607"/>
      <c r="N36" s="2435"/>
      <c r="O36" s="2446"/>
      <c r="P36" s="2435"/>
      <c r="Q36" s="2435"/>
      <c r="R36" s="2435"/>
      <c r="S36" s="2435"/>
      <c r="T36" s="2435"/>
      <c r="U36" s="2435"/>
      <c r="V36" s="2435"/>
    </row>
    <row r="37" spans="1:30" ht="14.25">
      <c r="A37" s="2624" t="s">
        <v>2225</v>
      </c>
      <c r="B37" s="3465" t="s">
        <v>110</v>
      </c>
      <c r="C37" s="3465" t="s">
        <v>110</v>
      </c>
      <c r="D37" s="3465" t="s">
        <v>110</v>
      </c>
      <c r="E37" s="3465" t="s">
        <v>110</v>
      </c>
      <c r="F37" s="3465" t="s">
        <v>110</v>
      </c>
      <c r="G37" s="2658"/>
      <c r="H37" s="2658"/>
      <c r="I37" s="2658"/>
      <c r="J37" s="2435"/>
      <c r="K37" s="2610"/>
      <c r="L37" s="2607"/>
      <c r="M37" s="2607"/>
      <c r="N37" s="2435"/>
      <c r="O37" s="2446"/>
      <c r="P37" s="2435"/>
      <c r="Q37" s="2435"/>
      <c r="R37" s="2435"/>
      <c r="S37" s="2435"/>
      <c r="T37" s="2435"/>
      <c r="U37" s="2435"/>
      <c r="V37" s="2435"/>
    </row>
    <row r="38" spans="1:30" ht="15" thickBot="1">
      <c r="A38" s="2625" t="s">
        <v>2226</v>
      </c>
      <c r="B38" s="3465" t="s">
        <v>3398</v>
      </c>
      <c r="C38" s="3465" t="s">
        <v>3398</v>
      </c>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2228</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1" customFormat="1">
      <c r="A43" s="1568"/>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1" customFormat="1">
      <c r="A44" s="1568"/>
      <c r="B44" s="1568"/>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1" customFormat="1">
      <c r="A45" s="1568"/>
      <c r="B45" s="1568"/>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1" customFormat="1">
      <c r="A46" s="1568"/>
      <c r="B46" s="1568"/>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1" customFormat="1">
      <c r="A47" s="1568"/>
      <c r="B47" s="1568"/>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1" customFormat="1">
      <c r="A48" s="1568"/>
      <c r="B48" s="1568"/>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1" customFormat="1">
      <c r="A49" s="1568"/>
      <c r="B49" s="1568"/>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1" customFormat="1">
      <c r="A50" s="1568"/>
      <c r="B50" s="1568"/>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1" customFormat="1">
      <c r="A51" s="1568"/>
      <c r="B51" s="1568"/>
      <c r="C51" s="1051"/>
      <c r="D51" s="1051"/>
      <c r="E51" s="1051"/>
      <c r="F51" s="1051"/>
      <c r="G51" s="1051"/>
      <c r="H51" s="1051"/>
      <c r="I51" s="1051"/>
      <c r="J51" s="2433"/>
      <c r="K51" s="2434"/>
      <c r="L51" s="2434"/>
      <c r="M51" s="1051"/>
      <c r="N51" s="1051"/>
      <c r="O51" s="1051"/>
      <c r="P51" s="1051"/>
      <c r="Q51" s="1051"/>
      <c r="R51" s="1051"/>
    </row>
    <row r="52" spans="1:22" s="1741" customFormat="1">
      <c r="A52" s="1568"/>
      <c r="B52" s="1568"/>
      <c r="C52" s="1568"/>
      <c r="D52" s="1568"/>
      <c r="E52" s="1568"/>
      <c r="F52" s="1051"/>
      <c r="G52" s="1568"/>
      <c r="H52" s="1568"/>
      <c r="I52" s="1568"/>
      <c r="J52" s="2436"/>
      <c r="K52" s="2434"/>
      <c r="L52" s="2434"/>
      <c r="M52" s="2434"/>
      <c r="N52" s="1568"/>
      <c r="O52" s="1568"/>
      <c r="P52" s="1568"/>
      <c r="Q52" s="1568"/>
      <c r="R52" s="1568"/>
    </row>
    <row r="53" spans="1:22" s="1741" customFormat="1">
      <c r="A53" s="1568"/>
      <c r="B53" s="1568"/>
      <c r="C53" s="1568"/>
      <c r="D53" s="1568"/>
      <c r="E53" s="1568"/>
      <c r="F53" s="1051"/>
      <c r="G53" s="1568"/>
      <c r="H53" s="1568"/>
      <c r="I53" s="1568"/>
      <c r="J53" s="2436"/>
      <c r="K53" s="2434"/>
      <c r="L53" s="2434"/>
      <c r="M53" s="2434"/>
      <c r="N53" s="1568"/>
      <c r="O53" s="1568"/>
      <c r="P53" s="1568"/>
      <c r="Q53" s="1568"/>
      <c r="R53" s="1568"/>
    </row>
    <row r="54" spans="1:22" s="1741" customFormat="1">
      <c r="A54" s="1568"/>
      <c r="B54" s="1568"/>
      <c r="C54" s="1568"/>
      <c r="D54" s="1568"/>
      <c r="E54" s="1568"/>
      <c r="F54" s="1051"/>
      <c r="G54" s="1568"/>
      <c r="H54" s="1568"/>
      <c r="I54" s="1568"/>
      <c r="J54" s="2436"/>
      <c r="K54" s="2434"/>
      <c r="L54" s="2434"/>
      <c r="M54" s="2434"/>
      <c r="N54" s="1568"/>
      <c r="O54" s="1568"/>
      <c r="P54" s="1568"/>
      <c r="Q54" s="1568"/>
      <c r="R54" s="1568"/>
    </row>
    <row r="55" spans="1:22" s="1741" customFormat="1">
      <c r="A55" s="1568"/>
      <c r="B55" s="1568"/>
      <c r="C55" s="1568"/>
      <c r="D55" s="1568"/>
      <c r="E55" s="1568"/>
      <c r="F55" s="1051"/>
      <c r="G55" s="1568"/>
      <c r="H55" s="1568"/>
      <c r="I55" s="1568"/>
      <c r="J55" s="2436"/>
      <c r="K55" s="2434"/>
      <c r="L55" s="2434"/>
      <c r="M55" s="2434"/>
      <c r="N55" s="1568"/>
      <c r="O55" s="1568"/>
      <c r="P55" s="1568"/>
      <c r="Q55" s="1568"/>
      <c r="R55" s="1568"/>
    </row>
    <row r="56" spans="1:22" s="1741" customFormat="1">
      <c r="A56" s="1568"/>
      <c r="B56" s="1568"/>
      <c r="C56" s="1568"/>
      <c r="D56" s="1568"/>
      <c r="E56" s="1568"/>
      <c r="F56" s="1051"/>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1065</v>
      </c>
      <c r="AZ2" s="1049"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16621</v>
      </c>
      <c r="B3" s="11">
        <f>IF(C3="否",G5-AT5,G5)</f>
        <v>127815.41999999985</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f>地上!E374+地下!F414</f>
        <v>13594.730000000014</v>
      </c>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127815.41999999985</v>
      </c>
      <c r="H5" s="13">
        <f t="shared" ref="H5:AT5" si="0">SUM(H13:H656)</f>
        <v>127815.41999999985</v>
      </c>
      <c r="I5" s="13">
        <f t="shared" si="0"/>
        <v>50988.659999999887</v>
      </c>
      <c r="J5" s="13">
        <f t="shared" si="0"/>
        <v>0</v>
      </c>
      <c r="K5" s="13">
        <f t="shared" si="0"/>
        <v>48456.61</v>
      </c>
      <c r="L5" s="13">
        <f t="shared" si="0"/>
        <v>0</v>
      </c>
      <c r="M5" s="13">
        <f t="shared" si="0"/>
        <v>16844.78</v>
      </c>
      <c r="N5" s="13">
        <f t="shared" si="0"/>
        <v>0</v>
      </c>
      <c r="O5" s="13">
        <f t="shared" si="0"/>
        <v>11525.369999999966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127815.41999999985</v>
      </c>
      <c r="BA5" s="15">
        <f t="shared" si="1"/>
        <v>127815.41999999985</v>
      </c>
      <c r="BB5" s="15">
        <f t="shared" si="1"/>
        <v>50988.659999999887</v>
      </c>
      <c r="BC5" s="15">
        <f t="shared" si="1"/>
        <v>48456.61</v>
      </c>
      <c r="BD5" s="15">
        <f t="shared" si="1"/>
        <v>16844.78</v>
      </c>
      <c r="BE5" s="15">
        <f t="shared" si="1"/>
        <v>11525.369999999966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16621</v>
      </c>
      <c r="F6" s="13" t="s">
        <v>0</v>
      </c>
      <c r="G6" s="13" t="s">
        <v>1</v>
      </c>
      <c r="H6" s="17">
        <f>SUMIF(I$12:AB$12,"总值",I6:AB6)</f>
        <v>16621</v>
      </c>
      <c r="I6" s="13">
        <f t="shared" ref="I6:AB6" si="2">ROUND($A$3*I5/$B$3,2)</f>
        <v>6630.52</v>
      </c>
      <c r="J6" s="13">
        <f t="shared" si="2"/>
        <v>0</v>
      </c>
      <c r="K6" s="13">
        <f t="shared" si="2"/>
        <v>6301.25</v>
      </c>
      <c r="L6" s="13">
        <f t="shared" si="2"/>
        <v>0</v>
      </c>
      <c r="M6" s="13">
        <f t="shared" si="2"/>
        <v>2190.48</v>
      </c>
      <c r="N6" s="13">
        <f t="shared" si="2"/>
        <v>0</v>
      </c>
      <c r="O6" s="13">
        <f t="shared" si="2"/>
        <v>1498.75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13594.730000000014</v>
      </c>
      <c r="AZ6" s="13" t="s">
        <v>2</v>
      </c>
      <c r="BA6" s="13">
        <f>ROUND($AY$6*BA5/$AZ$5,2)</f>
        <v>13594.73</v>
      </c>
      <c r="BB6" s="13">
        <f>ROUND($AY$6*BB5/$AZ$5,2)</f>
        <v>5423.27</v>
      </c>
      <c r="BC6" s="13">
        <f t="shared" ref="BC6:BH6" si="4">ROUND($AY$6*BC5/$AZ$5,2)</f>
        <v>5153.95</v>
      </c>
      <c r="BD6" s="13">
        <f t="shared" si="4"/>
        <v>1791.65</v>
      </c>
      <c r="BE6" s="13">
        <f t="shared" si="4"/>
        <v>1225.8599999999999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9" t="s">
        <v>1084</v>
      </c>
      <c r="AD8" s="1598"/>
      <c r="AE8" s="1590"/>
      <c r="AF8" s="1358"/>
      <c r="AG8" s="1358"/>
      <c r="AH8" s="1358"/>
      <c r="AI8" s="1358"/>
      <c r="AJ8" s="1358"/>
      <c r="AK8" s="1358"/>
      <c r="AL8" s="1358"/>
      <c r="AM8" s="1358"/>
      <c r="AN8" s="1358"/>
      <c r="AO8" s="1358"/>
      <c r="AP8" s="1358"/>
      <c r="AQ8" s="1358"/>
      <c r="AR8" s="1358"/>
      <c r="AS8" s="1358"/>
      <c r="AT8" s="1070" t="s">
        <v>1085</v>
      </c>
      <c r="AU8" s="1592" t="s">
        <v>1086</v>
      </c>
      <c r="AV8" s="1070"/>
      <c r="AW8" s="1575"/>
      <c r="AX8" s="1070"/>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1089</v>
      </c>
      <c r="I9" s="1601" t="s">
        <v>3744</v>
      </c>
      <c r="J9" s="809"/>
      <c r="K9" s="1601" t="s">
        <v>3744</v>
      </c>
      <c r="L9" s="809"/>
      <c r="M9" s="1601" t="s">
        <v>3745</v>
      </c>
      <c r="N9" s="809"/>
      <c r="O9" s="1601" t="s">
        <v>3745</v>
      </c>
      <c r="P9" s="809"/>
      <c r="Q9" s="1601"/>
      <c r="R9" s="809"/>
      <c r="S9" s="1601"/>
      <c r="T9" s="809"/>
      <c r="U9" s="1601"/>
      <c r="V9" s="809"/>
      <c r="W9" s="1601"/>
      <c r="X9" s="1602"/>
      <c r="Y9" s="1601"/>
      <c r="Z9" s="809"/>
      <c r="AA9" s="1601"/>
      <c r="AB9" s="809"/>
      <c r="AC9" s="1593"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3"/>
      <c r="AT9" s="1592"/>
      <c r="AU9" s="1592" t="s">
        <v>1092</v>
      </c>
      <c r="AV9" s="1070"/>
      <c r="AW9" s="1575"/>
      <c r="AX9" s="1070"/>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70"/>
      <c r="H10" s="25"/>
      <c r="I10" s="1601" t="s">
        <v>21</v>
      </c>
      <c r="J10" s="809"/>
      <c r="K10" s="1607" t="s">
        <v>673</v>
      </c>
      <c r="L10" s="809"/>
      <c r="M10" s="1607" t="s">
        <v>673</v>
      </c>
      <c r="N10" s="809"/>
      <c r="O10" s="1607" t="s">
        <v>3324</v>
      </c>
      <c r="P10" s="809"/>
      <c r="Q10" s="1607"/>
      <c r="R10" s="809"/>
      <c r="S10" s="1607"/>
      <c r="T10" s="809"/>
      <c r="U10" s="1607"/>
      <c r="V10" s="809"/>
      <c r="W10" s="1607"/>
      <c r="X10" s="809"/>
      <c r="Y10" s="1607"/>
      <c r="Z10" s="809"/>
      <c r="AA10" s="1607"/>
      <c r="AB10" s="809"/>
      <c r="AC10" s="1070"/>
      <c r="AD10" s="12" t="s">
        <v>1095</v>
      </c>
      <c r="AE10" s="1608"/>
      <c r="AF10" s="12" t="s">
        <v>1095</v>
      </c>
      <c r="AG10" s="1608"/>
      <c r="AH10" s="12" t="s">
        <v>1096</v>
      </c>
      <c r="AI10" s="1608"/>
      <c r="AJ10" s="12" t="s">
        <v>1096</v>
      </c>
      <c r="AK10" s="1608"/>
      <c r="AL10" s="12" t="s">
        <v>1097</v>
      </c>
      <c r="AM10" s="1076"/>
      <c r="AN10" s="12" t="s">
        <v>1097</v>
      </c>
      <c r="AO10" s="1076"/>
      <c r="AP10" s="12" t="s">
        <v>1098</v>
      </c>
      <c r="AQ10" s="1076"/>
      <c r="AR10" s="12" t="s">
        <v>1098</v>
      </c>
      <c r="AS10" s="1076"/>
      <c r="AT10" s="1592"/>
      <c r="AU10" s="1592"/>
      <c r="AV10" s="1070"/>
      <c r="AW10" s="1575"/>
      <c r="AX10" s="1070"/>
      <c r="AY10" s="25"/>
      <c r="AZ10" s="25"/>
      <c r="BA10" s="1609" t="s">
        <v>1089</v>
      </c>
      <c r="BB10" s="161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70"/>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70"/>
      <c r="AW11" s="1575"/>
      <c r="AX11" s="1070"/>
      <c r="AY11" s="25"/>
      <c r="AZ11" s="25"/>
      <c r="BA11" s="25"/>
      <c r="BB11" s="1597" t="str">
        <f>I10</f>
        <v>办公</v>
      </c>
      <c r="BC11" s="1597" t="str">
        <f>K10</f>
        <v>商业</v>
      </c>
      <c r="BD11" s="1597" t="str">
        <f>M10</f>
        <v>商业</v>
      </c>
      <c r="BE11" s="1597" t="str">
        <f>O10</f>
        <v>车库</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1051"/>
      <c r="C13" s="1051"/>
      <c r="D13" s="1623" t="s">
        <v>3743</v>
      </c>
      <c r="E13" s="13">
        <f>IF($C$3="是",ROUND($A$3*G13/$B$3,2),ROUND($A$3*(G13-AT13)/$B$3,2))</f>
        <v>16621</v>
      </c>
      <c r="F13" s="29"/>
      <c r="G13" s="30">
        <f>H13+AC13+AT13</f>
        <v>127815.41999999985</v>
      </c>
      <c r="H13" s="17">
        <f>SUMIF(I$12:AB$12,"总值",I13:AB13)</f>
        <v>127815.41999999985</v>
      </c>
      <c r="I13" s="1624">
        <f>地上!J2</f>
        <v>50988.659999999887</v>
      </c>
      <c r="J13" s="1624"/>
      <c r="K13" s="1624">
        <f>地上!J3</f>
        <v>48456.61</v>
      </c>
      <c r="L13" s="1624"/>
      <c r="M13" s="1624">
        <f>地下!O4</f>
        <v>16844.78</v>
      </c>
      <c r="N13" s="1624"/>
      <c r="O13" s="1624">
        <f>地下!O2+地下!O3</f>
        <v>11525.369999999966</v>
      </c>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13594.73</v>
      </c>
      <c r="AZ13" s="13">
        <f>BA13+BL13</f>
        <v>127815.41999999985</v>
      </c>
      <c r="BA13" s="13">
        <f>SUM(BB13:BK13)</f>
        <v>127815.41999999985</v>
      </c>
      <c r="BB13" s="13">
        <f>IF($D13="是",I13-J13,0)</f>
        <v>50988.659999999887</v>
      </c>
      <c r="BC13" s="13">
        <f>IF($D13="是",K13-L13,0)</f>
        <v>48456.61</v>
      </c>
      <c r="BD13" s="13">
        <f>IF($D13="是",M13-N13,0)</f>
        <v>16844.78</v>
      </c>
      <c r="BE13" s="13">
        <f>IF($D13="是",O13-P13,0)</f>
        <v>11525.369999999966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1051"/>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1051"/>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105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1051"/>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6"/>
  <sheetViews>
    <sheetView topLeftCell="A336" zoomScale="80" zoomScaleNormal="80" workbookViewId="0">
      <selection activeCell="G344" sqref="G344"/>
    </sheetView>
  </sheetViews>
  <sheetFormatPr defaultRowHeight="13.5"/>
  <cols>
    <col min="1" max="1" width="9" style="3470"/>
    <col min="2" max="2" width="35" style="3470" customWidth="1"/>
    <col min="3" max="4" width="9" style="3470"/>
    <col min="5" max="5" width="12" style="3470" bestFit="1" customWidth="1"/>
    <col min="6" max="8" width="9" style="3470"/>
    <col min="9" max="9" width="10.875" style="3470" customWidth="1"/>
    <col min="10" max="16384" width="9" style="3470"/>
  </cols>
  <sheetData>
    <row r="1" spans="1:10" ht="28.5" customHeight="1" thickBot="1">
      <c r="A1" s="3466" t="s">
        <v>3399</v>
      </c>
      <c r="B1" s="3467" t="s">
        <v>3400</v>
      </c>
      <c r="C1" s="3468" t="s">
        <v>3401</v>
      </c>
      <c r="D1" s="3468" t="s">
        <v>3402</v>
      </c>
      <c r="E1" s="3468" t="s">
        <v>3403</v>
      </c>
      <c r="F1" s="3469" t="s">
        <v>3404</v>
      </c>
      <c r="J1" s="3470" t="s">
        <v>3405</v>
      </c>
    </row>
    <row r="2" spans="1:10" ht="28.5" customHeight="1" thickBot="1">
      <c r="A2" s="3471">
        <v>1</v>
      </c>
      <c r="B2" s="3472" t="s">
        <v>3406</v>
      </c>
      <c r="C2" s="3473" t="s">
        <v>3407</v>
      </c>
      <c r="D2" s="3473">
        <v>146.01</v>
      </c>
      <c r="E2" s="3472">
        <v>15.53</v>
      </c>
      <c r="F2" s="3474" t="s">
        <v>3408</v>
      </c>
      <c r="I2" s="3470" t="s">
        <v>3409</v>
      </c>
      <c r="J2" s="3470">
        <f>J4-J3</f>
        <v>50988.659999999887</v>
      </c>
    </row>
    <row r="3" spans="1:10" ht="28.5" customHeight="1" thickBot="1">
      <c r="A3" s="3471">
        <v>2</v>
      </c>
      <c r="B3" s="3472" t="s">
        <v>3406</v>
      </c>
      <c r="C3" s="3473" t="s">
        <v>3410</v>
      </c>
      <c r="D3" s="3473">
        <v>118.41</v>
      </c>
      <c r="E3" s="3472">
        <v>12.6</v>
      </c>
      <c r="F3" s="3474" t="s">
        <v>3408</v>
      </c>
      <c r="I3" s="3470" t="s">
        <v>3411</v>
      </c>
      <c r="J3" s="3470">
        <f>SUM(D370:D373)</f>
        <v>48456.61</v>
      </c>
    </row>
    <row r="4" spans="1:10" ht="28.5" customHeight="1" thickBot="1">
      <c r="A4" s="3471">
        <v>3</v>
      </c>
      <c r="B4" s="3472" t="s">
        <v>3406</v>
      </c>
      <c r="C4" s="3473" t="s">
        <v>3412</v>
      </c>
      <c r="D4" s="3473">
        <v>119.43</v>
      </c>
      <c r="E4" s="3472">
        <v>12.7</v>
      </c>
      <c r="F4" s="3474" t="s">
        <v>3408</v>
      </c>
      <c r="I4" s="3470" t="s">
        <v>3413</v>
      </c>
      <c r="J4" s="3470">
        <f>D374</f>
        <v>99445.269999999888</v>
      </c>
    </row>
    <row r="5" spans="1:10" ht="28.5" customHeight="1" thickBot="1">
      <c r="A5" s="3471">
        <v>4</v>
      </c>
      <c r="B5" s="3472" t="s">
        <v>3406</v>
      </c>
      <c r="C5" s="3473" t="s">
        <v>3414</v>
      </c>
      <c r="D5" s="3473">
        <v>117.68</v>
      </c>
      <c r="E5" s="3472">
        <v>12.52</v>
      </c>
      <c r="F5" s="3474" t="s">
        <v>3408</v>
      </c>
    </row>
    <row r="6" spans="1:10" ht="28.5" customHeight="1" thickBot="1">
      <c r="A6" s="3471">
        <v>5</v>
      </c>
      <c r="B6" s="3472" t="s">
        <v>3406</v>
      </c>
      <c r="C6" s="3473" t="s">
        <v>3415</v>
      </c>
      <c r="D6" s="3473">
        <v>174.11</v>
      </c>
      <c r="E6" s="3472">
        <v>18.52</v>
      </c>
      <c r="F6" s="3474" t="s">
        <v>3408</v>
      </c>
      <c r="I6" s="3470">
        <f>99402.5+136+48245.07+8470.36</f>
        <v>156253.93</v>
      </c>
    </row>
    <row r="7" spans="1:10" ht="28.5" customHeight="1" thickBot="1">
      <c r="A7" s="3471">
        <v>6</v>
      </c>
      <c r="B7" s="3472" t="s">
        <v>3406</v>
      </c>
      <c r="C7" s="3473" t="s">
        <v>3416</v>
      </c>
      <c r="D7" s="3475">
        <v>87.85</v>
      </c>
      <c r="E7" s="3472">
        <v>9.34</v>
      </c>
      <c r="F7" s="3474" t="s">
        <v>3408</v>
      </c>
    </row>
    <row r="8" spans="1:10" ht="28.5" customHeight="1" thickBot="1">
      <c r="A8" s="3471">
        <v>7</v>
      </c>
      <c r="B8" s="3472" t="s">
        <v>3406</v>
      </c>
      <c r="C8" s="3473" t="s">
        <v>3417</v>
      </c>
      <c r="D8" s="3473">
        <v>146.01</v>
      </c>
      <c r="E8" s="3472">
        <v>15.53</v>
      </c>
      <c r="F8" s="3474" t="s">
        <v>3408</v>
      </c>
    </row>
    <row r="9" spans="1:10" ht="28.5" customHeight="1" thickBot="1">
      <c r="A9" s="3471">
        <v>8</v>
      </c>
      <c r="B9" s="3472" t="s">
        <v>3406</v>
      </c>
      <c r="C9" s="3473" t="s">
        <v>3418</v>
      </c>
      <c r="D9" s="3473">
        <v>118.41</v>
      </c>
      <c r="E9" s="3472">
        <v>12.6</v>
      </c>
      <c r="F9" s="3474" t="s">
        <v>3408</v>
      </c>
    </row>
    <row r="10" spans="1:10" ht="28.5" customHeight="1" thickBot="1">
      <c r="A10" s="3471">
        <v>9</v>
      </c>
      <c r="B10" s="3472" t="s">
        <v>3406</v>
      </c>
      <c r="C10" s="3473" t="s">
        <v>3419</v>
      </c>
      <c r="D10" s="3473">
        <v>119.43</v>
      </c>
      <c r="E10" s="3472">
        <v>12.7</v>
      </c>
      <c r="F10" s="3474" t="s">
        <v>3408</v>
      </c>
    </row>
    <row r="11" spans="1:10" ht="28.5" customHeight="1" thickBot="1">
      <c r="A11" s="3471">
        <v>10</v>
      </c>
      <c r="B11" s="3472" t="s">
        <v>3406</v>
      </c>
      <c r="C11" s="3473" t="s">
        <v>3420</v>
      </c>
      <c r="D11" s="3473">
        <v>117.68</v>
      </c>
      <c r="E11" s="3472">
        <v>12.52</v>
      </c>
      <c r="F11" s="3474" t="s">
        <v>3408</v>
      </c>
    </row>
    <row r="12" spans="1:10" ht="28.5" customHeight="1" thickBot="1">
      <c r="A12" s="3471">
        <v>11</v>
      </c>
      <c r="B12" s="3472" t="s">
        <v>3406</v>
      </c>
      <c r="C12" s="3473" t="s">
        <v>3421</v>
      </c>
      <c r="D12" s="3473">
        <v>174.11</v>
      </c>
      <c r="E12" s="3472">
        <v>18.52</v>
      </c>
      <c r="F12" s="3474" t="s">
        <v>3408</v>
      </c>
    </row>
    <row r="13" spans="1:10" ht="28.5" customHeight="1" thickBot="1">
      <c r="A13" s="3471">
        <v>12</v>
      </c>
      <c r="B13" s="3472" t="s">
        <v>3406</v>
      </c>
      <c r="C13" s="3473" t="s">
        <v>3422</v>
      </c>
      <c r="D13" s="3475">
        <v>87.85</v>
      </c>
      <c r="E13" s="3472">
        <v>9.34</v>
      </c>
      <c r="F13" s="3474" t="s">
        <v>3408</v>
      </c>
    </row>
    <row r="14" spans="1:10" ht="28.5" customHeight="1" thickBot="1">
      <c r="A14" s="3471">
        <v>13</v>
      </c>
      <c r="B14" s="3472" t="s">
        <v>3406</v>
      </c>
      <c r="C14" s="3473" t="s">
        <v>3423</v>
      </c>
      <c r="D14" s="3473">
        <v>146.01</v>
      </c>
      <c r="E14" s="3472">
        <v>15.53</v>
      </c>
      <c r="F14" s="3474" t="s">
        <v>3408</v>
      </c>
    </row>
    <row r="15" spans="1:10" ht="28.5" customHeight="1" thickBot="1">
      <c r="A15" s="3471">
        <v>14</v>
      </c>
      <c r="B15" s="3472" t="s">
        <v>3406</v>
      </c>
      <c r="C15" s="3473" t="s">
        <v>3424</v>
      </c>
      <c r="D15" s="3473">
        <v>118.41</v>
      </c>
      <c r="E15" s="3472">
        <v>12.6</v>
      </c>
      <c r="F15" s="3474" t="s">
        <v>3408</v>
      </c>
    </row>
    <row r="16" spans="1:10" ht="28.5" customHeight="1" thickBot="1">
      <c r="A16" s="3471">
        <v>15</v>
      </c>
      <c r="B16" s="3472" t="s">
        <v>3406</v>
      </c>
      <c r="C16" s="3473" t="s">
        <v>3425</v>
      </c>
      <c r="D16" s="3473">
        <v>119.43</v>
      </c>
      <c r="E16" s="3472">
        <v>12.7</v>
      </c>
      <c r="F16" s="3474" t="s">
        <v>3408</v>
      </c>
    </row>
    <row r="17" spans="1:6" ht="28.5" customHeight="1" thickBot="1">
      <c r="A17" s="3471">
        <v>16</v>
      </c>
      <c r="B17" s="3472" t="s">
        <v>3406</v>
      </c>
      <c r="C17" s="3473" t="s">
        <v>3426</v>
      </c>
      <c r="D17" s="3473">
        <v>117.68</v>
      </c>
      <c r="E17" s="3472">
        <v>12.52</v>
      </c>
      <c r="F17" s="3474" t="s">
        <v>3408</v>
      </c>
    </row>
    <row r="18" spans="1:6" ht="28.5" customHeight="1" thickBot="1">
      <c r="A18" s="3471">
        <v>17</v>
      </c>
      <c r="B18" s="3472" t="s">
        <v>3406</v>
      </c>
      <c r="C18" s="3473" t="s">
        <v>3427</v>
      </c>
      <c r="D18" s="3473">
        <v>174.11</v>
      </c>
      <c r="E18" s="3472">
        <v>18.52</v>
      </c>
      <c r="F18" s="3474" t="s">
        <v>3408</v>
      </c>
    </row>
    <row r="19" spans="1:6" ht="28.5" customHeight="1" thickBot="1">
      <c r="A19" s="3471">
        <v>18</v>
      </c>
      <c r="B19" s="3472" t="s">
        <v>3406</v>
      </c>
      <c r="C19" s="3473" t="s">
        <v>3428</v>
      </c>
      <c r="D19" s="3475">
        <v>87.85</v>
      </c>
      <c r="E19" s="3472">
        <v>9.34</v>
      </c>
      <c r="F19" s="3474" t="s">
        <v>3408</v>
      </c>
    </row>
    <row r="20" spans="1:6" ht="28.5" customHeight="1" thickBot="1">
      <c r="A20" s="3471">
        <v>19</v>
      </c>
      <c r="B20" s="3472" t="s">
        <v>3406</v>
      </c>
      <c r="C20" s="3473" t="s">
        <v>3429</v>
      </c>
      <c r="D20" s="3473">
        <v>146.01</v>
      </c>
      <c r="E20" s="3472">
        <v>15.53</v>
      </c>
      <c r="F20" s="3474" t="s">
        <v>3408</v>
      </c>
    </row>
    <row r="21" spans="1:6" ht="28.5" customHeight="1" thickBot="1">
      <c r="A21" s="3471">
        <v>20</v>
      </c>
      <c r="B21" s="3472" t="s">
        <v>3406</v>
      </c>
      <c r="C21" s="3473" t="s">
        <v>3430</v>
      </c>
      <c r="D21" s="3473">
        <v>118.41</v>
      </c>
      <c r="E21" s="3472">
        <v>12.6</v>
      </c>
      <c r="F21" s="3474" t="s">
        <v>3408</v>
      </c>
    </row>
    <row r="22" spans="1:6" ht="28.5" customHeight="1" thickBot="1">
      <c r="A22" s="3471">
        <v>21</v>
      </c>
      <c r="B22" s="3472" t="s">
        <v>3406</v>
      </c>
      <c r="C22" s="3473" t="s">
        <v>3431</v>
      </c>
      <c r="D22" s="3473">
        <v>119.43</v>
      </c>
      <c r="E22" s="3472">
        <v>12.7</v>
      </c>
      <c r="F22" s="3474" t="s">
        <v>3408</v>
      </c>
    </row>
    <row r="23" spans="1:6" ht="28.5" customHeight="1" thickBot="1">
      <c r="A23" s="3471">
        <v>22</v>
      </c>
      <c r="B23" s="3472" t="s">
        <v>3406</v>
      </c>
      <c r="C23" s="3473" t="s">
        <v>3432</v>
      </c>
      <c r="D23" s="3473">
        <v>117.68</v>
      </c>
      <c r="E23" s="3472">
        <v>12.52</v>
      </c>
      <c r="F23" s="3474" t="s">
        <v>3408</v>
      </c>
    </row>
    <row r="24" spans="1:6" ht="28.5" customHeight="1" thickBot="1">
      <c r="A24" s="3471">
        <v>23</v>
      </c>
      <c r="B24" s="3472" t="s">
        <v>3406</v>
      </c>
      <c r="C24" s="3473" t="s">
        <v>3433</v>
      </c>
      <c r="D24" s="3473">
        <v>174.11</v>
      </c>
      <c r="E24" s="3472">
        <v>18.52</v>
      </c>
      <c r="F24" s="3474" t="s">
        <v>3408</v>
      </c>
    </row>
    <row r="25" spans="1:6" ht="28.5" customHeight="1" thickBot="1">
      <c r="A25" s="3471">
        <v>24</v>
      </c>
      <c r="B25" s="3472" t="s">
        <v>3406</v>
      </c>
      <c r="C25" s="3473" t="s">
        <v>3434</v>
      </c>
      <c r="D25" s="3473">
        <v>87.85</v>
      </c>
      <c r="E25" s="3472">
        <v>9.34</v>
      </c>
      <c r="F25" s="3474" t="s">
        <v>3408</v>
      </c>
    </row>
    <row r="26" spans="1:6" ht="28.5" customHeight="1" thickBot="1">
      <c r="A26" s="3471">
        <v>25</v>
      </c>
      <c r="B26" s="3472" t="s">
        <v>3406</v>
      </c>
      <c r="C26" s="3473" t="s">
        <v>3435</v>
      </c>
      <c r="D26" s="3473">
        <v>146.01</v>
      </c>
      <c r="E26" s="3472">
        <v>15.53</v>
      </c>
      <c r="F26" s="3474" t="s">
        <v>3408</v>
      </c>
    </row>
    <row r="27" spans="1:6" ht="28.5" customHeight="1" thickBot="1">
      <c r="A27" s="3471">
        <v>26</v>
      </c>
      <c r="B27" s="3472" t="s">
        <v>3406</v>
      </c>
      <c r="C27" s="3473" t="s">
        <v>3436</v>
      </c>
      <c r="D27" s="3473">
        <v>118.41</v>
      </c>
      <c r="E27" s="3472">
        <v>12.6</v>
      </c>
      <c r="F27" s="3474" t="s">
        <v>3408</v>
      </c>
    </row>
    <row r="28" spans="1:6" ht="28.5" customHeight="1" thickBot="1">
      <c r="A28" s="3471">
        <v>27</v>
      </c>
      <c r="B28" s="3472" t="s">
        <v>3406</v>
      </c>
      <c r="C28" s="3473" t="s">
        <v>3437</v>
      </c>
      <c r="D28" s="3473">
        <v>119.43</v>
      </c>
      <c r="E28" s="3472">
        <v>12.7</v>
      </c>
      <c r="F28" s="3474" t="s">
        <v>3408</v>
      </c>
    </row>
    <row r="29" spans="1:6" ht="28.5" customHeight="1" thickBot="1">
      <c r="A29" s="3471">
        <v>28</v>
      </c>
      <c r="B29" s="3472" t="s">
        <v>3406</v>
      </c>
      <c r="C29" s="3473" t="s">
        <v>3438</v>
      </c>
      <c r="D29" s="3473">
        <v>117.68</v>
      </c>
      <c r="E29" s="3472">
        <v>12.52</v>
      </c>
      <c r="F29" s="3474" t="s">
        <v>3408</v>
      </c>
    </row>
    <row r="30" spans="1:6" ht="28.5" customHeight="1" thickBot="1">
      <c r="A30" s="3471">
        <v>29</v>
      </c>
      <c r="B30" s="3472" t="s">
        <v>3406</v>
      </c>
      <c r="C30" s="3473" t="s">
        <v>3439</v>
      </c>
      <c r="D30" s="3473">
        <v>174.11</v>
      </c>
      <c r="E30" s="3472">
        <v>18.52</v>
      </c>
      <c r="F30" s="3474" t="s">
        <v>3408</v>
      </c>
    </row>
    <row r="31" spans="1:6" ht="28.5" customHeight="1" thickBot="1">
      <c r="A31" s="3471">
        <v>30</v>
      </c>
      <c r="B31" s="3472" t="s">
        <v>3406</v>
      </c>
      <c r="C31" s="3473" t="s">
        <v>3440</v>
      </c>
      <c r="D31" s="3473">
        <v>87.85</v>
      </c>
      <c r="E31" s="3472">
        <v>9.34</v>
      </c>
      <c r="F31" s="3474" t="s">
        <v>3408</v>
      </c>
    </row>
    <row r="32" spans="1:6" ht="28.5" customHeight="1" thickBot="1">
      <c r="A32" s="3471">
        <v>31</v>
      </c>
      <c r="B32" s="3472" t="s">
        <v>3406</v>
      </c>
      <c r="C32" s="3473" t="s">
        <v>3441</v>
      </c>
      <c r="D32" s="3473">
        <v>146.01</v>
      </c>
      <c r="E32" s="3472">
        <v>15.53</v>
      </c>
      <c r="F32" s="3474" t="s">
        <v>3408</v>
      </c>
    </row>
    <row r="33" spans="1:6" ht="28.5" customHeight="1" thickBot="1">
      <c r="A33" s="3471">
        <v>32</v>
      </c>
      <c r="B33" s="3472" t="s">
        <v>3406</v>
      </c>
      <c r="C33" s="3473" t="s">
        <v>3442</v>
      </c>
      <c r="D33" s="3473">
        <v>118.41</v>
      </c>
      <c r="E33" s="3472">
        <v>12.6</v>
      </c>
      <c r="F33" s="3474" t="s">
        <v>3408</v>
      </c>
    </row>
    <row r="34" spans="1:6" ht="28.5" customHeight="1" thickBot="1">
      <c r="A34" s="3471">
        <v>33</v>
      </c>
      <c r="B34" s="3472" t="s">
        <v>3406</v>
      </c>
      <c r="C34" s="3473" t="s">
        <v>3443</v>
      </c>
      <c r="D34" s="3473">
        <v>119.43</v>
      </c>
      <c r="E34" s="3472">
        <v>12.7</v>
      </c>
      <c r="F34" s="3474" t="s">
        <v>3408</v>
      </c>
    </row>
    <row r="35" spans="1:6" ht="28.5" customHeight="1" thickBot="1">
      <c r="A35" s="3471">
        <v>34</v>
      </c>
      <c r="B35" s="3472" t="s">
        <v>3406</v>
      </c>
      <c r="C35" s="3473" t="s">
        <v>3444</v>
      </c>
      <c r="D35" s="3473">
        <v>117.68</v>
      </c>
      <c r="E35" s="3472">
        <v>12.52</v>
      </c>
      <c r="F35" s="3474" t="s">
        <v>3408</v>
      </c>
    </row>
    <row r="36" spans="1:6" ht="28.5" customHeight="1" thickBot="1">
      <c r="A36" s="3471">
        <v>35</v>
      </c>
      <c r="B36" s="3472" t="s">
        <v>3406</v>
      </c>
      <c r="C36" s="3473" t="s">
        <v>3445</v>
      </c>
      <c r="D36" s="3473">
        <v>174.11</v>
      </c>
      <c r="E36" s="3472">
        <v>18.52</v>
      </c>
      <c r="F36" s="3474" t="s">
        <v>3408</v>
      </c>
    </row>
    <row r="37" spans="1:6" ht="28.5" customHeight="1" thickBot="1">
      <c r="A37" s="3471">
        <v>36</v>
      </c>
      <c r="B37" s="3472" t="s">
        <v>3406</v>
      </c>
      <c r="C37" s="3473" t="s">
        <v>3446</v>
      </c>
      <c r="D37" s="3473">
        <v>87.85</v>
      </c>
      <c r="E37" s="3472">
        <v>9.34</v>
      </c>
      <c r="F37" s="3474" t="s">
        <v>3408</v>
      </c>
    </row>
    <row r="38" spans="1:6" ht="28.5" customHeight="1" thickBot="1">
      <c r="A38" s="3471">
        <v>37</v>
      </c>
      <c r="B38" s="3472" t="s">
        <v>3406</v>
      </c>
      <c r="C38" s="3473" t="s">
        <v>3447</v>
      </c>
      <c r="D38" s="3473">
        <v>146.01</v>
      </c>
      <c r="E38" s="3472">
        <v>15.53</v>
      </c>
      <c r="F38" s="3474" t="s">
        <v>3408</v>
      </c>
    </row>
    <row r="39" spans="1:6" ht="28.5" customHeight="1" thickBot="1">
      <c r="A39" s="3471">
        <v>38</v>
      </c>
      <c r="B39" s="3472" t="s">
        <v>3406</v>
      </c>
      <c r="C39" s="3473" t="s">
        <v>3448</v>
      </c>
      <c r="D39" s="3473">
        <v>118.41</v>
      </c>
      <c r="E39" s="3472">
        <v>12.6</v>
      </c>
      <c r="F39" s="3474" t="s">
        <v>3408</v>
      </c>
    </row>
    <row r="40" spans="1:6" ht="28.5" customHeight="1" thickBot="1">
      <c r="A40" s="3471">
        <v>39</v>
      </c>
      <c r="B40" s="3472" t="s">
        <v>3406</v>
      </c>
      <c r="C40" s="3473" t="s">
        <v>3449</v>
      </c>
      <c r="D40" s="3473">
        <v>119.43</v>
      </c>
      <c r="E40" s="3472">
        <v>12.7</v>
      </c>
      <c r="F40" s="3474" t="s">
        <v>3408</v>
      </c>
    </row>
    <row r="41" spans="1:6" ht="28.5" customHeight="1" thickBot="1">
      <c r="A41" s="3471">
        <v>40</v>
      </c>
      <c r="B41" s="3472" t="s">
        <v>3406</v>
      </c>
      <c r="C41" s="3473" t="s">
        <v>3450</v>
      </c>
      <c r="D41" s="3473">
        <v>117.68</v>
      </c>
      <c r="E41" s="3472">
        <v>12.52</v>
      </c>
      <c r="F41" s="3474" t="s">
        <v>3408</v>
      </c>
    </row>
    <row r="42" spans="1:6" ht="28.5" customHeight="1" thickBot="1">
      <c r="A42" s="3471">
        <v>41</v>
      </c>
      <c r="B42" s="3472" t="s">
        <v>3406</v>
      </c>
      <c r="C42" s="3473" t="s">
        <v>3451</v>
      </c>
      <c r="D42" s="3473">
        <v>174.11</v>
      </c>
      <c r="E42" s="3472">
        <v>18.52</v>
      </c>
      <c r="F42" s="3474" t="s">
        <v>3408</v>
      </c>
    </row>
    <row r="43" spans="1:6" ht="28.5" customHeight="1" thickBot="1">
      <c r="A43" s="3471">
        <v>42</v>
      </c>
      <c r="B43" s="3472" t="s">
        <v>3406</v>
      </c>
      <c r="C43" s="3473" t="s">
        <v>3452</v>
      </c>
      <c r="D43" s="3473">
        <v>87.85</v>
      </c>
      <c r="E43" s="3472">
        <v>9.34</v>
      </c>
      <c r="F43" s="3474" t="s">
        <v>3408</v>
      </c>
    </row>
    <row r="44" spans="1:6" ht="28.5" customHeight="1" thickBot="1">
      <c r="A44" s="3471">
        <v>43</v>
      </c>
      <c r="B44" s="3472" t="s">
        <v>3406</v>
      </c>
      <c r="C44" s="3473" t="s">
        <v>3453</v>
      </c>
      <c r="D44" s="3473">
        <v>146.01</v>
      </c>
      <c r="E44" s="3472">
        <v>15.53</v>
      </c>
      <c r="F44" s="3474" t="s">
        <v>3408</v>
      </c>
    </row>
    <row r="45" spans="1:6" ht="28.5" customHeight="1" thickBot="1">
      <c r="A45" s="3471">
        <v>44</v>
      </c>
      <c r="B45" s="3472" t="s">
        <v>3406</v>
      </c>
      <c r="C45" s="3473" t="s">
        <v>3454</v>
      </c>
      <c r="D45" s="3473">
        <v>118.41</v>
      </c>
      <c r="E45" s="3472">
        <v>12.6</v>
      </c>
      <c r="F45" s="3474" t="s">
        <v>3408</v>
      </c>
    </row>
    <row r="46" spans="1:6" ht="28.5" customHeight="1" thickBot="1">
      <c r="A46" s="3471">
        <v>45</v>
      </c>
      <c r="B46" s="3472" t="s">
        <v>3406</v>
      </c>
      <c r="C46" s="3473" t="s">
        <v>3455</v>
      </c>
      <c r="D46" s="3473">
        <v>119.43</v>
      </c>
      <c r="E46" s="3472">
        <v>12.7</v>
      </c>
      <c r="F46" s="3474" t="s">
        <v>3408</v>
      </c>
    </row>
    <row r="47" spans="1:6" ht="28.5" customHeight="1" thickBot="1">
      <c r="A47" s="3471">
        <v>46</v>
      </c>
      <c r="B47" s="3472" t="s">
        <v>3406</v>
      </c>
      <c r="C47" s="3473" t="s">
        <v>3456</v>
      </c>
      <c r="D47" s="3473">
        <v>117.68</v>
      </c>
      <c r="E47" s="3472">
        <v>12.52</v>
      </c>
      <c r="F47" s="3474" t="s">
        <v>3408</v>
      </c>
    </row>
    <row r="48" spans="1:6" ht="28.5" customHeight="1" thickBot="1">
      <c r="A48" s="3471">
        <v>47</v>
      </c>
      <c r="B48" s="3472" t="s">
        <v>3406</v>
      </c>
      <c r="C48" s="3473" t="s">
        <v>3457</v>
      </c>
      <c r="D48" s="3473">
        <v>174.11</v>
      </c>
      <c r="E48" s="3472">
        <v>18.52</v>
      </c>
      <c r="F48" s="3474" t="s">
        <v>3408</v>
      </c>
    </row>
    <row r="49" spans="1:6" ht="28.5" customHeight="1" thickBot="1">
      <c r="A49" s="3471">
        <v>48</v>
      </c>
      <c r="B49" s="3472" t="s">
        <v>3406</v>
      </c>
      <c r="C49" s="3473" t="s">
        <v>3458</v>
      </c>
      <c r="D49" s="3473">
        <v>87.85</v>
      </c>
      <c r="E49" s="3472">
        <v>9.34</v>
      </c>
      <c r="F49" s="3474" t="s">
        <v>3408</v>
      </c>
    </row>
    <row r="50" spans="1:6" ht="28.5" customHeight="1" thickBot="1">
      <c r="A50" s="3471">
        <v>49</v>
      </c>
      <c r="B50" s="3472" t="s">
        <v>3406</v>
      </c>
      <c r="C50" s="3473" t="s">
        <v>3459</v>
      </c>
      <c r="D50" s="3473">
        <v>146.01</v>
      </c>
      <c r="E50" s="3472">
        <v>15.53</v>
      </c>
      <c r="F50" s="3474" t="s">
        <v>3408</v>
      </c>
    </row>
    <row r="51" spans="1:6" ht="28.5" customHeight="1" thickBot="1">
      <c r="A51" s="3471">
        <v>50</v>
      </c>
      <c r="B51" s="3472" t="s">
        <v>3406</v>
      </c>
      <c r="C51" s="3473" t="s">
        <v>3460</v>
      </c>
      <c r="D51" s="3473">
        <v>118.41</v>
      </c>
      <c r="E51" s="3472">
        <v>12.6</v>
      </c>
      <c r="F51" s="3474" t="s">
        <v>3408</v>
      </c>
    </row>
    <row r="52" spans="1:6" ht="28.5" customHeight="1" thickBot="1">
      <c r="A52" s="3471">
        <v>51</v>
      </c>
      <c r="B52" s="3472" t="s">
        <v>3406</v>
      </c>
      <c r="C52" s="3473" t="s">
        <v>3461</v>
      </c>
      <c r="D52" s="3473">
        <v>119.43</v>
      </c>
      <c r="E52" s="3472">
        <v>12.7</v>
      </c>
      <c r="F52" s="3474" t="s">
        <v>3408</v>
      </c>
    </row>
    <row r="53" spans="1:6" ht="28.5" customHeight="1" thickBot="1">
      <c r="A53" s="3471">
        <v>52</v>
      </c>
      <c r="B53" s="3472" t="s">
        <v>3406</v>
      </c>
      <c r="C53" s="3473" t="s">
        <v>3462</v>
      </c>
      <c r="D53" s="3473">
        <v>117.68</v>
      </c>
      <c r="E53" s="3472">
        <v>12.52</v>
      </c>
      <c r="F53" s="3474" t="s">
        <v>3408</v>
      </c>
    </row>
    <row r="54" spans="1:6" ht="28.5" customHeight="1" thickBot="1">
      <c r="A54" s="3471">
        <v>53</v>
      </c>
      <c r="B54" s="3472" t="s">
        <v>3406</v>
      </c>
      <c r="C54" s="3473" t="s">
        <v>3463</v>
      </c>
      <c r="D54" s="3473">
        <v>174.11</v>
      </c>
      <c r="E54" s="3472">
        <v>18.52</v>
      </c>
      <c r="F54" s="3474" t="s">
        <v>3408</v>
      </c>
    </row>
    <row r="55" spans="1:6" ht="28.5" customHeight="1" thickBot="1">
      <c r="A55" s="3471">
        <v>54</v>
      </c>
      <c r="B55" s="3472" t="s">
        <v>3406</v>
      </c>
      <c r="C55" s="3473" t="s">
        <v>3464</v>
      </c>
      <c r="D55" s="3473">
        <v>87.85</v>
      </c>
      <c r="E55" s="3472">
        <v>9.34</v>
      </c>
      <c r="F55" s="3474" t="s">
        <v>3408</v>
      </c>
    </row>
    <row r="56" spans="1:6" ht="28.5" customHeight="1" thickBot="1">
      <c r="A56" s="3471">
        <v>55</v>
      </c>
      <c r="B56" s="3472" t="s">
        <v>3406</v>
      </c>
      <c r="C56" s="3473" t="s">
        <v>3465</v>
      </c>
      <c r="D56" s="3473">
        <v>146.01</v>
      </c>
      <c r="E56" s="3472">
        <v>15.53</v>
      </c>
      <c r="F56" s="3474" t="s">
        <v>3408</v>
      </c>
    </row>
    <row r="57" spans="1:6" ht="28.5" customHeight="1" thickBot="1">
      <c r="A57" s="3471">
        <v>56</v>
      </c>
      <c r="B57" s="3472" t="s">
        <v>3406</v>
      </c>
      <c r="C57" s="3473" t="s">
        <v>3466</v>
      </c>
      <c r="D57" s="3473">
        <v>118.41</v>
      </c>
      <c r="E57" s="3472">
        <v>12.6</v>
      </c>
      <c r="F57" s="3474" t="s">
        <v>3408</v>
      </c>
    </row>
    <row r="58" spans="1:6" ht="28.5" customHeight="1">
      <c r="A58" s="3476">
        <v>57</v>
      </c>
      <c r="B58" s="3477" t="s">
        <v>3467</v>
      </c>
      <c r="C58" s="3478" t="s">
        <v>3468</v>
      </c>
      <c r="D58" s="3478">
        <v>119.43</v>
      </c>
      <c r="E58" s="3476">
        <v>12.7</v>
      </c>
      <c r="F58" s="3479" t="s">
        <v>3408</v>
      </c>
    </row>
    <row r="59" spans="1:6" ht="28.5" customHeight="1" thickBot="1">
      <c r="A59" s="3471">
        <v>58</v>
      </c>
      <c r="B59" s="3472" t="s">
        <v>3406</v>
      </c>
      <c r="C59" s="3473" t="s">
        <v>3469</v>
      </c>
      <c r="D59" s="3473">
        <v>117.68</v>
      </c>
      <c r="E59" s="3472">
        <v>12.52</v>
      </c>
      <c r="F59" s="3474" t="s">
        <v>3408</v>
      </c>
    </row>
    <row r="60" spans="1:6" ht="28.5" customHeight="1" thickBot="1">
      <c r="A60" s="3471">
        <v>59</v>
      </c>
      <c r="B60" s="3472" t="s">
        <v>3406</v>
      </c>
      <c r="C60" s="3473" t="s">
        <v>3470</v>
      </c>
      <c r="D60" s="3473">
        <v>174.11</v>
      </c>
      <c r="E60" s="3472">
        <v>18.52</v>
      </c>
      <c r="F60" s="3474" t="s">
        <v>3408</v>
      </c>
    </row>
    <row r="61" spans="1:6" ht="28.5" customHeight="1" thickBot="1">
      <c r="A61" s="3471">
        <v>60</v>
      </c>
      <c r="B61" s="3472" t="s">
        <v>3406</v>
      </c>
      <c r="C61" s="3473" t="s">
        <v>3471</v>
      </c>
      <c r="D61" s="3473">
        <v>87.85</v>
      </c>
      <c r="E61" s="3472">
        <v>9.34</v>
      </c>
      <c r="F61" s="3474" t="s">
        <v>3408</v>
      </c>
    </row>
    <row r="62" spans="1:6" ht="28.5" customHeight="1" thickBot="1">
      <c r="A62" s="3471">
        <v>61</v>
      </c>
      <c r="B62" s="3472" t="s">
        <v>3406</v>
      </c>
      <c r="C62" s="3473" t="s">
        <v>3472</v>
      </c>
      <c r="D62" s="3473">
        <v>146.01</v>
      </c>
      <c r="E62" s="3472">
        <v>15.53</v>
      </c>
      <c r="F62" s="3474" t="s">
        <v>3408</v>
      </c>
    </row>
    <row r="63" spans="1:6" ht="28.5" customHeight="1" thickBot="1">
      <c r="A63" s="3471">
        <v>62</v>
      </c>
      <c r="B63" s="3472" t="s">
        <v>3406</v>
      </c>
      <c r="C63" s="3473" t="s">
        <v>3473</v>
      </c>
      <c r="D63" s="3473">
        <v>118.41</v>
      </c>
      <c r="E63" s="3472">
        <v>12.6</v>
      </c>
      <c r="F63" s="3474" t="s">
        <v>3408</v>
      </c>
    </row>
    <row r="64" spans="1:6" ht="28.5" customHeight="1" thickBot="1">
      <c r="A64" s="3471">
        <v>63</v>
      </c>
      <c r="B64" s="3472" t="s">
        <v>3406</v>
      </c>
      <c r="C64" s="3473" t="s">
        <v>3474</v>
      </c>
      <c r="D64" s="3473">
        <v>119.43</v>
      </c>
      <c r="E64" s="3472">
        <v>12.7</v>
      </c>
      <c r="F64" s="3474" t="s">
        <v>3408</v>
      </c>
    </row>
    <row r="65" spans="1:6" ht="28.5" customHeight="1" thickBot="1">
      <c r="A65" s="3471">
        <v>64</v>
      </c>
      <c r="B65" s="3472" t="s">
        <v>3406</v>
      </c>
      <c r="C65" s="3473" t="s">
        <v>3475</v>
      </c>
      <c r="D65" s="3473">
        <v>117.68</v>
      </c>
      <c r="E65" s="3472">
        <v>12.52</v>
      </c>
      <c r="F65" s="3474" t="s">
        <v>3408</v>
      </c>
    </row>
    <row r="66" spans="1:6" ht="28.5" customHeight="1" thickBot="1">
      <c r="A66" s="3471">
        <v>65</v>
      </c>
      <c r="B66" s="3472" t="s">
        <v>3406</v>
      </c>
      <c r="C66" s="3473" t="s">
        <v>3476</v>
      </c>
      <c r="D66" s="3473">
        <v>174.11</v>
      </c>
      <c r="E66" s="3472">
        <v>18.52</v>
      </c>
      <c r="F66" s="3474" t="s">
        <v>3408</v>
      </c>
    </row>
    <row r="67" spans="1:6" ht="28.5" customHeight="1" thickBot="1">
      <c r="A67" s="3471">
        <v>66</v>
      </c>
      <c r="B67" s="3472" t="s">
        <v>3406</v>
      </c>
      <c r="C67" s="3473" t="s">
        <v>3477</v>
      </c>
      <c r="D67" s="3473">
        <v>87.85</v>
      </c>
      <c r="E67" s="3472">
        <v>9.34</v>
      </c>
      <c r="F67" s="3474" t="s">
        <v>3408</v>
      </c>
    </row>
    <row r="68" spans="1:6" ht="28.5" customHeight="1" thickBot="1">
      <c r="A68" s="3471">
        <v>67</v>
      </c>
      <c r="B68" s="3472" t="s">
        <v>3406</v>
      </c>
      <c r="C68" s="3473" t="s">
        <v>3478</v>
      </c>
      <c r="D68" s="3473">
        <v>146.01</v>
      </c>
      <c r="E68" s="3472">
        <v>15.53</v>
      </c>
      <c r="F68" s="3474" t="s">
        <v>3408</v>
      </c>
    </row>
    <row r="69" spans="1:6" ht="28.5" customHeight="1" thickBot="1">
      <c r="A69" s="3471">
        <v>68</v>
      </c>
      <c r="B69" s="3472" t="s">
        <v>3406</v>
      </c>
      <c r="C69" s="3473" t="s">
        <v>3479</v>
      </c>
      <c r="D69" s="3473">
        <v>118.41</v>
      </c>
      <c r="E69" s="3472">
        <v>12.6</v>
      </c>
      <c r="F69" s="3474" t="s">
        <v>3408</v>
      </c>
    </row>
    <row r="70" spans="1:6" ht="28.5" customHeight="1" thickBot="1">
      <c r="A70" s="3471">
        <v>69</v>
      </c>
      <c r="B70" s="3472" t="s">
        <v>3406</v>
      </c>
      <c r="C70" s="3473" t="s">
        <v>3480</v>
      </c>
      <c r="D70" s="3473">
        <v>119.43</v>
      </c>
      <c r="E70" s="3472">
        <v>12.7</v>
      </c>
      <c r="F70" s="3474" t="s">
        <v>3408</v>
      </c>
    </row>
    <row r="71" spans="1:6" ht="28.5" customHeight="1" thickBot="1">
      <c r="A71" s="3471">
        <v>70</v>
      </c>
      <c r="B71" s="3472" t="s">
        <v>3406</v>
      </c>
      <c r="C71" s="3473" t="s">
        <v>3481</v>
      </c>
      <c r="D71" s="3473">
        <v>117.68</v>
      </c>
      <c r="E71" s="3472">
        <v>12.52</v>
      </c>
      <c r="F71" s="3474" t="s">
        <v>3408</v>
      </c>
    </row>
    <row r="72" spans="1:6" ht="28.5" customHeight="1" thickBot="1">
      <c r="A72" s="3471">
        <v>71</v>
      </c>
      <c r="B72" s="3472" t="s">
        <v>3406</v>
      </c>
      <c r="C72" s="3473" t="s">
        <v>3482</v>
      </c>
      <c r="D72" s="3473">
        <v>174.11</v>
      </c>
      <c r="E72" s="3472">
        <v>18.52</v>
      </c>
      <c r="F72" s="3474" t="s">
        <v>3408</v>
      </c>
    </row>
    <row r="73" spans="1:6" ht="28.5" customHeight="1" thickBot="1">
      <c r="A73" s="3471">
        <v>72</v>
      </c>
      <c r="B73" s="3472" t="s">
        <v>3406</v>
      </c>
      <c r="C73" s="3473" t="s">
        <v>3483</v>
      </c>
      <c r="D73" s="3473">
        <v>87.85</v>
      </c>
      <c r="E73" s="3472">
        <v>9.34</v>
      </c>
      <c r="F73" s="3474" t="s">
        <v>3408</v>
      </c>
    </row>
    <row r="74" spans="1:6" ht="28.5" customHeight="1" thickBot="1">
      <c r="A74" s="3471">
        <v>73</v>
      </c>
      <c r="B74" s="3472" t="s">
        <v>3406</v>
      </c>
      <c r="C74" s="3473" t="s">
        <v>3484</v>
      </c>
      <c r="D74" s="3473">
        <v>146.01</v>
      </c>
      <c r="E74" s="3472">
        <v>15.53</v>
      </c>
      <c r="F74" s="3474" t="s">
        <v>3408</v>
      </c>
    </row>
    <row r="75" spans="1:6" ht="28.5" customHeight="1" thickBot="1">
      <c r="A75" s="3471">
        <v>74</v>
      </c>
      <c r="B75" s="3472" t="s">
        <v>3406</v>
      </c>
      <c r="C75" s="3473" t="s">
        <v>3485</v>
      </c>
      <c r="D75" s="3473">
        <v>118.41</v>
      </c>
      <c r="E75" s="3472">
        <v>12.6</v>
      </c>
      <c r="F75" s="3474" t="s">
        <v>3408</v>
      </c>
    </row>
    <row r="76" spans="1:6" ht="28.5" customHeight="1" thickBot="1">
      <c r="A76" s="3471">
        <v>75</v>
      </c>
      <c r="B76" s="3472" t="s">
        <v>3406</v>
      </c>
      <c r="C76" s="3473" t="s">
        <v>3486</v>
      </c>
      <c r="D76" s="3473">
        <v>119.43</v>
      </c>
      <c r="E76" s="3472">
        <v>12.7</v>
      </c>
      <c r="F76" s="3474" t="s">
        <v>3408</v>
      </c>
    </row>
    <row r="77" spans="1:6" ht="28.5" customHeight="1" thickBot="1">
      <c r="A77" s="3471">
        <v>76</v>
      </c>
      <c r="B77" s="3472" t="s">
        <v>3406</v>
      </c>
      <c r="C77" s="3473" t="s">
        <v>3487</v>
      </c>
      <c r="D77" s="3473">
        <v>117.68</v>
      </c>
      <c r="E77" s="3472">
        <v>12.52</v>
      </c>
      <c r="F77" s="3474" t="s">
        <v>3408</v>
      </c>
    </row>
    <row r="78" spans="1:6" ht="28.5" customHeight="1" thickBot="1">
      <c r="A78" s="3471">
        <v>77</v>
      </c>
      <c r="B78" s="3472" t="s">
        <v>3406</v>
      </c>
      <c r="C78" s="3473" t="s">
        <v>3488</v>
      </c>
      <c r="D78" s="3473">
        <v>174.11</v>
      </c>
      <c r="E78" s="3472">
        <v>18.52</v>
      </c>
      <c r="F78" s="3474" t="s">
        <v>3408</v>
      </c>
    </row>
    <row r="79" spans="1:6" ht="28.5" customHeight="1" thickBot="1">
      <c r="A79" s="3471">
        <v>78</v>
      </c>
      <c r="B79" s="3472" t="s">
        <v>3406</v>
      </c>
      <c r="C79" s="3473" t="s">
        <v>3489</v>
      </c>
      <c r="D79" s="3473">
        <v>87.85</v>
      </c>
      <c r="E79" s="3472">
        <v>9.34</v>
      </c>
      <c r="F79" s="3474" t="s">
        <v>3408</v>
      </c>
    </row>
    <row r="80" spans="1:6" ht="28.5" customHeight="1" thickBot="1">
      <c r="A80" s="3471">
        <v>79</v>
      </c>
      <c r="B80" s="3472" t="s">
        <v>3406</v>
      </c>
      <c r="C80" s="3473" t="s">
        <v>3490</v>
      </c>
      <c r="D80" s="3473">
        <v>146.01</v>
      </c>
      <c r="E80" s="3472">
        <v>15.53</v>
      </c>
      <c r="F80" s="3474" t="s">
        <v>3408</v>
      </c>
    </row>
    <row r="81" spans="1:6" ht="28.5" customHeight="1" thickBot="1">
      <c r="A81" s="3471">
        <v>80</v>
      </c>
      <c r="B81" s="3472" t="s">
        <v>3406</v>
      </c>
      <c r="C81" s="3473" t="s">
        <v>3491</v>
      </c>
      <c r="D81" s="3473">
        <v>118.41</v>
      </c>
      <c r="E81" s="3472">
        <v>12.6</v>
      </c>
      <c r="F81" s="3474" t="s">
        <v>3408</v>
      </c>
    </row>
    <row r="82" spans="1:6" ht="28.5" customHeight="1" thickBot="1">
      <c r="A82" s="3471">
        <v>81</v>
      </c>
      <c r="B82" s="3472" t="s">
        <v>3406</v>
      </c>
      <c r="C82" s="3473" t="s">
        <v>3492</v>
      </c>
      <c r="D82" s="3473">
        <v>119.43</v>
      </c>
      <c r="E82" s="3472">
        <v>12.7</v>
      </c>
      <c r="F82" s="3474" t="s">
        <v>3408</v>
      </c>
    </row>
    <row r="83" spans="1:6" ht="28.5" customHeight="1" thickBot="1">
      <c r="A83" s="3471">
        <v>82</v>
      </c>
      <c r="B83" s="3472" t="s">
        <v>3406</v>
      </c>
      <c r="C83" s="3473" t="s">
        <v>3493</v>
      </c>
      <c r="D83" s="3473">
        <v>117.68</v>
      </c>
      <c r="E83" s="3472">
        <v>12.52</v>
      </c>
      <c r="F83" s="3474" t="s">
        <v>3408</v>
      </c>
    </row>
    <row r="84" spans="1:6" ht="28.5" customHeight="1" thickBot="1">
      <c r="A84" s="3471">
        <v>83</v>
      </c>
      <c r="B84" s="3472" t="s">
        <v>3406</v>
      </c>
      <c r="C84" s="3473" t="s">
        <v>3494</v>
      </c>
      <c r="D84" s="3473">
        <v>174.11</v>
      </c>
      <c r="E84" s="3472">
        <v>18.52</v>
      </c>
      <c r="F84" s="3474" t="s">
        <v>3408</v>
      </c>
    </row>
    <row r="85" spans="1:6" ht="28.5" customHeight="1" thickBot="1">
      <c r="A85" s="3471">
        <v>84</v>
      </c>
      <c r="B85" s="3472" t="s">
        <v>3406</v>
      </c>
      <c r="C85" s="3473" t="s">
        <v>3495</v>
      </c>
      <c r="D85" s="3473">
        <v>87.85</v>
      </c>
      <c r="E85" s="3472">
        <v>9.34</v>
      </c>
      <c r="F85" s="3474" t="s">
        <v>3408</v>
      </c>
    </row>
    <row r="86" spans="1:6" ht="28.5" customHeight="1">
      <c r="A86" s="3476">
        <v>85</v>
      </c>
      <c r="B86" s="3477" t="s">
        <v>3467</v>
      </c>
      <c r="C86" s="3478" t="s">
        <v>3496</v>
      </c>
      <c r="D86" s="3478">
        <v>146.01</v>
      </c>
      <c r="E86" s="3476">
        <v>15.53</v>
      </c>
      <c r="F86" s="3479" t="s">
        <v>3408</v>
      </c>
    </row>
    <row r="87" spans="1:6" ht="28.5" customHeight="1" thickBot="1">
      <c r="A87" s="3471">
        <v>86</v>
      </c>
      <c r="B87" s="3472" t="s">
        <v>3406</v>
      </c>
      <c r="C87" s="3473" t="s">
        <v>3497</v>
      </c>
      <c r="D87" s="3473">
        <v>118.41</v>
      </c>
      <c r="E87" s="3472">
        <v>12.6</v>
      </c>
      <c r="F87" s="3474" t="s">
        <v>3408</v>
      </c>
    </row>
    <row r="88" spans="1:6" ht="28.5" customHeight="1" thickBot="1">
      <c r="A88" s="3471">
        <v>87</v>
      </c>
      <c r="B88" s="3472" t="s">
        <v>3406</v>
      </c>
      <c r="C88" s="3473" t="s">
        <v>3498</v>
      </c>
      <c r="D88" s="3473">
        <v>119.43</v>
      </c>
      <c r="E88" s="3472">
        <v>12.7</v>
      </c>
      <c r="F88" s="3474" t="s">
        <v>3408</v>
      </c>
    </row>
    <row r="89" spans="1:6" ht="28.5" customHeight="1" thickBot="1">
      <c r="A89" s="3471">
        <v>88</v>
      </c>
      <c r="B89" s="3472" t="s">
        <v>3406</v>
      </c>
      <c r="C89" s="3473" t="s">
        <v>3499</v>
      </c>
      <c r="D89" s="3473">
        <v>117.68</v>
      </c>
      <c r="E89" s="3472">
        <v>12.52</v>
      </c>
      <c r="F89" s="3474" t="s">
        <v>3408</v>
      </c>
    </row>
    <row r="90" spans="1:6" ht="28.5" customHeight="1" thickBot="1">
      <c r="A90" s="3471">
        <v>89</v>
      </c>
      <c r="B90" s="3472" t="s">
        <v>3406</v>
      </c>
      <c r="C90" s="3473" t="s">
        <v>3500</v>
      </c>
      <c r="D90" s="3473">
        <v>174.11</v>
      </c>
      <c r="E90" s="3472">
        <v>18.52</v>
      </c>
      <c r="F90" s="3474" t="s">
        <v>3408</v>
      </c>
    </row>
    <row r="91" spans="1:6" ht="28.5" customHeight="1" thickBot="1">
      <c r="A91" s="3471">
        <v>90</v>
      </c>
      <c r="B91" s="3472" t="s">
        <v>3406</v>
      </c>
      <c r="C91" s="3473" t="s">
        <v>3501</v>
      </c>
      <c r="D91" s="3473">
        <v>87.85</v>
      </c>
      <c r="E91" s="3472">
        <v>9.34</v>
      </c>
      <c r="F91" s="3474" t="s">
        <v>3408</v>
      </c>
    </row>
    <row r="92" spans="1:6" ht="28.5" customHeight="1" thickBot="1">
      <c r="A92" s="3471">
        <v>91</v>
      </c>
      <c r="B92" s="3472" t="s">
        <v>3406</v>
      </c>
      <c r="C92" s="3473" t="s">
        <v>3502</v>
      </c>
      <c r="D92" s="3473">
        <v>146.01</v>
      </c>
      <c r="E92" s="3472">
        <v>15.53</v>
      </c>
      <c r="F92" s="3474" t="s">
        <v>3408</v>
      </c>
    </row>
    <row r="93" spans="1:6" ht="28.5" customHeight="1" thickBot="1">
      <c r="A93" s="3471">
        <v>92</v>
      </c>
      <c r="B93" s="3472" t="s">
        <v>3406</v>
      </c>
      <c r="C93" s="3473" t="s">
        <v>3503</v>
      </c>
      <c r="D93" s="3473">
        <v>118.41</v>
      </c>
      <c r="E93" s="3472">
        <v>12.6</v>
      </c>
      <c r="F93" s="3474" t="s">
        <v>3408</v>
      </c>
    </row>
    <row r="94" spans="1:6" ht="28.5" customHeight="1" thickBot="1">
      <c r="A94" s="3471">
        <v>93</v>
      </c>
      <c r="B94" s="3472" t="s">
        <v>3406</v>
      </c>
      <c r="C94" s="3473" t="s">
        <v>3504</v>
      </c>
      <c r="D94" s="3473">
        <v>119.43</v>
      </c>
      <c r="E94" s="3472">
        <v>12.7</v>
      </c>
      <c r="F94" s="3474" t="s">
        <v>3408</v>
      </c>
    </row>
    <row r="95" spans="1:6" ht="28.5" customHeight="1" thickBot="1">
      <c r="A95" s="3471">
        <v>94</v>
      </c>
      <c r="B95" s="3472" t="s">
        <v>3406</v>
      </c>
      <c r="C95" s="3473" t="s">
        <v>3505</v>
      </c>
      <c r="D95" s="3473">
        <v>117.68</v>
      </c>
      <c r="E95" s="3472">
        <v>12.52</v>
      </c>
      <c r="F95" s="3474" t="s">
        <v>3408</v>
      </c>
    </row>
    <row r="96" spans="1:6" ht="28.5" customHeight="1" thickBot="1">
      <c r="A96" s="3471">
        <v>95</v>
      </c>
      <c r="B96" s="3472" t="s">
        <v>3406</v>
      </c>
      <c r="C96" s="3473" t="s">
        <v>3506</v>
      </c>
      <c r="D96" s="3473">
        <v>174.11</v>
      </c>
      <c r="E96" s="3472">
        <v>18.52</v>
      </c>
      <c r="F96" s="3474" t="s">
        <v>3408</v>
      </c>
    </row>
    <row r="97" spans="1:6" ht="28.5" customHeight="1" thickBot="1">
      <c r="A97" s="3471">
        <v>96</v>
      </c>
      <c r="B97" s="3472" t="s">
        <v>3406</v>
      </c>
      <c r="C97" s="3473" t="s">
        <v>3507</v>
      </c>
      <c r="D97" s="3473">
        <v>87.85</v>
      </c>
      <c r="E97" s="3472">
        <v>9.34</v>
      </c>
      <c r="F97" s="3474" t="s">
        <v>3408</v>
      </c>
    </row>
    <row r="98" spans="1:6" ht="28.5" customHeight="1" thickBot="1">
      <c r="A98" s="3471">
        <v>97</v>
      </c>
      <c r="B98" s="3472" t="s">
        <v>3406</v>
      </c>
      <c r="C98" s="3473" t="s">
        <v>3508</v>
      </c>
      <c r="D98" s="3473">
        <v>146.01</v>
      </c>
      <c r="E98" s="3472">
        <v>15.53</v>
      </c>
      <c r="F98" s="3474" t="s">
        <v>3408</v>
      </c>
    </row>
    <row r="99" spans="1:6" ht="28.5" customHeight="1" thickBot="1">
      <c r="A99" s="3471">
        <v>98</v>
      </c>
      <c r="B99" s="3472" t="s">
        <v>3406</v>
      </c>
      <c r="C99" s="3473" t="s">
        <v>3509</v>
      </c>
      <c r="D99" s="3473">
        <v>118.41</v>
      </c>
      <c r="E99" s="3472">
        <v>12.6</v>
      </c>
      <c r="F99" s="3474" t="s">
        <v>3408</v>
      </c>
    </row>
    <row r="100" spans="1:6" ht="28.5" customHeight="1" thickBot="1">
      <c r="A100" s="3471">
        <v>99</v>
      </c>
      <c r="B100" s="3472" t="s">
        <v>3406</v>
      </c>
      <c r="C100" s="3473" t="s">
        <v>3510</v>
      </c>
      <c r="D100" s="3473">
        <v>119.43</v>
      </c>
      <c r="E100" s="3472">
        <v>12.7</v>
      </c>
      <c r="F100" s="3474" t="s">
        <v>3408</v>
      </c>
    </row>
    <row r="101" spans="1:6" ht="28.5" customHeight="1" thickBot="1">
      <c r="A101" s="3471">
        <v>100</v>
      </c>
      <c r="B101" s="3472" t="s">
        <v>3406</v>
      </c>
      <c r="C101" s="3473" t="s">
        <v>3511</v>
      </c>
      <c r="D101" s="3473">
        <v>117.68</v>
      </c>
      <c r="E101" s="3472">
        <v>12.52</v>
      </c>
      <c r="F101" s="3474" t="s">
        <v>3408</v>
      </c>
    </row>
    <row r="102" spans="1:6" ht="28.5" customHeight="1" thickBot="1">
      <c r="A102" s="3471">
        <v>101</v>
      </c>
      <c r="B102" s="3472" t="s">
        <v>3406</v>
      </c>
      <c r="C102" s="3473" t="s">
        <v>3512</v>
      </c>
      <c r="D102" s="3473">
        <v>174.11</v>
      </c>
      <c r="E102" s="3472">
        <v>18.52</v>
      </c>
      <c r="F102" s="3474" t="s">
        <v>3408</v>
      </c>
    </row>
    <row r="103" spans="1:6" ht="28.5" customHeight="1" thickBot="1">
      <c r="A103" s="3471">
        <v>102</v>
      </c>
      <c r="B103" s="3472" t="s">
        <v>3406</v>
      </c>
      <c r="C103" s="3473" t="s">
        <v>3513</v>
      </c>
      <c r="D103" s="3473">
        <v>87.85</v>
      </c>
      <c r="E103" s="3472">
        <v>9.34</v>
      </c>
      <c r="F103" s="3474" t="s">
        <v>3408</v>
      </c>
    </row>
    <row r="104" spans="1:6" ht="28.5" customHeight="1" thickBot="1">
      <c r="A104" s="3471">
        <v>103</v>
      </c>
      <c r="B104" s="3472" t="s">
        <v>3406</v>
      </c>
      <c r="C104" s="3473" t="s">
        <v>3514</v>
      </c>
      <c r="D104" s="3473">
        <v>146.01</v>
      </c>
      <c r="E104" s="3472">
        <v>15.53</v>
      </c>
      <c r="F104" s="3474" t="s">
        <v>3408</v>
      </c>
    </row>
    <row r="105" spans="1:6" ht="28.5" customHeight="1" thickBot="1">
      <c r="A105" s="3471">
        <v>104</v>
      </c>
      <c r="B105" s="3472" t="s">
        <v>3406</v>
      </c>
      <c r="C105" s="3473" t="s">
        <v>3515</v>
      </c>
      <c r="D105" s="3473">
        <v>118.41</v>
      </c>
      <c r="E105" s="3472">
        <v>12.6</v>
      </c>
      <c r="F105" s="3474" t="s">
        <v>3408</v>
      </c>
    </row>
    <row r="106" spans="1:6" ht="28.5" customHeight="1" thickBot="1">
      <c r="A106" s="3471">
        <v>105</v>
      </c>
      <c r="B106" s="3472" t="s">
        <v>3406</v>
      </c>
      <c r="C106" s="3473" t="s">
        <v>3516</v>
      </c>
      <c r="D106" s="3473">
        <v>119.43</v>
      </c>
      <c r="E106" s="3472">
        <v>12.7</v>
      </c>
      <c r="F106" s="3474" t="s">
        <v>3408</v>
      </c>
    </row>
    <row r="107" spans="1:6" ht="28.5" customHeight="1" thickBot="1">
      <c r="A107" s="3471">
        <v>106</v>
      </c>
      <c r="B107" s="3472" t="s">
        <v>3406</v>
      </c>
      <c r="C107" s="3473" t="s">
        <v>3517</v>
      </c>
      <c r="D107" s="3473">
        <v>117.68</v>
      </c>
      <c r="E107" s="3472">
        <v>12.52</v>
      </c>
      <c r="F107" s="3474" t="s">
        <v>3408</v>
      </c>
    </row>
    <row r="108" spans="1:6" ht="28.5" customHeight="1" thickBot="1">
      <c r="A108" s="3471">
        <v>107</v>
      </c>
      <c r="B108" s="3472" t="s">
        <v>3406</v>
      </c>
      <c r="C108" s="3473" t="s">
        <v>3518</v>
      </c>
      <c r="D108" s="3473">
        <v>174.11</v>
      </c>
      <c r="E108" s="3472">
        <v>18.52</v>
      </c>
      <c r="F108" s="3474" t="s">
        <v>3408</v>
      </c>
    </row>
    <row r="109" spans="1:6" ht="28.5" customHeight="1" thickBot="1">
      <c r="A109" s="3471">
        <v>108</v>
      </c>
      <c r="B109" s="3472" t="s">
        <v>3406</v>
      </c>
      <c r="C109" s="3473" t="s">
        <v>3519</v>
      </c>
      <c r="D109" s="3473">
        <v>87.85</v>
      </c>
      <c r="E109" s="3472">
        <v>9.34</v>
      </c>
      <c r="F109" s="3474" t="s">
        <v>3408</v>
      </c>
    </row>
    <row r="110" spans="1:6" ht="28.5" customHeight="1" thickBot="1">
      <c r="A110" s="3471">
        <v>109</v>
      </c>
      <c r="B110" s="3472" t="s">
        <v>3406</v>
      </c>
      <c r="C110" s="3473" t="s">
        <v>3520</v>
      </c>
      <c r="D110" s="3473">
        <v>146.01</v>
      </c>
      <c r="E110" s="3472">
        <v>15.53</v>
      </c>
      <c r="F110" s="3474" t="s">
        <v>3408</v>
      </c>
    </row>
    <row r="111" spans="1:6" ht="28.5" customHeight="1" thickBot="1">
      <c r="A111" s="3471">
        <v>110</v>
      </c>
      <c r="B111" s="3472" t="s">
        <v>3406</v>
      </c>
      <c r="C111" s="3473" t="s">
        <v>3521</v>
      </c>
      <c r="D111" s="3473">
        <v>118.41</v>
      </c>
      <c r="E111" s="3472">
        <v>12.6</v>
      </c>
      <c r="F111" s="3474" t="s">
        <v>3408</v>
      </c>
    </row>
    <row r="112" spans="1:6" ht="28.5" customHeight="1" thickBot="1">
      <c r="A112" s="3471">
        <v>111</v>
      </c>
      <c r="B112" s="3472" t="s">
        <v>3406</v>
      </c>
      <c r="C112" s="3473" t="s">
        <v>3522</v>
      </c>
      <c r="D112" s="3473">
        <v>119.43</v>
      </c>
      <c r="E112" s="3472">
        <v>12.7</v>
      </c>
      <c r="F112" s="3474" t="s">
        <v>3408</v>
      </c>
    </row>
    <row r="113" spans="1:6" ht="28.5" customHeight="1" thickBot="1">
      <c r="A113" s="3471">
        <v>112</v>
      </c>
      <c r="B113" s="3472" t="s">
        <v>3406</v>
      </c>
      <c r="C113" s="3473" t="s">
        <v>3523</v>
      </c>
      <c r="D113" s="3473">
        <v>117.68</v>
      </c>
      <c r="E113" s="3472">
        <v>12.52</v>
      </c>
      <c r="F113" s="3474" t="s">
        <v>3408</v>
      </c>
    </row>
    <row r="114" spans="1:6" ht="28.5" customHeight="1" thickBot="1">
      <c r="A114" s="3471">
        <v>113</v>
      </c>
      <c r="B114" s="3472" t="s">
        <v>3406</v>
      </c>
      <c r="C114" s="3473" t="s">
        <v>3524</v>
      </c>
      <c r="D114" s="3473">
        <v>174.11</v>
      </c>
      <c r="E114" s="3472">
        <v>18.52</v>
      </c>
      <c r="F114" s="3474" t="s">
        <v>3408</v>
      </c>
    </row>
    <row r="115" spans="1:6" ht="28.5" customHeight="1" thickBot="1">
      <c r="A115" s="3471">
        <v>114</v>
      </c>
      <c r="B115" s="3472" t="s">
        <v>3406</v>
      </c>
      <c r="C115" s="3473" t="s">
        <v>3525</v>
      </c>
      <c r="D115" s="3473">
        <v>87.85</v>
      </c>
      <c r="E115" s="3472">
        <v>9.34</v>
      </c>
      <c r="F115" s="3474" t="s">
        <v>3408</v>
      </c>
    </row>
    <row r="116" spans="1:6" ht="28.5" customHeight="1" thickBot="1">
      <c r="A116" s="3471">
        <v>115</v>
      </c>
      <c r="B116" s="3472" t="s">
        <v>3406</v>
      </c>
      <c r="C116" s="3473" t="s">
        <v>3526</v>
      </c>
      <c r="D116" s="3473">
        <v>146.01</v>
      </c>
      <c r="E116" s="3472">
        <v>15.53</v>
      </c>
      <c r="F116" s="3474" t="s">
        <v>3408</v>
      </c>
    </row>
    <row r="117" spans="1:6" ht="28.5" customHeight="1" thickBot="1">
      <c r="A117" s="3471">
        <v>116</v>
      </c>
      <c r="B117" s="3472" t="s">
        <v>3406</v>
      </c>
      <c r="C117" s="3473" t="s">
        <v>3527</v>
      </c>
      <c r="D117" s="3473">
        <v>118.41</v>
      </c>
      <c r="E117" s="3472">
        <v>12.6</v>
      </c>
      <c r="F117" s="3474" t="s">
        <v>3408</v>
      </c>
    </row>
    <row r="118" spans="1:6" ht="28.5" customHeight="1" thickBot="1">
      <c r="A118" s="3471">
        <v>117</v>
      </c>
      <c r="B118" s="3472" t="s">
        <v>3406</v>
      </c>
      <c r="C118" s="3473" t="s">
        <v>3528</v>
      </c>
      <c r="D118" s="3473">
        <v>119.43</v>
      </c>
      <c r="E118" s="3472">
        <v>12.7</v>
      </c>
      <c r="F118" s="3474" t="s">
        <v>3408</v>
      </c>
    </row>
    <row r="119" spans="1:6" ht="28.5" customHeight="1" thickBot="1">
      <c r="A119" s="3471">
        <v>118</v>
      </c>
      <c r="B119" s="3472" t="s">
        <v>3406</v>
      </c>
      <c r="C119" s="3473" t="s">
        <v>3529</v>
      </c>
      <c r="D119" s="3473">
        <v>117.68</v>
      </c>
      <c r="E119" s="3472">
        <v>12.52</v>
      </c>
      <c r="F119" s="3474" t="s">
        <v>3408</v>
      </c>
    </row>
    <row r="120" spans="1:6" ht="28.5" customHeight="1" thickBot="1">
      <c r="A120" s="3471">
        <v>119</v>
      </c>
      <c r="B120" s="3472" t="s">
        <v>3406</v>
      </c>
      <c r="C120" s="3473" t="s">
        <v>3530</v>
      </c>
      <c r="D120" s="3473">
        <v>174.11</v>
      </c>
      <c r="E120" s="3472">
        <v>18.52</v>
      </c>
      <c r="F120" s="3474" t="s">
        <v>3408</v>
      </c>
    </row>
    <row r="121" spans="1:6" ht="28.5" customHeight="1">
      <c r="A121" s="3476">
        <v>120</v>
      </c>
      <c r="B121" s="3477" t="s">
        <v>3467</v>
      </c>
      <c r="C121" s="3478" t="s">
        <v>3531</v>
      </c>
      <c r="D121" s="3478">
        <v>87.85</v>
      </c>
      <c r="E121" s="3476">
        <v>9.34</v>
      </c>
      <c r="F121" s="3479" t="s">
        <v>3408</v>
      </c>
    </row>
    <row r="122" spans="1:6" ht="28.5" customHeight="1" thickBot="1">
      <c r="A122" s="3471">
        <v>121</v>
      </c>
      <c r="B122" s="3472" t="s">
        <v>3406</v>
      </c>
      <c r="C122" s="3473" t="s">
        <v>3532</v>
      </c>
      <c r="D122" s="3473">
        <v>146.01</v>
      </c>
      <c r="E122" s="3472">
        <v>15.53</v>
      </c>
      <c r="F122" s="3474" t="s">
        <v>3408</v>
      </c>
    </row>
    <row r="123" spans="1:6" ht="28.5" customHeight="1" thickBot="1">
      <c r="A123" s="3471">
        <v>122</v>
      </c>
      <c r="B123" s="3472" t="s">
        <v>3406</v>
      </c>
      <c r="C123" s="3473" t="s">
        <v>3533</v>
      </c>
      <c r="D123" s="3473">
        <v>118.41</v>
      </c>
      <c r="E123" s="3472">
        <v>12.6</v>
      </c>
      <c r="F123" s="3474" t="s">
        <v>3408</v>
      </c>
    </row>
    <row r="124" spans="1:6" ht="28.5" customHeight="1" thickBot="1">
      <c r="A124" s="3471">
        <v>123</v>
      </c>
      <c r="B124" s="3472" t="s">
        <v>3406</v>
      </c>
      <c r="C124" s="3473" t="s">
        <v>3534</v>
      </c>
      <c r="D124" s="3473">
        <v>119.43</v>
      </c>
      <c r="E124" s="3472">
        <v>12.7</v>
      </c>
      <c r="F124" s="3474" t="s">
        <v>3408</v>
      </c>
    </row>
    <row r="125" spans="1:6" ht="28.5" customHeight="1">
      <c r="A125" s="3476">
        <v>124</v>
      </c>
      <c r="B125" s="3477" t="s">
        <v>3467</v>
      </c>
      <c r="C125" s="3478" t="s">
        <v>3535</v>
      </c>
      <c r="D125" s="3478">
        <v>117.68</v>
      </c>
      <c r="E125" s="3476">
        <v>12.52</v>
      </c>
      <c r="F125" s="3479" t="s">
        <v>3408</v>
      </c>
    </row>
    <row r="126" spans="1:6" ht="28.5" customHeight="1" thickBot="1">
      <c r="A126" s="3471">
        <v>125</v>
      </c>
      <c r="B126" s="3472" t="s">
        <v>3406</v>
      </c>
      <c r="C126" s="3473" t="s">
        <v>3536</v>
      </c>
      <c r="D126" s="3473">
        <v>174.11</v>
      </c>
      <c r="E126" s="3472">
        <v>18.52</v>
      </c>
      <c r="F126" s="3474" t="s">
        <v>3408</v>
      </c>
    </row>
    <row r="127" spans="1:6" ht="28.5" customHeight="1" thickBot="1">
      <c r="A127" s="3471">
        <v>126</v>
      </c>
      <c r="B127" s="3472" t="s">
        <v>3406</v>
      </c>
      <c r="C127" s="3473" t="s">
        <v>3537</v>
      </c>
      <c r="D127" s="3473">
        <v>87.85</v>
      </c>
      <c r="E127" s="3472">
        <v>9.34</v>
      </c>
      <c r="F127" s="3474" t="s">
        <v>3408</v>
      </c>
    </row>
    <row r="128" spans="1:6" ht="28.5" customHeight="1">
      <c r="A128" s="3476">
        <v>127</v>
      </c>
      <c r="B128" s="3477" t="s">
        <v>3467</v>
      </c>
      <c r="C128" s="3478" t="s">
        <v>3538</v>
      </c>
      <c r="D128" s="3478">
        <v>146.01</v>
      </c>
      <c r="E128" s="3476">
        <v>15.53</v>
      </c>
      <c r="F128" s="3479" t="s">
        <v>3408</v>
      </c>
    </row>
    <row r="129" spans="1:6" ht="28.5" customHeight="1" thickBot="1">
      <c r="A129" s="3471">
        <v>128</v>
      </c>
      <c r="B129" s="3472" t="s">
        <v>3406</v>
      </c>
      <c r="C129" s="3473" t="s">
        <v>3539</v>
      </c>
      <c r="D129" s="3473">
        <v>118.41</v>
      </c>
      <c r="E129" s="3472">
        <v>12.6</v>
      </c>
      <c r="F129" s="3474" t="s">
        <v>3408</v>
      </c>
    </row>
    <row r="130" spans="1:6" ht="28.5" customHeight="1" thickBot="1">
      <c r="A130" s="3471">
        <v>129</v>
      </c>
      <c r="B130" s="3472" t="s">
        <v>3406</v>
      </c>
      <c r="C130" s="3473" t="s">
        <v>3540</v>
      </c>
      <c r="D130" s="3473">
        <v>119.43</v>
      </c>
      <c r="E130" s="3472">
        <v>12.7</v>
      </c>
      <c r="F130" s="3474" t="s">
        <v>3408</v>
      </c>
    </row>
    <row r="131" spans="1:6" ht="28.5" customHeight="1" thickBot="1">
      <c r="A131" s="3471">
        <v>130</v>
      </c>
      <c r="B131" s="3472" t="s">
        <v>3406</v>
      </c>
      <c r="C131" s="3473" t="s">
        <v>3541</v>
      </c>
      <c r="D131" s="3473">
        <v>117.68</v>
      </c>
      <c r="E131" s="3472">
        <v>12.52</v>
      </c>
      <c r="F131" s="3474" t="s">
        <v>3408</v>
      </c>
    </row>
    <row r="132" spans="1:6" ht="28.5" customHeight="1" thickBot="1">
      <c r="A132" s="3471">
        <v>131</v>
      </c>
      <c r="B132" s="3472" t="s">
        <v>3406</v>
      </c>
      <c r="C132" s="3473" t="s">
        <v>3542</v>
      </c>
      <c r="D132" s="3473">
        <v>174.11</v>
      </c>
      <c r="E132" s="3472">
        <v>18.52</v>
      </c>
      <c r="F132" s="3474" t="s">
        <v>3408</v>
      </c>
    </row>
    <row r="133" spans="1:6" ht="28.5" customHeight="1" thickBot="1">
      <c r="A133" s="3471">
        <v>132</v>
      </c>
      <c r="B133" s="3472" t="s">
        <v>3406</v>
      </c>
      <c r="C133" s="3473" t="s">
        <v>3543</v>
      </c>
      <c r="D133" s="3473">
        <v>87.85</v>
      </c>
      <c r="E133" s="3472">
        <v>9.34</v>
      </c>
      <c r="F133" s="3474" t="s">
        <v>3408</v>
      </c>
    </row>
    <row r="134" spans="1:6" ht="28.5" customHeight="1" thickBot="1">
      <c r="A134" s="3471">
        <v>133</v>
      </c>
      <c r="B134" s="3472" t="s">
        <v>3406</v>
      </c>
      <c r="C134" s="3473" t="s">
        <v>3544</v>
      </c>
      <c r="D134" s="3473">
        <v>146.01</v>
      </c>
      <c r="E134" s="3472">
        <v>15.53</v>
      </c>
      <c r="F134" s="3474" t="s">
        <v>3408</v>
      </c>
    </row>
    <row r="135" spans="1:6" ht="28.5" customHeight="1" thickBot="1">
      <c r="A135" s="3471">
        <v>134</v>
      </c>
      <c r="B135" s="3472" t="s">
        <v>3406</v>
      </c>
      <c r="C135" s="3473" t="s">
        <v>3545</v>
      </c>
      <c r="D135" s="3473">
        <v>118.41</v>
      </c>
      <c r="E135" s="3472">
        <v>12.6</v>
      </c>
      <c r="F135" s="3474" t="s">
        <v>3408</v>
      </c>
    </row>
    <row r="136" spans="1:6" ht="28.5" customHeight="1" thickBot="1">
      <c r="A136" s="3471">
        <v>135</v>
      </c>
      <c r="B136" s="3472" t="s">
        <v>3406</v>
      </c>
      <c r="C136" s="3473" t="s">
        <v>3546</v>
      </c>
      <c r="D136" s="3473">
        <v>119.43</v>
      </c>
      <c r="E136" s="3472">
        <v>12.7</v>
      </c>
      <c r="F136" s="3474" t="s">
        <v>3408</v>
      </c>
    </row>
    <row r="137" spans="1:6" ht="28.5" customHeight="1" thickBot="1">
      <c r="A137" s="3471">
        <v>136</v>
      </c>
      <c r="B137" s="3472" t="s">
        <v>3406</v>
      </c>
      <c r="C137" s="3473" t="s">
        <v>3547</v>
      </c>
      <c r="D137" s="3473">
        <v>117.68</v>
      </c>
      <c r="E137" s="3472">
        <v>12.52</v>
      </c>
      <c r="F137" s="3474" t="s">
        <v>3408</v>
      </c>
    </row>
    <row r="138" spans="1:6" ht="28.5" customHeight="1" thickBot="1">
      <c r="A138" s="3471">
        <v>137</v>
      </c>
      <c r="B138" s="3472" t="s">
        <v>3406</v>
      </c>
      <c r="C138" s="3473" t="s">
        <v>3548</v>
      </c>
      <c r="D138" s="3473">
        <v>174.11</v>
      </c>
      <c r="E138" s="3472">
        <v>18.52</v>
      </c>
      <c r="F138" s="3474" t="s">
        <v>3408</v>
      </c>
    </row>
    <row r="139" spans="1:6" ht="28.5" customHeight="1" thickBot="1">
      <c r="A139" s="3471">
        <v>138</v>
      </c>
      <c r="B139" s="3472" t="s">
        <v>3406</v>
      </c>
      <c r="C139" s="3473" t="s">
        <v>3549</v>
      </c>
      <c r="D139" s="3473">
        <v>87.85</v>
      </c>
      <c r="E139" s="3472">
        <v>9.34</v>
      </c>
      <c r="F139" s="3474" t="s">
        <v>3408</v>
      </c>
    </row>
    <row r="140" spans="1:6" ht="28.5" customHeight="1" thickBot="1">
      <c r="A140" s="3471">
        <v>139</v>
      </c>
      <c r="B140" s="3472" t="s">
        <v>3406</v>
      </c>
      <c r="C140" s="3473" t="s">
        <v>3550</v>
      </c>
      <c r="D140" s="3473">
        <v>146.01</v>
      </c>
      <c r="E140" s="3472">
        <v>15.53</v>
      </c>
      <c r="F140" s="3474" t="s">
        <v>3408</v>
      </c>
    </row>
    <row r="141" spans="1:6" ht="28.5" customHeight="1" thickBot="1">
      <c r="A141" s="3471">
        <v>140</v>
      </c>
      <c r="B141" s="3472" t="s">
        <v>3406</v>
      </c>
      <c r="C141" s="3473" t="s">
        <v>3551</v>
      </c>
      <c r="D141" s="3473">
        <v>118.41</v>
      </c>
      <c r="E141" s="3472">
        <v>12.6</v>
      </c>
      <c r="F141" s="3474" t="s">
        <v>3408</v>
      </c>
    </row>
    <row r="142" spans="1:6" ht="28.5" customHeight="1" thickBot="1">
      <c r="A142" s="3471">
        <v>141</v>
      </c>
      <c r="B142" s="3472" t="s">
        <v>3406</v>
      </c>
      <c r="C142" s="3473" t="s">
        <v>3552</v>
      </c>
      <c r="D142" s="3473">
        <v>119.43</v>
      </c>
      <c r="E142" s="3472">
        <v>12.7</v>
      </c>
      <c r="F142" s="3474" t="s">
        <v>3408</v>
      </c>
    </row>
    <row r="143" spans="1:6" ht="28.5" customHeight="1" thickBot="1">
      <c r="A143" s="3471">
        <v>142</v>
      </c>
      <c r="B143" s="3472" t="s">
        <v>3406</v>
      </c>
      <c r="C143" s="3473" t="s">
        <v>3553</v>
      </c>
      <c r="D143" s="3473">
        <v>117.68</v>
      </c>
      <c r="E143" s="3472">
        <v>12.52</v>
      </c>
      <c r="F143" s="3474" t="s">
        <v>3408</v>
      </c>
    </row>
    <row r="144" spans="1:6" ht="28.5" customHeight="1" thickBot="1">
      <c r="A144" s="3471">
        <v>143</v>
      </c>
      <c r="B144" s="3472" t="s">
        <v>3406</v>
      </c>
      <c r="C144" s="3473" t="s">
        <v>3554</v>
      </c>
      <c r="D144" s="3473">
        <v>174.11</v>
      </c>
      <c r="E144" s="3472">
        <v>18.52</v>
      </c>
      <c r="F144" s="3474" t="s">
        <v>3408</v>
      </c>
    </row>
    <row r="145" spans="1:6" ht="28.5" customHeight="1" thickBot="1">
      <c r="A145" s="3471">
        <v>144</v>
      </c>
      <c r="B145" s="3472" t="s">
        <v>3406</v>
      </c>
      <c r="C145" s="3473" t="s">
        <v>3555</v>
      </c>
      <c r="D145" s="3473">
        <v>87.85</v>
      </c>
      <c r="E145" s="3472">
        <v>9.34</v>
      </c>
      <c r="F145" s="3474" t="s">
        <v>3408</v>
      </c>
    </row>
    <row r="146" spans="1:6" ht="28.5" customHeight="1" thickBot="1">
      <c r="A146" s="3471">
        <v>145</v>
      </c>
      <c r="B146" s="3472" t="s">
        <v>3406</v>
      </c>
      <c r="C146" s="3473" t="s">
        <v>3556</v>
      </c>
      <c r="D146" s="3473">
        <v>146.01</v>
      </c>
      <c r="E146" s="3472">
        <v>15.53</v>
      </c>
      <c r="F146" s="3474" t="s">
        <v>3408</v>
      </c>
    </row>
    <row r="147" spans="1:6" ht="28.5" customHeight="1" thickBot="1">
      <c r="A147" s="3471">
        <v>146</v>
      </c>
      <c r="B147" s="3472" t="s">
        <v>3406</v>
      </c>
      <c r="C147" s="3473" t="s">
        <v>3557</v>
      </c>
      <c r="D147" s="3473">
        <v>118.41</v>
      </c>
      <c r="E147" s="3472">
        <v>12.6</v>
      </c>
      <c r="F147" s="3474" t="s">
        <v>3408</v>
      </c>
    </row>
    <row r="148" spans="1:6" ht="28.5" customHeight="1" thickBot="1">
      <c r="A148" s="3471">
        <v>147</v>
      </c>
      <c r="B148" s="3472" t="s">
        <v>3406</v>
      </c>
      <c r="C148" s="3473" t="s">
        <v>3558</v>
      </c>
      <c r="D148" s="3473">
        <v>119.43</v>
      </c>
      <c r="E148" s="3472">
        <v>12.7</v>
      </c>
      <c r="F148" s="3474" t="s">
        <v>3408</v>
      </c>
    </row>
    <row r="149" spans="1:6" ht="28.5" customHeight="1" thickBot="1">
      <c r="A149" s="3471">
        <v>148</v>
      </c>
      <c r="B149" s="3472" t="s">
        <v>3406</v>
      </c>
      <c r="C149" s="3473" t="s">
        <v>3559</v>
      </c>
      <c r="D149" s="3473">
        <v>117.68</v>
      </c>
      <c r="E149" s="3472">
        <v>12.52</v>
      </c>
      <c r="F149" s="3474" t="s">
        <v>3408</v>
      </c>
    </row>
    <row r="150" spans="1:6" ht="28.5" customHeight="1" thickBot="1">
      <c r="A150" s="3471">
        <v>149</v>
      </c>
      <c r="B150" s="3472" t="s">
        <v>3406</v>
      </c>
      <c r="C150" s="3473" t="s">
        <v>3560</v>
      </c>
      <c r="D150" s="3473">
        <v>174.11</v>
      </c>
      <c r="E150" s="3472">
        <v>18.52</v>
      </c>
      <c r="F150" s="3474" t="s">
        <v>3408</v>
      </c>
    </row>
    <row r="151" spans="1:6" ht="28.5" customHeight="1" thickBot="1">
      <c r="A151" s="3471">
        <v>150</v>
      </c>
      <c r="B151" s="3472" t="s">
        <v>3406</v>
      </c>
      <c r="C151" s="3473" t="s">
        <v>3561</v>
      </c>
      <c r="D151" s="3473">
        <v>87.85</v>
      </c>
      <c r="E151" s="3472">
        <v>9.34</v>
      </c>
      <c r="F151" s="3474" t="s">
        <v>3408</v>
      </c>
    </row>
    <row r="152" spans="1:6" ht="28.5" customHeight="1" thickBot="1">
      <c r="A152" s="3471">
        <v>151</v>
      </c>
      <c r="B152" s="3472" t="s">
        <v>3406</v>
      </c>
      <c r="C152" s="3473" t="s">
        <v>3562</v>
      </c>
      <c r="D152" s="3473">
        <v>146.01</v>
      </c>
      <c r="E152" s="3472">
        <v>15.53</v>
      </c>
      <c r="F152" s="3474" t="s">
        <v>3408</v>
      </c>
    </row>
    <row r="153" spans="1:6" ht="28.5" customHeight="1" thickBot="1">
      <c r="A153" s="3471">
        <v>152</v>
      </c>
      <c r="B153" s="3472" t="s">
        <v>3406</v>
      </c>
      <c r="C153" s="3473" t="s">
        <v>3563</v>
      </c>
      <c r="D153" s="3473">
        <v>118.41</v>
      </c>
      <c r="E153" s="3472">
        <v>12.6</v>
      </c>
      <c r="F153" s="3474" t="s">
        <v>3408</v>
      </c>
    </row>
    <row r="154" spans="1:6" ht="28.5" customHeight="1" thickBot="1">
      <c r="A154" s="3471">
        <v>153</v>
      </c>
      <c r="B154" s="3472" t="s">
        <v>3406</v>
      </c>
      <c r="C154" s="3473" t="s">
        <v>3564</v>
      </c>
      <c r="D154" s="3473">
        <v>119.43</v>
      </c>
      <c r="E154" s="3472">
        <v>12.7</v>
      </c>
      <c r="F154" s="3474" t="s">
        <v>3408</v>
      </c>
    </row>
    <row r="155" spans="1:6" ht="28.5" customHeight="1" thickBot="1">
      <c r="A155" s="3471">
        <v>154</v>
      </c>
      <c r="B155" s="3472" t="s">
        <v>3406</v>
      </c>
      <c r="C155" s="3473" t="s">
        <v>3565</v>
      </c>
      <c r="D155" s="3473">
        <v>117.68</v>
      </c>
      <c r="E155" s="3472">
        <v>12.52</v>
      </c>
      <c r="F155" s="3474" t="s">
        <v>3408</v>
      </c>
    </row>
    <row r="156" spans="1:6" ht="28.5" customHeight="1" thickBot="1">
      <c r="A156" s="3471">
        <v>155</v>
      </c>
      <c r="B156" s="3472" t="s">
        <v>3406</v>
      </c>
      <c r="C156" s="3473" t="s">
        <v>3566</v>
      </c>
      <c r="D156" s="3473">
        <v>174.11</v>
      </c>
      <c r="E156" s="3472">
        <v>18.52</v>
      </c>
      <c r="F156" s="3474" t="s">
        <v>3408</v>
      </c>
    </row>
    <row r="157" spans="1:6" ht="28.5" customHeight="1" thickBot="1">
      <c r="A157" s="3471">
        <v>156</v>
      </c>
      <c r="B157" s="3472" t="s">
        <v>3406</v>
      </c>
      <c r="C157" s="3473" t="s">
        <v>3567</v>
      </c>
      <c r="D157" s="3473">
        <v>87.85</v>
      </c>
      <c r="E157" s="3472">
        <v>9.34</v>
      </c>
      <c r="F157" s="3474" t="s">
        <v>3408</v>
      </c>
    </row>
    <row r="158" spans="1:6" ht="28.5" customHeight="1" thickBot="1">
      <c r="A158" s="3471">
        <v>157</v>
      </c>
      <c r="B158" s="3472" t="s">
        <v>3406</v>
      </c>
      <c r="C158" s="3473" t="s">
        <v>3568</v>
      </c>
      <c r="D158" s="3473">
        <v>146.01</v>
      </c>
      <c r="E158" s="3472">
        <v>15.53</v>
      </c>
      <c r="F158" s="3474" t="s">
        <v>3408</v>
      </c>
    </row>
    <row r="159" spans="1:6" ht="28.5" customHeight="1" thickBot="1">
      <c r="A159" s="3471">
        <v>158</v>
      </c>
      <c r="B159" s="3472" t="s">
        <v>3406</v>
      </c>
      <c r="C159" s="3473" t="s">
        <v>3569</v>
      </c>
      <c r="D159" s="3473">
        <v>118.41</v>
      </c>
      <c r="E159" s="3472">
        <v>12.6</v>
      </c>
      <c r="F159" s="3474" t="s">
        <v>3408</v>
      </c>
    </row>
    <row r="160" spans="1:6" ht="28.5" customHeight="1" thickBot="1">
      <c r="A160" s="3471">
        <v>159</v>
      </c>
      <c r="B160" s="3472" t="s">
        <v>3406</v>
      </c>
      <c r="C160" s="3473" t="s">
        <v>3570</v>
      </c>
      <c r="D160" s="3473">
        <v>119.43</v>
      </c>
      <c r="E160" s="3472">
        <v>12.7</v>
      </c>
      <c r="F160" s="3474" t="s">
        <v>3408</v>
      </c>
    </row>
    <row r="161" spans="1:6" ht="28.5" customHeight="1" thickBot="1">
      <c r="A161" s="3471">
        <v>160</v>
      </c>
      <c r="B161" s="3472" t="s">
        <v>3406</v>
      </c>
      <c r="C161" s="3473" t="s">
        <v>3571</v>
      </c>
      <c r="D161" s="3473">
        <v>117.68</v>
      </c>
      <c r="E161" s="3472">
        <v>12.52</v>
      </c>
      <c r="F161" s="3474" t="s">
        <v>3408</v>
      </c>
    </row>
    <row r="162" spans="1:6" ht="28.5" customHeight="1" thickBot="1">
      <c r="A162" s="3471">
        <v>161</v>
      </c>
      <c r="B162" s="3472" t="s">
        <v>3406</v>
      </c>
      <c r="C162" s="3473" t="s">
        <v>3572</v>
      </c>
      <c r="D162" s="3473">
        <v>174.11</v>
      </c>
      <c r="E162" s="3472">
        <v>18.52</v>
      </c>
      <c r="F162" s="3474" t="s">
        <v>3408</v>
      </c>
    </row>
    <row r="163" spans="1:6" ht="28.5" customHeight="1" thickBot="1">
      <c r="A163" s="3471">
        <v>162</v>
      </c>
      <c r="B163" s="3472" t="s">
        <v>3406</v>
      </c>
      <c r="C163" s="3473" t="s">
        <v>3573</v>
      </c>
      <c r="D163" s="3473">
        <v>87.85</v>
      </c>
      <c r="E163" s="3472">
        <v>9.34</v>
      </c>
      <c r="F163" s="3474" t="s">
        <v>3408</v>
      </c>
    </row>
    <row r="164" spans="1:6" ht="28.5" customHeight="1" thickBot="1">
      <c r="A164" s="3471">
        <v>163</v>
      </c>
      <c r="B164" s="3472" t="s">
        <v>3406</v>
      </c>
      <c r="C164" s="3473" t="s">
        <v>3574</v>
      </c>
      <c r="D164" s="3473">
        <v>146.01</v>
      </c>
      <c r="E164" s="3472">
        <v>15.53</v>
      </c>
      <c r="F164" s="3474" t="s">
        <v>3408</v>
      </c>
    </row>
    <row r="165" spans="1:6" ht="28.5" customHeight="1" thickBot="1">
      <c r="A165" s="3471">
        <v>164</v>
      </c>
      <c r="B165" s="3472" t="s">
        <v>3406</v>
      </c>
      <c r="C165" s="3473" t="s">
        <v>3575</v>
      </c>
      <c r="D165" s="3473">
        <v>118.41</v>
      </c>
      <c r="E165" s="3472">
        <v>12.6</v>
      </c>
      <c r="F165" s="3474" t="s">
        <v>3408</v>
      </c>
    </row>
    <row r="166" spans="1:6" ht="28.5" customHeight="1" thickBot="1">
      <c r="A166" s="3471">
        <v>165</v>
      </c>
      <c r="B166" s="3472" t="s">
        <v>3406</v>
      </c>
      <c r="C166" s="3473" t="s">
        <v>3576</v>
      </c>
      <c r="D166" s="3473">
        <v>119.43</v>
      </c>
      <c r="E166" s="3472">
        <v>12.7</v>
      </c>
      <c r="F166" s="3474" t="s">
        <v>3408</v>
      </c>
    </row>
    <row r="167" spans="1:6" ht="28.5" customHeight="1" thickBot="1">
      <c r="A167" s="3471">
        <v>166</v>
      </c>
      <c r="B167" s="3472" t="s">
        <v>3406</v>
      </c>
      <c r="C167" s="3473" t="s">
        <v>3577</v>
      </c>
      <c r="D167" s="3473">
        <v>117.68</v>
      </c>
      <c r="E167" s="3472">
        <v>12.52</v>
      </c>
      <c r="F167" s="3474" t="s">
        <v>3408</v>
      </c>
    </row>
    <row r="168" spans="1:6" ht="28.5" customHeight="1" thickBot="1">
      <c r="A168" s="3471">
        <v>167</v>
      </c>
      <c r="B168" s="3472" t="s">
        <v>3406</v>
      </c>
      <c r="C168" s="3473" t="s">
        <v>3578</v>
      </c>
      <c r="D168" s="3473">
        <v>174.11</v>
      </c>
      <c r="E168" s="3472">
        <v>18.52</v>
      </c>
      <c r="F168" s="3474" t="s">
        <v>3408</v>
      </c>
    </row>
    <row r="169" spans="1:6" ht="28.5" customHeight="1" thickBot="1">
      <c r="A169" s="3471">
        <v>168</v>
      </c>
      <c r="B169" s="3472" t="s">
        <v>3406</v>
      </c>
      <c r="C169" s="3473" t="s">
        <v>3579</v>
      </c>
      <c r="D169" s="3473">
        <v>87.85</v>
      </c>
      <c r="E169" s="3472">
        <v>9.34</v>
      </c>
      <c r="F169" s="3474" t="s">
        <v>3408</v>
      </c>
    </row>
    <row r="170" spans="1:6" ht="28.5" customHeight="1" thickBot="1">
      <c r="A170" s="3471">
        <v>169</v>
      </c>
      <c r="B170" s="3472" t="s">
        <v>3406</v>
      </c>
      <c r="C170" s="3473" t="s">
        <v>3580</v>
      </c>
      <c r="D170" s="3473">
        <v>146.01</v>
      </c>
      <c r="E170" s="3472">
        <v>15.53</v>
      </c>
      <c r="F170" s="3474" t="s">
        <v>3408</v>
      </c>
    </row>
    <row r="171" spans="1:6" ht="28.5" customHeight="1" thickBot="1">
      <c r="A171" s="3471">
        <v>170</v>
      </c>
      <c r="B171" s="3472" t="s">
        <v>3406</v>
      </c>
      <c r="C171" s="3473" t="s">
        <v>3581</v>
      </c>
      <c r="D171" s="3473">
        <v>118.41</v>
      </c>
      <c r="E171" s="3472">
        <v>12.6</v>
      </c>
      <c r="F171" s="3474" t="s">
        <v>3408</v>
      </c>
    </row>
    <row r="172" spans="1:6" ht="28.5" customHeight="1" thickBot="1">
      <c r="A172" s="3471">
        <v>171</v>
      </c>
      <c r="B172" s="3472" t="s">
        <v>3406</v>
      </c>
      <c r="C172" s="3473" t="s">
        <v>3582</v>
      </c>
      <c r="D172" s="3473">
        <v>119.43</v>
      </c>
      <c r="E172" s="3472">
        <v>12.7</v>
      </c>
      <c r="F172" s="3474" t="s">
        <v>3408</v>
      </c>
    </row>
    <row r="173" spans="1:6" ht="28.5" customHeight="1" thickBot="1">
      <c r="A173" s="3471">
        <v>172</v>
      </c>
      <c r="B173" s="3472" t="s">
        <v>3406</v>
      </c>
      <c r="C173" s="3473" t="s">
        <v>3583</v>
      </c>
      <c r="D173" s="3473">
        <v>117.68</v>
      </c>
      <c r="E173" s="3472">
        <v>12.52</v>
      </c>
      <c r="F173" s="3474" t="s">
        <v>3408</v>
      </c>
    </row>
    <row r="174" spans="1:6" ht="28.5" customHeight="1" thickBot="1">
      <c r="A174" s="3471">
        <v>173</v>
      </c>
      <c r="B174" s="3472" t="s">
        <v>3406</v>
      </c>
      <c r="C174" s="3473" t="s">
        <v>3584</v>
      </c>
      <c r="D174" s="3473">
        <v>174.11</v>
      </c>
      <c r="E174" s="3472">
        <v>18.52</v>
      </c>
      <c r="F174" s="3474" t="s">
        <v>3408</v>
      </c>
    </row>
    <row r="175" spans="1:6" ht="28.5" customHeight="1" thickBot="1">
      <c r="A175" s="3471">
        <v>174</v>
      </c>
      <c r="B175" s="3472" t="s">
        <v>3406</v>
      </c>
      <c r="C175" s="3473" t="s">
        <v>3585</v>
      </c>
      <c r="D175" s="3473">
        <v>87.85</v>
      </c>
      <c r="E175" s="3472">
        <v>9.34</v>
      </c>
      <c r="F175" s="3474" t="s">
        <v>3408</v>
      </c>
    </row>
    <row r="176" spans="1:6" ht="28.5" customHeight="1" thickBot="1">
      <c r="A176" s="3471">
        <v>175</v>
      </c>
      <c r="B176" s="3472" t="s">
        <v>3741</v>
      </c>
      <c r="C176" s="3501">
        <v>3701</v>
      </c>
      <c r="D176" s="3473">
        <v>146.01</v>
      </c>
      <c r="E176" s="3500">
        <f>ROUND(D176*$H$349,2)</f>
        <v>15.53</v>
      </c>
      <c r="F176" s="3474"/>
    </row>
    <row r="177" spans="1:6" ht="28.5" customHeight="1" thickBot="1">
      <c r="A177" s="3471">
        <v>176</v>
      </c>
      <c r="B177" s="3472" t="s">
        <v>3741</v>
      </c>
      <c r="C177" s="3473">
        <v>3702</v>
      </c>
      <c r="D177" s="3473">
        <v>118.41</v>
      </c>
      <c r="E177" s="3500">
        <f t="shared" ref="E177:E204" si="0">ROUND(D177*$H$349,2)</f>
        <v>12.59</v>
      </c>
      <c r="F177" s="3474"/>
    </row>
    <row r="178" spans="1:6" ht="28.5" customHeight="1" thickBot="1">
      <c r="A178" s="3471">
        <v>177</v>
      </c>
      <c r="B178" s="3472" t="s">
        <v>3741</v>
      </c>
      <c r="C178" s="3473">
        <v>3703</v>
      </c>
      <c r="D178" s="3473">
        <v>119.43</v>
      </c>
      <c r="E178" s="3500">
        <f t="shared" si="0"/>
        <v>12.7</v>
      </c>
      <c r="F178" s="3474"/>
    </row>
    <row r="179" spans="1:6" ht="28.5" customHeight="1" thickBot="1">
      <c r="A179" s="3471">
        <v>178</v>
      </c>
      <c r="B179" s="3472" t="s">
        <v>3741</v>
      </c>
      <c r="C179" s="3473">
        <v>3704</v>
      </c>
      <c r="D179" s="3473">
        <v>117.68</v>
      </c>
      <c r="E179" s="3500">
        <f t="shared" si="0"/>
        <v>12.51</v>
      </c>
      <c r="F179" s="3474"/>
    </row>
    <row r="180" spans="1:6" ht="28.5" customHeight="1" thickBot="1">
      <c r="A180" s="3471">
        <v>179</v>
      </c>
      <c r="B180" s="3472" t="s">
        <v>3742</v>
      </c>
      <c r="C180" s="3473">
        <v>3705</v>
      </c>
      <c r="D180" s="3473">
        <v>174.11</v>
      </c>
      <c r="E180" s="3500">
        <f t="shared" si="0"/>
        <v>18.510000000000002</v>
      </c>
      <c r="F180" s="3474"/>
    </row>
    <row r="181" spans="1:6" ht="28.5" customHeight="1" thickBot="1">
      <c r="A181" s="3471">
        <v>180</v>
      </c>
      <c r="B181" s="3472" t="s">
        <v>3741</v>
      </c>
      <c r="C181" s="3501">
        <v>3706</v>
      </c>
      <c r="D181" s="3502">
        <v>87.85</v>
      </c>
      <c r="E181" s="3500">
        <f t="shared" si="0"/>
        <v>9.34</v>
      </c>
      <c r="F181" s="3474"/>
    </row>
    <row r="182" spans="1:6" ht="28.5" customHeight="1" thickBot="1">
      <c r="A182" s="3471">
        <v>181</v>
      </c>
      <c r="B182" s="3472" t="s">
        <v>3741</v>
      </c>
      <c r="C182" s="3473">
        <v>3801</v>
      </c>
      <c r="D182" s="3502">
        <v>146.01</v>
      </c>
      <c r="E182" s="3500">
        <f t="shared" si="0"/>
        <v>15.53</v>
      </c>
      <c r="F182" s="3474"/>
    </row>
    <row r="183" spans="1:6" ht="28.5" customHeight="1" thickBot="1">
      <c r="A183" s="3471">
        <v>182</v>
      </c>
      <c r="B183" s="3472" t="s">
        <v>3741</v>
      </c>
      <c r="C183" s="3473">
        <v>3802</v>
      </c>
      <c r="D183" s="3502">
        <v>118.41</v>
      </c>
      <c r="E183" s="3500">
        <f t="shared" si="0"/>
        <v>12.59</v>
      </c>
      <c r="F183" s="3474"/>
    </row>
    <row r="184" spans="1:6" ht="28.5" customHeight="1" thickBot="1">
      <c r="A184" s="3471">
        <v>183</v>
      </c>
      <c r="B184" s="3472" t="s">
        <v>3741</v>
      </c>
      <c r="C184" s="3473">
        <v>3803</v>
      </c>
      <c r="D184" s="3502">
        <v>119.43</v>
      </c>
      <c r="E184" s="3500">
        <f t="shared" si="0"/>
        <v>12.7</v>
      </c>
      <c r="F184" s="3474"/>
    </row>
    <row r="185" spans="1:6" ht="28.5" customHeight="1" thickBot="1">
      <c r="A185" s="3471">
        <v>184</v>
      </c>
      <c r="B185" s="3472" t="s">
        <v>3741</v>
      </c>
      <c r="C185" s="3473">
        <v>3804</v>
      </c>
      <c r="D185" s="3502">
        <v>117.68</v>
      </c>
      <c r="E185" s="3500">
        <f t="shared" si="0"/>
        <v>12.51</v>
      </c>
      <c r="F185" s="3474"/>
    </row>
    <row r="186" spans="1:6" ht="28.5" customHeight="1" thickBot="1">
      <c r="A186" s="3471">
        <v>185</v>
      </c>
      <c r="B186" s="3472" t="s">
        <v>3741</v>
      </c>
      <c r="C186" s="3473">
        <v>3805</v>
      </c>
      <c r="D186" s="3502">
        <v>174.11</v>
      </c>
      <c r="E186" s="3500">
        <f t="shared" si="0"/>
        <v>18.510000000000002</v>
      </c>
      <c r="F186" s="3474"/>
    </row>
    <row r="187" spans="1:6" ht="28.5" customHeight="1" thickBot="1">
      <c r="A187" s="3471">
        <v>186</v>
      </c>
      <c r="B187" s="3472" t="s">
        <v>3741</v>
      </c>
      <c r="C187" s="3473">
        <v>3806</v>
      </c>
      <c r="D187" s="3502">
        <v>87.85</v>
      </c>
      <c r="E187" s="3500">
        <f t="shared" si="0"/>
        <v>9.34</v>
      </c>
      <c r="F187" s="3474"/>
    </row>
    <row r="188" spans="1:6" ht="28.5" customHeight="1" thickBot="1">
      <c r="A188" s="3471">
        <v>187</v>
      </c>
      <c r="B188" s="3472" t="s">
        <v>3741</v>
      </c>
      <c r="C188" s="3473">
        <v>3901</v>
      </c>
      <c r="D188" s="3502">
        <v>146.01</v>
      </c>
      <c r="E188" s="3500">
        <f t="shared" si="0"/>
        <v>15.53</v>
      </c>
      <c r="F188" s="3474"/>
    </row>
    <row r="189" spans="1:6" ht="28.5" customHeight="1" thickBot="1">
      <c r="A189" s="3471">
        <v>188</v>
      </c>
      <c r="B189" s="3472" t="s">
        <v>3741</v>
      </c>
      <c r="C189" s="3473">
        <v>3902</v>
      </c>
      <c r="D189" s="3502">
        <v>118.41</v>
      </c>
      <c r="E189" s="3500">
        <f t="shared" si="0"/>
        <v>12.59</v>
      </c>
      <c r="F189" s="3474"/>
    </row>
    <row r="190" spans="1:6" ht="28.5" customHeight="1" thickBot="1">
      <c r="A190" s="3471">
        <v>189</v>
      </c>
      <c r="B190" s="3472" t="s">
        <v>3741</v>
      </c>
      <c r="C190" s="3473">
        <v>3903</v>
      </c>
      <c r="D190" s="3502">
        <v>119.43</v>
      </c>
      <c r="E190" s="3500">
        <f t="shared" si="0"/>
        <v>12.7</v>
      </c>
      <c r="F190" s="3474"/>
    </row>
    <row r="191" spans="1:6" ht="28.5" customHeight="1" thickBot="1">
      <c r="A191" s="3471">
        <v>190</v>
      </c>
      <c r="B191" s="3472" t="s">
        <v>3741</v>
      </c>
      <c r="C191" s="3473">
        <v>3904</v>
      </c>
      <c r="D191" s="3502">
        <v>117.68</v>
      </c>
      <c r="E191" s="3500">
        <f t="shared" si="0"/>
        <v>12.51</v>
      </c>
      <c r="F191" s="3474"/>
    </row>
    <row r="192" spans="1:6" ht="28.5" customHeight="1" thickBot="1">
      <c r="A192" s="3471">
        <v>191</v>
      </c>
      <c r="B192" s="3472" t="s">
        <v>3741</v>
      </c>
      <c r="C192" s="3473">
        <v>3905</v>
      </c>
      <c r="D192" s="3502">
        <v>174.11</v>
      </c>
      <c r="E192" s="3500">
        <f t="shared" si="0"/>
        <v>18.510000000000002</v>
      </c>
      <c r="F192" s="3474"/>
    </row>
    <row r="193" spans="1:6" ht="28.5" customHeight="1" thickBot="1">
      <c r="A193" s="3471">
        <v>192</v>
      </c>
      <c r="B193" s="3472" t="s">
        <v>3741</v>
      </c>
      <c r="C193" s="3473">
        <v>3906</v>
      </c>
      <c r="D193" s="3502">
        <v>87.85</v>
      </c>
      <c r="E193" s="3500">
        <f t="shared" si="0"/>
        <v>9.34</v>
      </c>
      <c r="F193" s="3474"/>
    </row>
    <row r="194" spans="1:6" ht="28.5" customHeight="1" thickBot="1">
      <c r="A194" s="3471">
        <v>193</v>
      </c>
      <c r="B194" s="3472" t="s">
        <v>3741</v>
      </c>
      <c r="C194" s="3473">
        <v>4001</v>
      </c>
      <c r="D194" s="3502">
        <v>146.01</v>
      </c>
      <c r="E194" s="3500">
        <f t="shared" si="0"/>
        <v>15.53</v>
      </c>
      <c r="F194" s="3474"/>
    </row>
    <row r="195" spans="1:6" ht="28.5" customHeight="1" thickBot="1">
      <c r="A195" s="3471">
        <v>194</v>
      </c>
      <c r="B195" s="3472" t="s">
        <v>3741</v>
      </c>
      <c r="C195" s="3473">
        <v>4002</v>
      </c>
      <c r="D195" s="3502">
        <v>118.41</v>
      </c>
      <c r="E195" s="3500">
        <f t="shared" si="0"/>
        <v>12.59</v>
      </c>
      <c r="F195" s="3474"/>
    </row>
    <row r="196" spans="1:6" ht="28.5" customHeight="1" thickBot="1">
      <c r="A196" s="3471">
        <v>195</v>
      </c>
      <c r="B196" s="3472" t="s">
        <v>3741</v>
      </c>
      <c r="C196" s="3473">
        <v>4003</v>
      </c>
      <c r="D196" s="3502">
        <v>119.43</v>
      </c>
      <c r="E196" s="3500">
        <f t="shared" si="0"/>
        <v>12.7</v>
      </c>
      <c r="F196" s="3474"/>
    </row>
    <row r="197" spans="1:6" ht="28.5" customHeight="1" thickBot="1">
      <c r="A197" s="3471">
        <v>196</v>
      </c>
      <c r="B197" s="3472" t="s">
        <v>3741</v>
      </c>
      <c r="C197" s="3473">
        <v>4004</v>
      </c>
      <c r="D197" s="3502">
        <v>117.68</v>
      </c>
      <c r="E197" s="3500">
        <f t="shared" si="0"/>
        <v>12.51</v>
      </c>
      <c r="F197" s="3474"/>
    </row>
    <row r="198" spans="1:6" ht="28.5" customHeight="1" thickBot="1">
      <c r="A198" s="3471">
        <v>197</v>
      </c>
      <c r="B198" s="3472" t="s">
        <v>3741</v>
      </c>
      <c r="C198" s="3473">
        <v>4005</v>
      </c>
      <c r="D198" s="3502">
        <v>174.11</v>
      </c>
      <c r="E198" s="3500">
        <f t="shared" si="0"/>
        <v>18.510000000000002</v>
      </c>
      <c r="F198" s="3474"/>
    </row>
    <row r="199" spans="1:6" ht="28.5" customHeight="1" thickBot="1">
      <c r="A199" s="3471">
        <v>198</v>
      </c>
      <c r="B199" s="3472" t="s">
        <v>3741</v>
      </c>
      <c r="C199" s="3473">
        <v>4006</v>
      </c>
      <c r="D199" s="3502">
        <v>87.85</v>
      </c>
      <c r="E199" s="3500">
        <f t="shared" si="0"/>
        <v>9.34</v>
      </c>
      <c r="F199" s="3474"/>
    </row>
    <row r="200" spans="1:6" ht="28.5" customHeight="1" thickBot="1">
      <c r="A200" s="3471">
        <v>199</v>
      </c>
      <c r="B200" s="3472" t="s">
        <v>3741</v>
      </c>
      <c r="C200" s="3473">
        <v>4101</v>
      </c>
      <c r="D200" s="3502">
        <v>144.96</v>
      </c>
      <c r="E200" s="3500">
        <f t="shared" si="0"/>
        <v>15.41</v>
      </c>
      <c r="F200" s="3474"/>
    </row>
    <row r="201" spans="1:6" ht="28.5" customHeight="1" thickBot="1">
      <c r="A201" s="3471">
        <v>200</v>
      </c>
      <c r="B201" s="3472" t="s">
        <v>3741</v>
      </c>
      <c r="C201" s="3473">
        <v>4102</v>
      </c>
      <c r="D201" s="3502">
        <v>117.38</v>
      </c>
      <c r="E201" s="3500">
        <f t="shared" si="0"/>
        <v>12.48</v>
      </c>
      <c r="F201" s="3474"/>
    </row>
    <row r="202" spans="1:6" ht="28.5" customHeight="1" thickBot="1">
      <c r="A202" s="3471">
        <v>201</v>
      </c>
      <c r="B202" s="3472" t="s">
        <v>3741</v>
      </c>
      <c r="C202" s="3473">
        <v>4103</v>
      </c>
      <c r="D202" s="3502">
        <v>118.71</v>
      </c>
      <c r="E202" s="3500">
        <f t="shared" si="0"/>
        <v>12.62</v>
      </c>
      <c r="F202" s="3474"/>
    </row>
    <row r="203" spans="1:6" ht="28.5" customHeight="1" thickBot="1">
      <c r="A203" s="3471">
        <v>202</v>
      </c>
      <c r="B203" s="3472" t="s">
        <v>3741</v>
      </c>
      <c r="C203" s="3473">
        <v>4104</v>
      </c>
      <c r="D203" s="3502">
        <v>200.95</v>
      </c>
      <c r="E203" s="3500">
        <f t="shared" si="0"/>
        <v>21.37</v>
      </c>
      <c r="F203" s="3474"/>
    </row>
    <row r="204" spans="1:6" ht="28.5" customHeight="1" thickBot="1">
      <c r="A204" s="3471">
        <v>203</v>
      </c>
      <c r="B204" s="3472" t="s">
        <v>3741</v>
      </c>
      <c r="C204" s="3473">
        <v>4105</v>
      </c>
      <c r="D204" s="3502">
        <v>87.6</v>
      </c>
      <c r="E204" s="3500">
        <f t="shared" si="0"/>
        <v>9.32</v>
      </c>
      <c r="F204" s="3474"/>
    </row>
    <row r="205" spans="1:6" ht="28.5" customHeight="1" thickBot="1">
      <c r="A205" s="3471">
        <v>204</v>
      </c>
      <c r="B205" s="3472" t="s">
        <v>3406</v>
      </c>
      <c r="C205" s="3473" t="s">
        <v>3586</v>
      </c>
      <c r="D205" s="3473">
        <v>169.27</v>
      </c>
      <c r="E205" s="3472">
        <v>18.010000000000002</v>
      </c>
      <c r="F205" s="3474" t="s">
        <v>3408</v>
      </c>
    </row>
    <row r="206" spans="1:6" ht="28.5" customHeight="1" thickBot="1">
      <c r="A206" s="3471">
        <v>205</v>
      </c>
      <c r="B206" s="3472" t="s">
        <v>3406</v>
      </c>
      <c r="C206" s="3473" t="s">
        <v>3587</v>
      </c>
      <c r="D206" s="3473">
        <v>177.09</v>
      </c>
      <c r="E206" s="3472">
        <v>18.84</v>
      </c>
      <c r="F206" s="3474" t="s">
        <v>3408</v>
      </c>
    </row>
    <row r="207" spans="1:6" ht="28.5" customHeight="1" thickBot="1">
      <c r="A207" s="3471">
        <v>206</v>
      </c>
      <c r="B207" s="3472" t="s">
        <v>3406</v>
      </c>
      <c r="C207" s="3473" t="s">
        <v>3588</v>
      </c>
      <c r="D207" s="3473">
        <v>114.54</v>
      </c>
      <c r="E207" s="3472">
        <v>12.18</v>
      </c>
      <c r="F207" s="3474" t="s">
        <v>3408</v>
      </c>
    </row>
    <row r="208" spans="1:6" ht="28.5" customHeight="1" thickBot="1">
      <c r="A208" s="3471">
        <v>207</v>
      </c>
      <c r="B208" s="3472" t="s">
        <v>3406</v>
      </c>
      <c r="C208" s="3473" t="s">
        <v>3589</v>
      </c>
      <c r="D208" s="3473">
        <v>160.5</v>
      </c>
      <c r="E208" s="3472">
        <v>17.07</v>
      </c>
      <c r="F208" s="3474" t="s">
        <v>3408</v>
      </c>
    </row>
    <row r="209" spans="1:6" ht="28.5" customHeight="1" thickBot="1">
      <c r="A209" s="3471">
        <v>208</v>
      </c>
      <c r="B209" s="3472" t="s">
        <v>3406</v>
      </c>
      <c r="C209" s="3473" t="s">
        <v>3590</v>
      </c>
      <c r="D209" s="3473">
        <v>139.93</v>
      </c>
      <c r="E209" s="3472">
        <v>14.88</v>
      </c>
      <c r="F209" s="3474" t="s">
        <v>3408</v>
      </c>
    </row>
    <row r="210" spans="1:6" ht="28.5" customHeight="1" thickBot="1">
      <c r="A210" s="3471">
        <v>209</v>
      </c>
      <c r="B210" s="3472" t="s">
        <v>3406</v>
      </c>
      <c r="C210" s="3473" t="s">
        <v>3591</v>
      </c>
      <c r="D210" s="3473">
        <v>169.27</v>
      </c>
      <c r="E210" s="3472">
        <v>18.010000000000002</v>
      </c>
      <c r="F210" s="3474" t="s">
        <v>3408</v>
      </c>
    </row>
    <row r="211" spans="1:6" ht="28.5" customHeight="1" thickBot="1">
      <c r="A211" s="3471">
        <v>210</v>
      </c>
      <c r="B211" s="3472" t="s">
        <v>3406</v>
      </c>
      <c r="C211" s="3473" t="s">
        <v>3592</v>
      </c>
      <c r="D211" s="3473">
        <v>177.09</v>
      </c>
      <c r="E211" s="3472">
        <v>18.84</v>
      </c>
      <c r="F211" s="3474" t="s">
        <v>3408</v>
      </c>
    </row>
    <row r="212" spans="1:6" ht="28.5" customHeight="1" thickBot="1">
      <c r="A212" s="3471">
        <v>211</v>
      </c>
      <c r="B212" s="3472" t="s">
        <v>3406</v>
      </c>
      <c r="C212" s="3473" t="s">
        <v>3593</v>
      </c>
      <c r="D212" s="3473">
        <v>114.54</v>
      </c>
      <c r="E212" s="3472">
        <v>12.18</v>
      </c>
      <c r="F212" s="3474" t="s">
        <v>3408</v>
      </c>
    </row>
    <row r="213" spans="1:6" ht="28.5" customHeight="1" thickBot="1">
      <c r="A213" s="3471">
        <v>212</v>
      </c>
      <c r="B213" s="3472" t="s">
        <v>3406</v>
      </c>
      <c r="C213" s="3473" t="s">
        <v>3594</v>
      </c>
      <c r="D213" s="3473">
        <v>160.5</v>
      </c>
      <c r="E213" s="3472">
        <v>17.07</v>
      </c>
      <c r="F213" s="3474" t="s">
        <v>3408</v>
      </c>
    </row>
    <row r="214" spans="1:6" ht="28.5" customHeight="1" thickBot="1">
      <c r="A214" s="3471">
        <v>213</v>
      </c>
      <c r="B214" s="3472" t="s">
        <v>3406</v>
      </c>
      <c r="C214" s="3473" t="s">
        <v>3595</v>
      </c>
      <c r="D214" s="3473">
        <v>139.93</v>
      </c>
      <c r="E214" s="3472">
        <v>14.88</v>
      </c>
      <c r="F214" s="3474" t="s">
        <v>3408</v>
      </c>
    </row>
    <row r="215" spans="1:6" ht="28.5" customHeight="1" thickBot="1">
      <c r="A215" s="3471">
        <v>214</v>
      </c>
      <c r="B215" s="3472" t="s">
        <v>3406</v>
      </c>
      <c r="C215" s="3473" t="s">
        <v>3596</v>
      </c>
      <c r="D215" s="3473">
        <v>169.27</v>
      </c>
      <c r="E215" s="3472">
        <v>18.010000000000002</v>
      </c>
      <c r="F215" s="3474" t="s">
        <v>3408</v>
      </c>
    </row>
    <row r="216" spans="1:6" ht="28.5" customHeight="1" thickBot="1">
      <c r="A216" s="3471">
        <v>215</v>
      </c>
      <c r="B216" s="3472" t="s">
        <v>3406</v>
      </c>
      <c r="C216" s="3473" t="s">
        <v>3597</v>
      </c>
      <c r="D216" s="3473">
        <v>177.09</v>
      </c>
      <c r="E216" s="3472">
        <v>18.84</v>
      </c>
      <c r="F216" s="3474" t="s">
        <v>3408</v>
      </c>
    </row>
    <row r="217" spans="1:6" ht="28.5" customHeight="1" thickBot="1">
      <c r="A217" s="3471">
        <v>216</v>
      </c>
      <c r="B217" s="3472" t="s">
        <v>3406</v>
      </c>
      <c r="C217" s="3473" t="s">
        <v>3598</v>
      </c>
      <c r="D217" s="3473">
        <v>114.54</v>
      </c>
      <c r="E217" s="3472">
        <v>12.18</v>
      </c>
      <c r="F217" s="3474" t="s">
        <v>3408</v>
      </c>
    </row>
    <row r="218" spans="1:6" ht="28.5" customHeight="1" thickBot="1">
      <c r="A218" s="3471">
        <v>217</v>
      </c>
      <c r="B218" s="3472" t="s">
        <v>3406</v>
      </c>
      <c r="C218" s="3473" t="s">
        <v>3599</v>
      </c>
      <c r="D218" s="3473">
        <v>160.5</v>
      </c>
      <c r="E218" s="3472">
        <v>17.07</v>
      </c>
      <c r="F218" s="3474" t="s">
        <v>3408</v>
      </c>
    </row>
    <row r="219" spans="1:6" ht="28.5" customHeight="1" thickBot="1">
      <c r="A219" s="3471">
        <v>218</v>
      </c>
      <c r="B219" s="3472" t="s">
        <v>3406</v>
      </c>
      <c r="C219" s="3473" t="s">
        <v>3600</v>
      </c>
      <c r="D219" s="3473">
        <v>139.93</v>
      </c>
      <c r="E219" s="3472">
        <v>14.88</v>
      </c>
      <c r="F219" s="3474" t="s">
        <v>3408</v>
      </c>
    </row>
    <row r="220" spans="1:6" ht="28.5" customHeight="1" thickBot="1">
      <c r="A220" s="3471">
        <v>219</v>
      </c>
      <c r="B220" s="3472" t="s">
        <v>3406</v>
      </c>
      <c r="C220" s="3473" t="s">
        <v>3601</v>
      </c>
      <c r="D220" s="3473">
        <v>169.27</v>
      </c>
      <c r="E220" s="3472">
        <v>18.010000000000002</v>
      </c>
      <c r="F220" s="3474" t="s">
        <v>3408</v>
      </c>
    </row>
    <row r="221" spans="1:6" ht="28.5" customHeight="1" thickBot="1">
      <c r="A221" s="3471">
        <v>220</v>
      </c>
      <c r="B221" s="3472" t="s">
        <v>3406</v>
      </c>
      <c r="C221" s="3473" t="s">
        <v>3602</v>
      </c>
      <c r="D221" s="3473">
        <v>177.09</v>
      </c>
      <c r="E221" s="3472">
        <v>18.84</v>
      </c>
      <c r="F221" s="3474" t="s">
        <v>3408</v>
      </c>
    </row>
    <row r="222" spans="1:6" ht="28.5" customHeight="1" thickBot="1">
      <c r="A222" s="3471">
        <v>221</v>
      </c>
      <c r="B222" s="3472" t="s">
        <v>3406</v>
      </c>
      <c r="C222" s="3473" t="s">
        <v>3603</v>
      </c>
      <c r="D222" s="3473">
        <v>114.54</v>
      </c>
      <c r="E222" s="3472">
        <v>12.18</v>
      </c>
      <c r="F222" s="3474" t="s">
        <v>3408</v>
      </c>
    </row>
    <row r="223" spans="1:6" ht="28.5" customHeight="1" thickBot="1">
      <c r="A223" s="3471">
        <v>222</v>
      </c>
      <c r="B223" s="3472" t="s">
        <v>3406</v>
      </c>
      <c r="C223" s="3473" t="s">
        <v>3604</v>
      </c>
      <c r="D223" s="3473">
        <v>160.5</v>
      </c>
      <c r="E223" s="3472">
        <v>17.07</v>
      </c>
      <c r="F223" s="3474" t="s">
        <v>3408</v>
      </c>
    </row>
    <row r="224" spans="1:6" ht="28.5" customHeight="1" thickBot="1">
      <c r="A224" s="3471">
        <v>223</v>
      </c>
      <c r="B224" s="3472" t="s">
        <v>3406</v>
      </c>
      <c r="C224" s="3473" t="s">
        <v>3605</v>
      </c>
      <c r="D224" s="3473">
        <v>139.93</v>
      </c>
      <c r="E224" s="3472">
        <v>14.88</v>
      </c>
      <c r="F224" s="3474" t="s">
        <v>3408</v>
      </c>
    </row>
    <row r="225" spans="1:6" ht="28.5" customHeight="1" thickBot="1">
      <c r="A225" s="3471">
        <v>224</v>
      </c>
      <c r="B225" s="3472" t="s">
        <v>3406</v>
      </c>
      <c r="C225" s="3473" t="s">
        <v>3606</v>
      </c>
      <c r="D225" s="3473">
        <v>169.27</v>
      </c>
      <c r="E225" s="3472">
        <v>18.010000000000002</v>
      </c>
      <c r="F225" s="3474" t="s">
        <v>3408</v>
      </c>
    </row>
    <row r="226" spans="1:6" ht="28.5" customHeight="1" thickBot="1">
      <c r="A226" s="3471">
        <v>225</v>
      </c>
      <c r="B226" s="3472" t="s">
        <v>3406</v>
      </c>
      <c r="C226" s="3473" t="s">
        <v>3607</v>
      </c>
      <c r="D226" s="3473">
        <v>177.09</v>
      </c>
      <c r="E226" s="3472">
        <v>18.84</v>
      </c>
      <c r="F226" s="3474" t="s">
        <v>3408</v>
      </c>
    </row>
    <row r="227" spans="1:6" ht="28.5" customHeight="1" thickBot="1">
      <c r="A227" s="3471">
        <v>226</v>
      </c>
      <c r="B227" s="3472" t="s">
        <v>3406</v>
      </c>
      <c r="C227" s="3473" t="s">
        <v>3608</v>
      </c>
      <c r="D227" s="3473">
        <v>114.54</v>
      </c>
      <c r="E227" s="3472">
        <v>12.18</v>
      </c>
      <c r="F227" s="3474" t="s">
        <v>3408</v>
      </c>
    </row>
    <row r="228" spans="1:6" ht="28.5" customHeight="1" thickBot="1">
      <c r="A228" s="3471">
        <v>227</v>
      </c>
      <c r="B228" s="3472" t="s">
        <v>3406</v>
      </c>
      <c r="C228" s="3473" t="s">
        <v>3609</v>
      </c>
      <c r="D228" s="3473">
        <v>160.5</v>
      </c>
      <c r="E228" s="3472">
        <v>17.07</v>
      </c>
      <c r="F228" s="3474" t="s">
        <v>3408</v>
      </c>
    </row>
    <row r="229" spans="1:6" ht="28.5" customHeight="1" thickBot="1">
      <c r="A229" s="3471">
        <v>228</v>
      </c>
      <c r="B229" s="3472" t="s">
        <v>3406</v>
      </c>
      <c r="C229" s="3473" t="s">
        <v>3610</v>
      </c>
      <c r="D229" s="3473">
        <v>139.93</v>
      </c>
      <c r="E229" s="3472">
        <v>14.88</v>
      </c>
      <c r="F229" s="3474" t="s">
        <v>3408</v>
      </c>
    </row>
    <row r="230" spans="1:6" ht="28.5" customHeight="1" thickBot="1">
      <c r="A230" s="3471">
        <v>229</v>
      </c>
      <c r="B230" s="3472" t="s">
        <v>3406</v>
      </c>
      <c r="C230" s="3473" t="s">
        <v>3611</v>
      </c>
      <c r="D230" s="3473">
        <v>169.27</v>
      </c>
      <c r="E230" s="3472">
        <v>18.010000000000002</v>
      </c>
      <c r="F230" s="3474" t="s">
        <v>3408</v>
      </c>
    </row>
    <row r="231" spans="1:6" ht="28.5" customHeight="1" thickBot="1">
      <c r="A231" s="3471">
        <v>230</v>
      </c>
      <c r="B231" s="3472" t="s">
        <v>3406</v>
      </c>
      <c r="C231" s="3473" t="s">
        <v>3612</v>
      </c>
      <c r="D231" s="3473">
        <v>177.09</v>
      </c>
      <c r="E231" s="3472">
        <v>18.84</v>
      </c>
      <c r="F231" s="3474" t="s">
        <v>3408</v>
      </c>
    </row>
    <row r="232" spans="1:6" ht="28.5" customHeight="1" thickBot="1">
      <c r="A232" s="3471">
        <v>231</v>
      </c>
      <c r="B232" s="3472" t="s">
        <v>3406</v>
      </c>
      <c r="C232" s="3473" t="s">
        <v>3613</v>
      </c>
      <c r="D232" s="3473">
        <v>114.54</v>
      </c>
      <c r="E232" s="3472">
        <v>12.18</v>
      </c>
      <c r="F232" s="3474" t="s">
        <v>3408</v>
      </c>
    </row>
    <row r="233" spans="1:6" ht="28.5" customHeight="1" thickBot="1">
      <c r="A233" s="3471">
        <v>232</v>
      </c>
      <c r="B233" s="3472" t="s">
        <v>3406</v>
      </c>
      <c r="C233" s="3473" t="s">
        <v>3614</v>
      </c>
      <c r="D233" s="3473">
        <v>160.5</v>
      </c>
      <c r="E233" s="3472">
        <v>17.07</v>
      </c>
      <c r="F233" s="3474" t="s">
        <v>3408</v>
      </c>
    </row>
    <row r="234" spans="1:6" ht="28.5" customHeight="1" thickBot="1">
      <c r="A234" s="3471">
        <v>233</v>
      </c>
      <c r="B234" s="3472" t="s">
        <v>3406</v>
      </c>
      <c r="C234" s="3473" t="s">
        <v>3615</v>
      </c>
      <c r="D234" s="3473">
        <v>139.93</v>
      </c>
      <c r="E234" s="3472">
        <v>14.88</v>
      </c>
      <c r="F234" s="3474" t="s">
        <v>3408</v>
      </c>
    </row>
    <row r="235" spans="1:6" ht="28.5" customHeight="1" thickBot="1">
      <c r="A235" s="3471">
        <v>234</v>
      </c>
      <c r="B235" s="3472" t="s">
        <v>3406</v>
      </c>
      <c r="C235" s="3473" t="s">
        <v>3616</v>
      </c>
      <c r="D235" s="3473">
        <v>169.27</v>
      </c>
      <c r="E235" s="3472">
        <v>18.010000000000002</v>
      </c>
      <c r="F235" s="3474" t="s">
        <v>3408</v>
      </c>
    </row>
    <row r="236" spans="1:6" ht="28.5" customHeight="1" thickBot="1">
      <c r="A236" s="3471">
        <v>235</v>
      </c>
      <c r="B236" s="3472" t="s">
        <v>3406</v>
      </c>
      <c r="C236" s="3473" t="s">
        <v>3617</v>
      </c>
      <c r="D236" s="3473">
        <v>177.09</v>
      </c>
      <c r="E236" s="3472">
        <v>18.84</v>
      </c>
      <c r="F236" s="3474" t="s">
        <v>3408</v>
      </c>
    </row>
    <row r="237" spans="1:6" ht="28.5" customHeight="1" thickBot="1">
      <c r="A237" s="3471">
        <v>236</v>
      </c>
      <c r="B237" s="3472" t="s">
        <v>3406</v>
      </c>
      <c r="C237" s="3473" t="s">
        <v>3618</v>
      </c>
      <c r="D237" s="3473">
        <v>114.54</v>
      </c>
      <c r="E237" s="3472">
        <v>12.18</v>
      </c>
      <c r="F237" s="3474" t="s">
        <v>3408</v>
      </c>
    </row>
    <row r="238" spans="1:6" ht="28.5" customHeight="1" thickBot="1">
      <c r="A238" s="3471">
        <v>237</v>
      </c>
      <c r="B238" s="3472" t="s">
        <v>3406</v>
      </c>
      <c r="C238" s="3473" t="s">
        <v>3619</v>
      </c>
      <c r="D238" s="3473">
        <v>160.5</v>
      </c>
      <c r="E238" s="3472">
        <v>17.07</v>
      </c>
      <c r="F238" s="3474" t="s">
        <v>3408</v>
      </c>
    </row>
    <row r="239" spans="1:6" ht="28.5" customHeight="1" thickBot="1">
      <c r="A239" s="3471">
        <v>238</v>
      </c>
      <c r="B239" s="3472" t="s">
        <v>3406</v>
      </c>
      <c r="C239" s="3473" t="s">
        <v>3620</v>
      </c>
      <c r="D239" s="3473">
        <v>139.93</v>
      </c>
      <c r="E239" s="3472">
        <v>14.88</v>
      </c>
      <c r="F239" s="3474" t="s">
        <v>3408</v>
      </c>
    </row>
    <row r="240" spans="1:6" ht="28.5" customHeight="1" thickBot="1">
      <c r="A240" s="3471">
        <v>239</v>
      </c>
      <c r="B240" s="3472" t="s">
        <v>3406</v>
      </c>
      <c r="C240" s="3473" t="s">
        <v>3621</v>
      </c>
      <c r="D240" s="3473">
        <v>169.27</v>
      </c>
      <c r="E240" s="3472">
        <v>18.010000000000002</v>
      </c>
      <c r="F240" s="3474" t="s">
        <v>3408</v>
      </c>
    </row>
    <row r="241" spans="1:6" ht="28.5" customHeight="1" thickBot="1">
      <c r="A241" s="3471">
        <v>240</v>
      </c>
      <c r="B241" s="3472" t="s">
        <v>3406</v>
      </c>
      <c r="C241" s="3473" t="s">
        <v>3622</v>
      </c>
      <c r="D241" s="3473">
        <v>177.09</v>
      </c>
      <c r="E241" s="3472">
        <v>18.84</v>
      </c>
      <c r="F241" s="3474" t="s">
        <v>3408</v>
      </c>
    </row>
    <row r="242" spans="1:6" ht="28.5" customHeight="1" thickBot="1">
      <c r="A242" s="3471">
        <v>241</v>
      </c>
      <c r="B242" s="3472" t="s">
        <v>3406</v>
      </c>
      <c r="C242" s="3473" t="s">
        <v>3623</v>
      </c>
      <c r="D242" s="3473">
        <v>114.54</v>
      </c>
      <c r="E242" s="3472">
        <v>12.18</v>
      </c>
      <c r="F242" s="3474" t="s">
        <v>3408</v>
      </c>
    </row>
    <row r="243" spans="1:6" ht="28.5" customHeight="1" thickBot="1">
      <c r="A243" s="3471">
        <v>242</v>
      </c>
      <c r="B243" s="3477" t="s">
        <v>3467</v>
      </c>
      <c r="C243" s="3478" t="s">
        <v>3624</v>
      </c>
      <c r="D243" s="3478">
        <v>160.5</v>
      </c>
      <c r="E243" s="3476">
        <v>17.07</v>
      </c>
      <c r="F243" s="3479" t="s">
        <v>3408</v>
      </c>
    </row>
    <row r="244" spans="1:6" ht="28.5" customHeight="1" thickBot="1">
      <c r="A244" s="3471">
        <v>243</v>
      </c>
      <c r="B244" s="3472" t="s">
        <v>3406</v>
      </c>
      <c r="C244" s="3473" t="s">
        <v>3625</v>
      </c>
      <c r="D244" s="3473">
        <v>139.93</v>
      </c>
      <c r="E244" s="3472">
        <v>14.88</v>
      </c>
      <c r="F244" s="3474" t="s">
        <v>3408</v>
      </c>
    </row>
    <row r="245" spans="1:6" ht="28.5" customHeight="1" thickBot="1">
      <c r="A245" s="3471">
        <v>244</v>
      </c>
      <c r="B245" s="3472" t="s">
        <v>3406</v>
      </c>
      <c r="C245" s="3473" t="s">
        <v>3626</v>
      </c>
      <c r="D245" s="3473">
        <v>169.27</v>
      </c>
      <c r="E245" s="3472">
        <v>18.010000000000002</v>
      </c>
      <c r="F245" s="3474" t="s">
        <v>3408</v>
      </c>
    </row>
    <row r="246" spans="1:6" ht="28.5" customHeight="1" thickBot="1">
      <c r="A246" s="3471">
        <v>245</v>
      </c>
      <c r="B246" s="3472" t="s">
        <v>3406</v>
      </c>
      <c r="C246" s="3473" t="s">
        <v>3627</v>
      </c>
      <c r="D246" s="3473">
        <v>177.09</v>
      </c>
      <c r="E246" s="3472">
        <v>18.84</v>
      </c>
      <c r="F246" s="3474" t="s">
        <v>3408</v>
      </c>
    </row>
    <row r="247" spans="1:6" ht="28.5" customHeight="1" thickBot="1">
      <c r="A247" s="3471">
        <v>246</v>
      </c>
      <c r="B247" s="3472" t="s">
        <v>3406</v>
      </c>
      <c r="C247" s="3473" t="s">
        <v>3628</v>
      </c>
      <c r="D247" s="3473">
        <v>114.54</v>
      </c>
      <c r="E247" s="3472">
        <v>12.18</v>
      </c>
      <c r="F247" s="3474" t="s">
        <v>3408</v>
      </c>
    </row>
    <row r="248" spans="1:6" ht="28.5" customHeight="1" thickBot="1">
      <c r="A248" s="3471">
        <v>247</v>
      </c>
      <c r="B248" s="3472" t="s">
        <v>3406</v>
      </c>
      <c r="C248" s="3473" t="s">
        <v>3629</v>
      </c>
      <c r="D248" s="3473">
        <v>160.5</v>
      </c>
      <c r="E248" s="3472">
        <v>17.07</v>
      </c>
      <c r="F248" s="3474" t="s">
        <v>3408</v>
      </c>
    </row>
    <row r="249" spans="1:6" ht="28.5" customHeight="1" thickBot="1">
      <c r="A249" s="3471">
        <v>248</v>
      </c>
      <c r="B249" s="3472" t="s">
        <v>3406</v>
      </c>
      <c r="C249" s="3473" t="s">
        <v>3630</v>
      </c>
      <c r="D249" s="3473">
        <v>139.93</v>
      </c>
      <c r="E249" s="3472">
        <v>14.88</v>
      </c>
      <c r="F249" s="3474" t="s">
        <v>3408</v>
      </c>
    </row>
    <row r="250" spans="1:6" ht="28.5" customHeight="1" thickBot="1">
      <c r="A250" s="3471">
        <v>249</v>
      </c>
      <c r="B250" s="3472" t="s">
        <v>3406</v>
      </c>
      <c r="C250" s="3473" t="s">
        <v>3631</v>
      </c>
      <c r="D250" s="3473">
        <v>169.27</v>
      </c>
      <c r="E250" s="3472">
        <v>18.010000000000002</v>
      </c>
      <c r="F250" s="3474" t="s">
        <v>3408</v>
      </c>
    </row>
    <row r="251" spans="1:6" ht="28.5" customHeight="1" thickBot="1">
      <c r="A251" s="3471">
        <v>250</v>
      </c>
      <c r="B251" s="3472" t="s">
        <v>3406</v>
      </c>
      <c r="C251" s="3473" t="s">
        <v>3632</v>
      </c>
      <c r="D251" s="3473">
        <v>177.09</v>
      </c>
      <c r="E251" s="3472">
        <v>18.84</v>
      </c>
      <c r="F251" s="3474" t="s">
        <v>3408</v>
      </c>
    </row>
    <row r="252" spans="1:6" ht="28.5" customHeight="1" thickBot="1">
      <c r="A252" s="3471">
        <v>251</v>
      </c>
      <c r="B252" s="3472" t="s">
        <v>3406</v>
      </c>
      <c r="C252" s="3473" t="s">
        <v>3633</v>
      </c>
      <c r="D252" s="3473">
        <v>114.54</v>
      </c>
      <c r="E252" s="3472">
        <v>12.18</v>
      </c>
      <c r="F252" s="3474" t="s">
        <v>3408</v>
      </c>
    </row>
    <row r="253" spans="1:6" ht="28.5" customHeight="1" thickBot="1">
      <c r="A253" s="3471">
        <v>252</v>
      </c>
      <c r="B253" s="3472" t="s">
        <v>3406</v>
      </c>
      <c r="C253" s="3473" t="s">
        <v>3634</v>
      </c>
      <c r="D253" s="3473">
        <v>160.5</v>
      </c>
      <c r="E253" s="3472">
        <v>17.07</v>
      </c>
      <c r="F253" s="3474" t="s">
        <v>3408</v>
      </c>
    </row>
    <row r="254" spans="1:6" ht="28.5" customHeight="1" thickBot="1">
      <c r="A254" s="3471">
        <v>253</v>
      </c>
      <c r="B254" s="3477" t="s">
        <v>3467</v>
      </c>
      <c r="C254" s="3478" t="s">
        <v>3635</v>
      </c>
      <c r="D254" s="3478">
        <v>139.93</v>
      </c>
      <c r="E254" s="3476">
        <v>14.88</v>
      </c>
      <c r="F254" s="3479" t="s">
        <v>3408</v>
      </c>
    </row>
    <row r="255" spans="1:6" ht="28.5" customHeight="1" thickBot="1">
      <c r="A255" s="3471">
        <v>254</v>
      </c>
      <c r="B255" s="3472" t="s">
        <v>3406</v>
      </c>
      <c r="C255" s="3473" t="s">
        <v>3636</v>
      </c>
      <c r="D255" s="3473">
        <v>169.27</v>
      </c>
      <c r="E255" s="3472">
        <v>18.010000000000002</v>
      </c>
      <c r="F255" s="3474" t="s">
        <v>3408</v>
      </c>
    </row>
    <row r="256" spans="1:6" ht="28.5" customHeight="1" thickBot="1">
      <c r="A256" s="3471">
        <v>255</v>
      </c>
      <c r="B256" s="3472" t="s">
        <v>3406</v>
      </c>
      <c r="C256" s="3473" t="s">
        <v>3637</v>
      </c>
      <c r="D256" s="3473">
        <v>177.09</v>
      </c>
      <c r="E256" s="3472">
        <v>18.84</v>
      </c>
      <c r="F256" s="3474" t="s">
        <v>3408</v>
      </c>
    </row>
    <row r="257" spans="1:6" ht="28.5" customHeight="1" thickBot="1">
      <c r="A257" s="3471">
        <v>256</v>
      </c>
      <c r="B257" s="3472" t="s">
        <v>3406</v>
      </c>
      <c r="C257" s="3473" t="s">
        <v>3638</v>
      </c>
      <c r="D257" s="3473">
        <v>114.54</v>
      </c>
      <c r="E257" s="3472">
        <v>12.18</v>
      </c>
      <c r="F257" s="3474" t="s">
        <v>3408</v>
      </c>
    </row>
    <row r="258" spans="1:6" ht="28.5" customHeight="1" thickBot="1">
      <c r="A258" s="3471">
        <v>257</v>
      </c>
      <c r="B258" s="3472" t="s">
        <v>3406</v>
      </c>
      <c r="C258" s="3473" t="s">
        <v>3639</v>
      </c>
      <c r="D258" s="3473">
        <v>160.5</v>
      </c>
      <c r="E258" s="3472">
        <v>17.07</v>
      </c>
      <c r="F258" s="3474" t="s">
        <v>3408</v>
      </c>
    </row>
    <row r="259" spans="1:6" ht="28.5" customHeight="1" thickBot="1">
      <c r="A259" s="3471">
        <v>258</v>
      </c>
      <c r="B259" s="3472" t="s">
        <v>3406</v>
      </c>
      <c r="C259" s="3473" t="s">
        <v>3640</v>
      </c>
      <c r="D259" s="3473">
        <v>139.93</v>
      </c>
      <c r="E259" s="3472">
        <v>14.88</v>
      </c>
      <c r="F259" s="3474" t="s">
        <v>3408</v>
      </c>
    </row>
    <row r="260" spans="1:6" ht="28.5" customHeight="1" thickBot="1">
      <c r="A260" s="3471">
        <v>259</v>
      </c>
      <c r="B260" s="3472" t="s">
        <v>3406</v>
      </c>
      <c r="C260" s="3473" t="s">
        <v>3641</v>
      </c>
      <c r="D260" s="3473">
        <v>169.27</v>
      </c>
      <c r="E260" s="3472">
        <v>18.010000000000002</v>
      </c>
      <c r="F260" s="3474" t="s">
        <v>3408</v>
      </c>
    </row>
    <row r="261" spans="1:6" ht="28.5" customHeight="1" thickBot="1">
      <c r="A261" s="3471">
        <v>260</v>
      </c>
      <c r="B261" s="3472" t="s">
        <v>3406</v>
      </c>
      <c r="C261" s="3473" t="s">
        <v>3642</v>
      </c>
      <c r="D261" s="3473">
        <v>177.09</v>
      </c>
      <c r="E261" s="3472">
        <v>18.84</v>
      </c>
      <c r="F261" s="3474" t="s">
        <v>3408</v>
      </c>
    </row>
    <row r="262" spans="1:6" ht="28.5" customHeight="1" thickBot="1">
      <c r="A262" s="3471">
        <v>261</v>
      </c>
      <c r="B262" s="3472" t="s">
        <v>3406</v>
      </c>
      <c r="C262" s="3473" t="s">
        <v>3643</v>
      </c>
      <c r="D262" s="3473">
        <v>114.54</v>
      </c>
      <c r="E262" s="3472">
        <v>12.18</v>
      </c>
      <c r="F262" s="3474" t="s">
        <v>3408</v>
      </c>
    </row>
    <row r="263" spans="1:6" ht="28.5" customHeight="1" thickBot="1">
      <c r="A263" s="3471">
        <v>262</v>
      </c>
      <c r="B263" s="3472" t="s">
        <v>3406</v>
      </c>
      <c r="C263" s="3473" t="s">
        <v>3644</v>
      </c>
      <c r="D263" s="3473">
        <v>160.5</v>
      </c>
      <c r="E263" s="3472">
        <v>17.07</v>
      </c>
      <c r="F263" s="3474" t="s">
        <v>3408</v>
      </c>
    </row>
    <row r="264" spans="1:6" ht="28.5" customHeight="1" thickBot="1">
      <c r="A264" s="3471">
        <v>263</v>
      </c>
      <c r="B264" s="3472" t="s">
        <v>3406</v>
      </c>
      <c r="C264" s="3473" t="s">
        <v>3645</v>
      </c>
      <c r="D264" s="3473">
        <v>139.93</v>
      </c>
      <c r="E264" s="3472">
        <v>14.88</v>
      </c>
      <c r="F264" s="3474" t="s">
        <v>3408</v>
      </c>
    </row>
    <row r="265" spans="1:6" ht="28.5" customHeight="1" thickBot="1">
      <c r="A265" s="3471">
        <v>264</v>
      </c>
      <c r="B265" s="3472" t="s">
        <v>3406</v>
      </c>
      <c r="C265" s="3473" t="s">
        <v>3646</v>
      </c>
      <c r="D265" s="3473">
        <v>169.27</v>
      </c>
      <c r="E265" s="3472">
        <v>18.010000000000002</v>
      </c>
      <c r="F265" s="3474" t="s">
        <v>3408</v>
      </c>
    </row>
    <row r="266" spans="1:6" ht="28.5" customHeight="1" thickBot="1">
      <c r="A266" s="3471">
        <v>265</v>
      </c>
      <c r="B266" s="3472" t="s">
        <v>3406</v>
      </c>
      <c r="C266" s="3473" t="s">
        <v>3647</v>
      </c>
      <c r="D266" s="3473">
        <v>177.09</v>
      </c>
      <c r="E266" s="3472">
        <v>18.84</v>
      </c>
      <c r="F266" s="3474" t="s">
        <v>3408</v>
      </c>
    </row>
    <row r="267" spans="1:6" ht="28.5" customHeight="1" thickBot="1">
      <c r="A267" s="3471">
        <v>266</v>
      </c>
      <c r="B267" s="3472" t="s">
        <v>3406</v>
      </c>
      <c r="C267" s="3473" t="s">
        <v>3648</v>
      </c>
      <c r="D267" s="3473">
        <v>114.54</v>
      </c>
      <c r="E267" s="3472">
        <v>12.18</v>
      </c>
      <c r="F267" s="3474" t="s">
        <v>3408</v>
      </c>
    </row>
    <row r="268" spans="1:6" ht="28.5" customHeight="1" thickBot="1">
      <c r="A268" s="3471">
        <v>267</v>
      </c>
      <c r="B268" s="3472" t="s">
        <v>3406</v>
      </c>
      <c r="C268" s="3473" t="s">
        <v>3649</v>
      </c>
      <c r="D268" s="3473">
        <v>160.5</v>
      </c>
      <c r="E268" s="3472">
        <v>17.07</v>
      </c>
      <c r="F268" s="3474" t="s">
        <v>3408</v>
      </c>
    </row>
    <row r="269" spans="1:6" ht="28.5" customHeight="1" thickBot="1">
      <c r="A269" s="3471">
        <v>268</v>
      </c>
      <c r="B269" s="3477" t="s">
        <v>3467</v>
      </c>
      <c r="C269" s="3478" t="s">
        <v>3650</v>
      </c>
      <c r="D269" s="3478">
        <v>139.93</v>
      </c>
      <c r="E269" s="3476">
        <v>14.88</v>
      </c>
      <c r="F269" s="3479" t="s">
        <v>3408</v>
      </c>
    </row>
    <row r="270" spans="1:6" ht="28.5" customHeight="1" thickBot="1">
      <c r="A270" s="3471">
        <v>269</v>
      </c>
      <c r="B270" s="3472" t="s">
        <v>3406</v>
      </c>
      <c r="C270" s="3473" t="s">
        <v>3651</v>
      </c>
      <c r="D270" s="3473">
        <v>169.27</v>
      </c>
      <c r="E270" s="3472">
        <v>18.010000000000002</v>
      </c>
      <c r="F270" s="3474" t="s">
        <v>3408</v>
      </c>
    </row>
    <row r="271" spans="1:6" ht="28.5" customHeight="1" thickBot="1">
      <c r="A271" s="3471">
        <v>270</v>
      </c>
      <c r="B271" s="3472" t="s">
        <v>3406</v>
      </c>
      <c r="C271" s="3473" t="s">
        <v>3652</v>
      </c>
      <c r="D271" s="3473">
        <v>177.09</v>
      </c>
      <c r="E271" s="3472">
        <v>18.84</v>
      </c>
      <c r="F271" s="3474" t="s">
        <v>3408</v>
      </c>
    </row>
    <row r="272" spans="1:6" ht="28.5" customHeight="1" thickBot="1">
      <c r="A272" s="3471">
        <v>271</v>
      </c>
      <c r="B272" s="3472" t="s">
        <v>3406</v>
      </c>
      <c r="C272" s="3473" t="s">
        <v>3653</v>
      </c>
      <c r="D272" s="3473">
        <v>114.54</v>
      </c>
      <c r="E272" s="3472">
        <v>12.18</v>
      </c>
      <c r="F272" s="3474" t="s">
        <v>3408</v>
      </c>
    </row>
    <row r="273" spans="1:6" ht="28.5" customHeight="1" thickBot="1">
      <c r="A273" s="3471">
        <v>272</v>
      </c>
      <c r="B273" s="3472" t="s">
        <v>3406</v>
      </c>
      <c r="C273" s="3473" t="s">
        <v>3654</v>
      </c>
      <c r="D273" s="3473">
        <v>160.5</v>
      </c>
      <c r="E273" s="3472">
        <v>17.07</v>
      </c>
      <c r="F273" s="3474" t="s">
        <v>3408</v>
      </c>
    </row>
    <row r="274" spans="1:6" ht="28.5" customHeight="1" thickBot="1">
      <c r="A274" s="3471">
        <v>273</v>
      </c>
      <c r="B274" s="3472" t="s">
        <v>3406</v>
      </c>
      <c r="C274" s="3473" t="s">
        <v>3655</v>
      </c>
      <c r="D274" s="3473">
        <v>139.93</v>
      </c>
      <c r="E274" s="3472">
        <v>14.88</v>
      </c>
      <c r="F274" s="3474" t="s">
        <v>3408</v>
      </c>
    </row>
    <row r="275" spans="1:6" ht="28.5" customHeight="1" thickBot="1">
      <c r="A275" s="3471">
        <v>274</v>
      </c>
      <c r="B275" s="3472" t="s">
        <v>3406</v>
      </c>
      <c r="C275" s="3473" t="s">
        <v>3656</v>
      </c>
      <c r="D275" s="3473">
        <v>169.27</v>
      </c>
      <c r="E275" s="3472">
        <v>18.010000000000002</v>
      </c>
      <c r="F275" s="3474" t="s">
        <v>3408</v>
      </c>
    </row>
    <row r="276" spans="1:6" ht="28.5" customHeight="1" thickBot="1">
      <c r="A276" s="3471">
        <v>275</v>
      </c>
      <c r="B276" s="3472" t="s">
        <v>3406</v>
      </c>
      <c r="C276" s="3473" t="s">
        <v>3657</v>
      </c>
      <c r="D276" s="3473">
        <v>177.09</v>
      </c>
      <c r="E276" s="3472">
        <v>18.84</v>
      </c>
      <c r="F276" s="3474" t="s">
        <v>3408</v>
      </c>
    </row>
    <row r="277" spans="1:6" ht="28.5" customHeight="1" thickBot="1">
      <c r="A277" s="3471">
        <v>276</v>
      </c>
      <c r="B277" s="3472" t="s">
        <v>3406</v>
      </c>
      <c r="C277" s="3473" t="s">
        <v>3658</v>
      </c>
      <c r="D277" s="3473">
        <v>114.54</v>
      </c>
      <c r="E277" s="3472">
        <v>12.18</v>
      </c>
      <c r="F277" s="3474" t="s">
        <v>3408</v>
      </c>
    </row>
    <row r="278" spans="1:6" ht="28.5" customHeight="1" thickBot="1">
      <c r="A278" s="3471">
        <v>277</v>
      </c>
      <c r="B278" s="3472" t="s">
        <v>3406</v>
      </c>
      <c r="C278" s="3473" t="s">
        <v>3659</v>
      </c>
      <c r="D278" s="3473">
        <v>160.5</v>
      </c>
      <c r="E278" s="3472">
        <v>17.07</v>
      </c>
      <c r="F278" s="3474" t="s">
        <v>3408</v>
      </c>
    </row>
    <row r="279" spans="1:6" ht="28.5" customHeight="1" thickBot="1">
      <c r="A279" s="3471">
        <v>278</v>
      </c>
      <c r="B279" s="3472" t="s">
        <v>3406</v>
      </c>
      <c r="C279" s="3473" t="s">
        <v>3660</v>
      </c>
      <c r="D279" s="3473">
        <v>139.93</v>
      </c>
      <c r="E279" s="3472">
        <v>14.88</v>
      </c>
      <c r="F279" s="3474" t="s">
        <v>3408</v>
      </c>
    </row>
    <row r="280" spans="1:6" ht="28.5" customHeight="1" thickBot="1">
      <c r="A280" s="3471">
        <v>279</v>
      </c>
      <c r="B280" s="3472" t="s">
        <v>3406</v>
      </c>
      <c r="C280" s="3473" t="s">
        <v>3661</v>
      </c>
      <c r="D280" s="3473">
        <v>169.27</v>
      </c>
      <c r="E280" s="3472">
        <v>18.010000000000002</v>
      </c>
      <c r="F280" s="3474" t="s">
        <v>3408</v>
      </c>
    </row>
    <row r="281" spans="1:6" ht="28.5" customHeight="1" thickBot="1">
      <c r="A281" s="3471">
        <v>280</v>
      </c>
      <c r="B281" s="3472" t="s">
        <v>3406</v>
      </c>
      <c r="C281" s="3473" t="s">
        <v>3662</v>
      </c>
      <c r="D281" s="3473">
        <v>177.09</v>
      </c>
      <c r="E281" s="3472">
        <v>18.84</v>
      </c>
      <c r="F281" s="3474" t="s">
        <v>3408</v>
      </c>
    </row>
    <row r="282" spans="1:6" ht="28.5" customHeight="1" thickBot="1">
      <c r="A282" s="3471">
        <v>281</v>
      </c>
      <c r="B282" s="3472" t="s">
        <v>3406</v>
      </c>
      <c r="C282" s="3473" t="s">
        <v>3663</v>
      </c>
      <c r="D282" s="3473">
        <v>114.54</v>
      </c>
      <c r="E282" s="3472">
        <v>12.18</v>
      </c>
      <c r="F282" s="3474" t="s">
        <v>3408</v>
      </c>
    </row>
    <row r="283" spans="1:6" ht="28.5" customHeight="1" thickBot="1">
      <c r="A283" s="3471">
        <v>282</v>
      </c>
      <c r="B283" s="3472" t="s">
        <v>3406</v>
      </c>
      <c r="C283" s="3473" t="s">
        <v>3664</v>
      </c>
      <c r="D283" s="3473">
        <v>160.5</v>
      </c>
      <c r="E283" s="3472">
        <v>17.07</v>
      </c>
      <c r="F283" s="3474" t="s">
        <v>3408</v>
      </c>
    </row>
    <row r="284" spans="1:6" ht="28.5" customHeight="1" thickBot="1">
      <c r="A284" s="3471">
        <v>283</v>
      </c>
      <c r="B284" s="3472" t="s">
        <v>3406</v>
      </c>
      <c r="C284" s="3473" t="s">
        <v>3665</v>
      </c>
      <c r="D284" s="3473">
        <v>139.93</v>
      </c>
      <c r="E284" s="3472">
        <v>14.88</v>
      </c>
      <c r="F284" s="3474" t="s">
        <v>3408</v>
      </c>
    </row>
    <row r="285" spans="1:6" ht="28.5" customHeight="1" thickBot="1">
      <c r="A285" s="3471">
        <v>284</v>
      </c>
      <c r="B285" s="3472" t="s">
        <v>3406</v>
      </c>
      <c r="C285" s="3473" t="s">
        <v>3666</v>
      </c>
      <c r="D285" s="3473">
        <v>169.27</v>
      </c>
      <c r="E285" s="3472">
        <v>18.010000000000002</v>
      </c>
      <c r="F285" s="3474" t="s">
        <v>3408</v>
      </c>
    </row>
    <row r="286" spans="1:6" ht="28.5" customHeight="1" thickBot="1">
      <c r="A286" s="3471">
        <v>285</v>
      </c>
      <c r="B286" s="3472" t="s">
        <v>3406</v>
      </c>
      <c r="C286" s="3473" t="s">
        <v>3667</v>
      </c>
      <c r="D286" s="3473">
        <v>177.09</v>
      </c>
      <c r="E286" s="3472">
        <v>18.84</v>
      </c>
      <c r="F286" s="3474" t="s">
        <v>3408</v>
      </c>
    </row>
    <row r="287" spans="1:6" ht="28.5" customHeight="1" thickBot="1">
      <c r="A287" s="3471">
        <v>286</v>
      </c>
      <c r="B287" s="3472" t="s">
        <v>3406</v>
      </c>
      <c r="C287" s="3473" t="s">
        <v>3668</v>
      </c>
      <c r="D287" s="3473">
        <v>114.54</v>
      </c>
      <c r="E287" s="3472">
        <v>12.18</v>
      </c>
      <c r="F287" s="3474" t="s">
        <v>3408</v>
      </c>
    </row>
    <row r="288" spans="1:6" ht="28.5" customHeight="1" thickBot="1">
      <c r="A288" s="3471">
        <v>287</v>
      </c>
      <c r="B288" s="3472" t="s">
        <v>3406</v>
      </c>
      <c r="C288" s="3473" t="s">
        <v>3669</v>
      </c>
      <c r="D288" s="3473">
        <v>160.5</v>
      </c>
      <c r="E288" s="3472">
        <v>17.07</v>
      </c>
      <c r="F288" s="3474" t="s">
        <v>3408</v>
      </c>
    </row>
    <row r="289" spans="1:6" ht="28.5" customHeight="1" thickBot="1">
      <c r="A289" s="3471">
        <v>288</v>
      </c>
      <c r="B289" s="3472" t="s">
        <v>3406</v>
      </c>
      <c r="C289" s="3473" t="s">
        <v>3670</v>
      </c>
      <c r="D289" s="3473">
        <v>139.93</v>
      </c>
      <c r="E289" s="3472">
        <v>14.88</v>
      </c>
      <c r="F289" s="3474" t="s">
        <v>3408</v>
      </c>
    </row>
    <row r="290" spans="1:6" ht="28.5" customHeight="1" thickBot="1">
      <c r="A290" s="3471">
        <v>289</v>
      </c>
      <c r="B290" s="3472" t="s">
        <v>3406</v>
      </c>
      <c r="C290" s="3473" t="s">
        <v>3671</v>
      </c>
      <c r="D290" s="3473">
        <v>169.27</v>
      </c>
      <c r="E290" s="3472">
        <v>18.010000000000002</v>
      </c>
      <c r="F290" s="3474" t="s">
        <v>3408</v>
      </c>
    </row>
    <row r="291" spans="1:6" ht="28.5" customHeight="1" thickBot="1">
      <c r="A291" s="3471">
        <v>290</v>
      </c>
      <c r="B291" s="3472" t="s">
        <v>3406</v>
      </c>
      <c r="C291" s="3473" t="s">
        <v>3672</v>
      </c>
      <c r="D291" s="3473">
        <v>177.09</v>
      </c>
      <c r="E291" s="3472">
        <v>18.84</v>
      </c>
      <c r="F291" s="3474" t="s">
        <v>3408</v>
      </c>
    </row>
    <row r="292" spans="1:6" ht="28.5" customHeight="1" thickBot="1">
      <c r="A292" s="3471">
        <v>291</v>
      </c>
      <c r="B292" s="3472" t="s">
        <v>3406</v>
      </c>
      <c r="C292" s="3473" t="s">
        <v>3673</v>
      </c>
      <c r="D292" s="3473">
        <v>114.54</v>
      </c>
      <c r="E292" s="3472">
        <v>12.18</v>
      </c>
      <c r="F292" s="3474" t="s">
        <v>3408</v>
      </c>
    </row>
    <row r="293" spans="1:6" ht="28.5" customHeight="1" thickBot="1">
      <c r="A293" s="3471">
        <v>292</v>
      </c>
      <c r="B293" s="3472" t="s">
        <v>3406</v>
      </c>
      <c r="C293" s="3473" t="s">
        <v>3674</v>
      </c>
      <c r="D293" s="3473">
        <v>160.5</v>
      </c>
      <c r="E293" s="3472">
        <v>17.07</v>
      </c>
      <c r="F293" s="3474" t="s">
        <v>3408</v>
      </c>
    </row>
    <row r="294" spans="1:6" ht="28.5" customHeight="1" thickBot="1">
      <c r="A294" s="3471">
        <v>293</v>
      </c>
      <c r="B294" s="3472" t="s">
        <v>3406</v>
      </c>
      <c r="C294" s="3473" t="s">
        <v>3675</v>
      </c>
      <c r="D294" s="3473">
        <v>139.93</v>
      </c>
      <c r="E294" s="3472">
        <v>14.88</v>
      </c>
      <c r="F294" s="3474" t="s">
        <v>3408</v>
      </c>
    </row>
    <row r="295" spans="1:6" ht="28.5" customHeight="1" thickBot="1">
      <c r="A295" s="3471">
        <v>294</v>
      </c>
      <c r="B295" s="3472" t="s">
        <v>3406</v>
      </c>
      <c r="C295" s="3473" t="s">
        <v>3676</v>
      </c>
      <c r="D295" s="3473">
        <v>169.27</v>
      </c>
      <c r="E295" s="3472">
        <v>18.010000000000002</v>
      </c>
      <c r="F295" s="3474" t="s">
        <v>3408</v>
      </c>
    </row>
    <row r="296" spans="1:6" ht="28.5" customHeight="1" thickBot="1">
      <c r="A296" s="3471">
        <v>295</v>
      </c>
      <c r="B296" s="3472" t="s">
        <v>3406</v>
      </c>
      <c r="C296" s="3473" t="s">
        <v>3677</v>
      </c>
      <c r="D296" s="3473">
        <v>177.09</v>
      </c>
      <c r="E296" s="3472">
        <v>18.84</v>
      </c>
      <c r="F296" s="3474" t="s">
        <v>3408</v>
      </c>
    </row>
    <row r="297" spans="1:6" ht="28.5" customHeight="1" thickBot="1">
      <c r="A297" s="3471">
        <v>296</v>
      </c>
      <c r="B297" s="3472" t="s">
        <v>3406</v>
      </c>
      <c r="C297" s="3473" t="s">
        <v>3678</v>
      </c>
      <c r="D297" s="3473">
        <v>114.54</v>
      </c>
      <c r="E297" s="3472">
        <v>12.18</v>
      </c>
      <c r="F297" s="3474" t="s">
        <v>3408</v>
      </c>
    </row>
    <row r="298" spans="1:6" ht="28.5" customHeight="1" thickBot="1">
      <c r="A298" s="3471">
        <v>297</v>
      </c>
      <c r="B298" s="3472" t="s">
        <v>3406</v>
      </c>
      <c r="C298" s="3473" t="s">
        <v>3679</v>
      </c>
      <c r="D298" s="3473">
        <v>160.5</v>
      </c>
      <c r="E298" s="3472">
        <v>17.07</v>
      </c>
      <c r="F298" s="3474" t="s">
        <v>3408</v>
      </c>
    </row>
    <row r="299" spans="1:6" ht="28.5" customHeight="1" thickBot="1">
      <c r="A299" s="3471">
        <v>298</v>
      </c>
      <c r="B299" s="3472" t="s">
        <v>3406</v>
      </c>
      <c r="C299" s="3473" t="s">
        <v>3680</v>
      </c>
      <c r="D299" s="3473">
        <v>139.93</v>
      </c>
      <c r="E299" s="3472">
        <v>14.88</v>
      </c>
      <c r="F299" s="3474" t="s">
        <v>3408</v>
      </c>
    </row>
    <row r="300" spans="1:6" ht="28.5" customHeight="1" thickBot="1">
      <c r="A300" s="3471">
        <v>299</v>
      </c>
      <c r="B300" s="3472" t="s">
        <v>3406</v>
      </c>
      <c r="C300" s="3473" t="s">
        <v>3681</v>
      </c>
      <c r="D300" s="3473">
        <v>169.27</v>
      </c>
      <c r="E300" s="3472">
        <v>18.010000000000002</v>
      </c>
      <c r="F300" s="3474" t="s">
        <v>3408</v>
      </c>
    </row>
    <row r="301" spans="1:6" ht="28.5" customHeight="1" thickBot="1">
      <c r="A301" s="3471">
        <v>300</v>
      </c>
      <c r="B301" s="3472" t="s">
        <v>3406</v>
      </c>
      <c r="C301" s="3473" t="s">
        <v>3682</v>
      </c>
      <c r="D301" s="3473">
        <v>177.09</v>
      </c>
      <c r="E301" s="3472">
        <v>18.84</v>
      </c>
      <c r="F301" s="3474" t="s">
        <v>3408</v>
      </c>
    </row>
    <row r="302" spans="1:6" ht="28.5" customHeight="1" thickBot="1">
      <c r="A302" s="3471">
        <v>301</v>
      </c>
      <c r="B302" s="3472" t="s">
        <v>3406</v>
      </c>
      <c r="C302" s="3473" t="s">
        <v>3683</v>
      </c>
      <c r="D302" s="3473">
        <v>114.54</v>
      </c>
      <c r="E302" s="3472">
        <v>12.18</v>
      </c>
      <c r="F302" s="3474" t="s">
        <v>3408</v>
      </c>
    </row>
    <row r="303" spans="1:6" ht="28.5" customHeight="1" thickBot="1">
      <c r="A303" s="3471">
        <v>302</v>
      </c>
      <c r="B303" s="3472" t="s">
        <v>3406</v>
      </c>
      <c r="C303" s="3473" t="s">
        <v>3684</v>
      </c>
      <c r="D303" s="3473">
        <v>160.5</v>
      </c>
      <c r="E303" s="3472">
        <v>17.07</v>
      </c>
      <c r="F303" s="3474" t="s">
        <v>3408</v>
      </c>
    </row>
    <row r="304" spans="1:6" ht="28.5" customHeight="1" thickBot="1">
      <c r="A304" s="3471">
        <v>303</v>
      </c>
      <c r="B304" s="3472" t="s">
        <v>3406</v>
      </c>
      <c r="C304" s="3473" t="s">
        <v>3685</v>
      </c>
      <c r="D304" s="3473">
        <v>139.93</v>
      </c>
      <c r="E304" s="3472">
        <v>14.88</v>
      </c>
      <c r="F304" s="3474" t="s">
        <v>3408</v>
      </c>
    </row>
    <row r="305" spans="1:6" ht="28.5" customHeight="1" thickBot="1">
      <c r="A305" s="3471">
        <v>304</v>
      </c>
      <c r="B305" s="3472" t="s">
        <v>3406</v>
      </c>
      <c r="C305" s="3473" t="s">
        <v>3686</v>
      </c>
      <c r="D305" s="3473">
        <v>169.27</v>
      </c>
      <c r="E305" s="3472">
        <v>18.010000000000002</v>
      </c>
      <c r="F305" s="3474" t="s">
        <v>3408</v>
      </c>
    </row>
    <row r="306" spans="1:6" ht="28.5" customHeight="1" thickBot="1">
      <c r="A306" s="3471">
        <v>305</v>
      </c>
      <c r="B306" s="3472" t="s">
        <v>3406</v>
      </c>
      <c r="C306" s="3473" t="s">
        <v>3687</v>
      </c>
      <c r="D306" s="3473">
        <v>177.09</v>
      </c>
      <c r="E306" s="3472">
        <v>18.84</v>
      </c>
      <c r="F306" s="3474" t="s">
        <v>3408</v>
      </c>
    </row>
    <row r="307" spans="1:6" ht="28.5" customHeight="1" thickBot="1">
      <c r="A307" s="3471">
        <v>306</v>
      </c>
      <c r="B307" s="3472" t="s">
        <v>3406</v>
      </c>
      <c r="C307" s="3473" t="s">
        <v>3688</v>
      </c>
      <c r="D307" s="3473">
        <v>114.54</v>
      </c>
      <c r="E307" s="3472">
        <v>12.18</v>
      </c>
      <c r="F307" s="3474" t="s">
        <v>3408</v>
      </c>
    </row>
    <row r="308" spans="1:6" ht="28.5" customHeight="1" thickBot="1">
      <c r="A308" s="3471">
        <v>307</v>
      </c>
      <c r="B308" s="3472" t="s">
        <v>3406</v>
      </c>
      <c r="C308" s="3473" t="s">
        <v>3689</v>
      </c>
      <c r="D308" s="3473">
        <v>160.5</v>
      </c>
      <c r="E308" s="3472">
        <v>17.07</v>
      </c>
      <c r="F308" s="3474" t="s">
        <v>3408</v>
      </c>
    </row>
    <row r="309" spans="1:6" ht="28.5" customHeight="1" thickBot="1">
      <c r="A309" s="3471">
        <v>308</v>
      </c>
      <c r="B309" s="3472" t="s">
        <v>3406</v>
      </c>
      <c r="C309" s="3473" t="s">
        <v>3690</v>
      </c>
      <c r="D309" s="3473">
        <v>139.93</v>
      </c>
      <c r="E309" s="3472">
        <v>14.88</v>
      </c>
      <c r="F309" s="3474" t="s">
        <v>3408</v>
      </c>
    </row>
    <row r="310" spans="1:6" ht="28.5" customHeight="1" thickBot="1">
      <c r="A310" s="3471">
        <v>309</v>
      </c>
      <c r="B310" s="3472" t="s">
        <v>3406</v>
      </c>
      <c r="C310" s="3473" t="s">
        <v>3691</v>
      </c>
      <c r="D310" s="3473">
        <v>169.27</v>
      </c>
      <c r="E310" s="3472">
        <v>18.010000000000002</v>
      </c>
      <c r="F310" s="3474" t="s">
        <v>3408</v>
      </c>
    </row>
    <row r="311" spans="1:6" ht="28.5" customHeight="1" thickBot="1">
      <c r="A311" s="3471">
        <v>310</v>
      </c>
      <c r="B311" s="3472" t="s">
        <v>3406</v>
      </c>
      <c r="C311" s="3473" t="s">
        <v>3692</v>
      </c>
      <c r="D311" s="3473">
        <v>177.09</v>
      </c>
      <c r="E311" s="3472">
        <v>18.84</v>
      </c>
      <c r="F311" s="3474" t="s">
        <v>3408</v>
      </c>
    </row>
    <row r="312" spans="1:6" ht="28.5" customHeight="1" thickBot="1">
      <c r="A312" s="3471">
        <v>311</v>
      </c>
      <c r="B312" s="3472" t="s">
        <v>3406</v>
      </c>
      <c r="C312" s="3473" t="s">
        <v>3693</v>
      </c>
      <c r="D312" s="3473">
        <v>114.54</v>
      </c>
      <c r="E312" s="3472">
        <v>12.18</v>
      </c>
      <c r="F312" s="3474" t="s">
        <v>3408</v>
      </c>
    </row>
    <row r="313" spans="1:6" ht="28.5" customHeight="1" thickBot="1">
      <c r="A313" s="3471">
        <v>312</v>
      </c>
      <c r="B313" s="3472" t="s">
        <v>3406</v>
      </c>
      <c r="C313" s="3473" t="s">
        <v>3694</v>
      </c>
      <c r="D313" s="3473">
        <v>160.5</v>
      </c>
      <c r="E313" s="3472">
        <v>17.07</v>
      </c>
      <c r="F313" s="3474" t="s">
        <v>3408</v>
      </c>
    </row>
    <row r="314" spans="1:6" ht="28.5" customHeight="1" thickBot="1">
      <c r="A314" s="3471">
        <v>313</v>
      </c>
      <c r="B314" s="3472" t="s">
        <v>3406</v>
      </c>
      <c r="C314" s="3473" t="s">
        <v>3695</v>
      </c>
      <c r="D314" s="3473">
        <v>139.93</v>
      </c>
      <c r="E314" s="3472">
        <v>14.88</v>
      </c>
      <c r="F314" s="3474" t="s">
        <v>3408</v>
      </c>
    </row>
    <row r="315" spans="1:6" ht="28.5" customHeight="1" thickBot="1">
      <c r="A315" s="3471">
        <v>314</v>
      </c>
      <c r="B315" s="3472" t="s">
        <v>3406</v>
      </c>
      <c r="C315" s="3473" t="s">
        <v>3696</v>
      </c>
      <c r="D315" s="3473">
        <v>169.27</v>
      </c>
      <c r="E315" s="3472">
        <v>18.010000000000002</v>
      </c>
      <c r="F315" s="3474" t="s">
        <v>3408</v>
      </c>
    </row>
    <row r="316" spans="1:6" ht="28.5" customHeight="1" thickBot="1">
      <c r="A316" s="3471">
        <v>315</v>
      </c>
      <c r="B316" s="3477" t="s">
        <v>3467</v>
      </c>
      <c r="C316" s="3478" t="s">
        <v>3697</v>
      </c>
      <c r="D316" s="3478">
        <v>177.09</v>
      </c>
      <c r="E316" s="3476">
        <v>18.84</v>
      </c>
      <c r="F316" s="3479" t="s">
        <v>3408</v>
      </c>
    </row>
    <row r="317" spans="1:6" ht="28.5" customHeight="1" thickBot="1">
      <c r="A317" s="3471">
        <v>316</v>
      </c>
      <c r="B317" s="3472" t="s">
        <v>3406</v>
      </c>
      <c r="C317" s="3473" t="s">
        <v>3698</v>
      </c>
      <c r="D317" s="3473">
        <v>114.54</v>
      </c>
      <c r="E317" s="3472">
        <v>12.18</v>
      </c>
      <c r="F317" s="3474" t="s">
        <v>3408</v>
      </c>
    </row>
    <row r="318" spans="1:6" ht="28.5" customHeight="1" thickBot="1">
      <c r="A318" s="3471">
        <v>317</v>
      </c>
      <c r="B318" s="3472" t="s">
        <v>3406</v>
      </c>
      <c r="C318" s="3473" t="s">
        <v>3699</v>
      </c>
      <c r="D318" s="3473">
        <v>160.5</v>
      </c>
      <c r="E318" s="3472">
        <v>17.07</v>
      </c>
      <c r="F318" s="3474" t="s">
        <v>3408</v>
      </c>
    </row>
    <row r="319" spans="1:6" ht="28.5" customHeight="1" thickBot="1">
      <c r="A319" s="3471">
        <v>318</v>
      </c>
      <c r="B319" s="3472" t="s">
        <v>3406</v>
      </c>
      <c r="C319" s="3473" t="s">
        <v>3700</v>
      </c>
      <c r="D319" s="3473">
        <v>139.93</v>
      </c>
      <c r="E319" s="3472">
        <v>14.88</v>
      </c>
      <c r="F319" s="3474" t="s">
        <v>3408</v>
      </c>
    </row>
    <row r="320" spans="1:6" ht="28.5" customHeight="1" thickBot="1">
      <c r="A320" s="3471">
        <v>319</v>
      </c>
      <c r="B320" s="3472" t="s">
        <v>3406</v>
      </c>
      <c r="C320" s="3473" t="s">
        <v>3701</v>
      </c>
      <c r="D320" s="3473">
        <v>169.27</v>
      </c>
      <c r="E320" s="3472">
        <v>18.010000000000002</v>
      </c>
      <c r="F320" s="3474" t="s">
        <v>3408</v>
      </c>
    </row>
    <row r="321" spans="1:6" ht="28.5" customHeight="1" thickBot="1">
      <c r="A321" s="3471">
        <v>320</v>
      </c>
      <c r="B321" s="3472" t="s">
        <v>3406</v>
      </c>
      <c r="C321" s="3473" t="s">
        <v>3702</v>
      </c>
      <c r="D321" s="3473">
        <v>177.09</v>
      </c>
      <c r="E321" s="3472">
        <v>18.84</v>
      </c>
      <c r="F321" s="3474" t="s">
        <v>3408</v>
      </c>
    </row>
    <row r="322" spans="1:6" ht="28.5" customHeight="1" thickBot="1">
      <c r="A322" s="3471">
        <v>321</v>
      </c>
      <c r="B322" s="3472" t="s">
        <v>3406</v>
      </c>
      <c r="C322" s="3473" t="s">
        <v>3703</v>
      </c>
      <c r="D322" s="3473">
        <v>114.54</v>
      </c>
      <c r="E322" s="3472">
        <v>12.18</v>
      </c>
      <c r="F322" s="3474" t="s">
        <v>3408</v>
      </c>
    </row>
    <row r="323" spans="1:6" ht="28.5" customHeight="1" thickBot="1">
      <c r="A323" s="3471">
        <v>322</v>
      </c>
      <c r="B323" s="3472" t="s">
        <v>3406</v>
      </c>
      <c r="C323" s="3473" t="s">
        <v>3704</v>
      </c>
      <c r="D323" s="3473">
        <v>160.5</v>
      </c>
      <c r="E323" s="3472">
        <v>17.07</v>
      </c>
      <c r="F323" s="3474" t="s">
        <v>3408</v>
      </c>
    </row>
    <row r="324" spans="1:6" ht="28.5" customHeight="1" thickBot="1">
      <c r="A324" s="3471">
        <v>323</v>
      </c>
      <c r="B324" s="3472" t="s">
        <v>3406</v>
      </c>
      <c r="C324" s="3473" t="s">
        <v>3705</v>
      </c>
      <c r="D324" s="3473">
        <v>139.93</v>
      </c>
      <c r="E324" s="3472">
        <v>14.88</v>
      </c>
      <c r="F324" s="3474" t="s">
        <v>3408</v>
      </c>
    </row>
    <row r="325" spans="1:6" ht="28.5" customHeight="1" thickBot="1">
      <c r="A325" s="3471">
        <v>324</v>
      </c>
      <c r="B325" s="3472" t="s">
        <v>3406</v>
      </c>
      <c r="C325" s="3473" t="s">
        <v>3706</v>
      </c>
      <c r="D325" s="3473">
        <v>169.27</v>
      </c>
      <c r="E325" s="3472">
        <v>18.010000000000002</v>
      </c>
      <c r="F325" s="3474" t="s">
        <v>3408</v>
      </c>
    </row>
    <row r="326" spans="1:6" ht="28.5" customHeight="1" thickBot="1">
      <c r="A326" s="3471">
        <v>325</v>
      </c>
      <c r="B326" s="3472" t="s">
        <v>3406</v>
      </c>
      <c r="C326" s="3473" t="s">
        <v>3707</v>
      </c>
      <c r="D326" s="3473">
        <v>177.09</v>
      </c>
      <c r="E326" s="3472">
        <v>18.84</v>
      </c>
      <c r="F326" s="3474" t="s">
        <v>3408</v>
      </c>
    </row>
    <row r="327" spans="1:6" ht="28.5" customHeight="1" thickBot="1">
      <c r="A327" s="3471">
        <v>326</v>
      </c>
      <c r="B327" s="3472" t="s">
        <v>3406</v>
      </c>
      <c r="C327" s="3473" t="s">
        <v>3708</v>
      </c>
      <c r="D327" s="3473">
        <v>114.54</v>
      </c>
      <c r="E327" s="3472">
        <v>12.18</v>
      </c>
      <c r="F327" s="3474" t="s">
        <v>3408</v>
      </c>
    </row>
    <row r="328" spans="1:6" ht="28.5" customHeight="1" thickBot="1">
      <c r="A328" s="3471">
        <v>327</v>
      </c>
      <c r="B328" s="3472" t="s">
        <v>3406</v>
      </c>
      <c r="C328" s="3473" t="s">
        <v>3709</v>
      </c>
      <c r="D328" s="3473">
        <v>160.5</v>
      </c>
      <c r="E328" s="3472">
        <v>17.07</v>
      </c>
      <c r="F328" s="3474" t="s">
        <v>3408</v>
      </c>
    </row>
    <row r="329" spans="1:6" ht="28.5" customHeight="1" thickBot="1">
      <c r="A329" s="3471">
        <v>328</v>
      </c>
      <c r="B329" s="3472" t="s">
        <v>3406</v>
      </c>
      <c r="C329" s="3473" t="s">
        <v>3710</v>
      </c>
      <c r="D329" s="3473">
        <v>139.93</v>
      </c>
      <c r="E329" s="3472">
        <v>14.88</v>
      </c>
      <c r="F329" s="3474" t="s">
        <v>3408</v>
      </c>
    </row>
    <row r="330" spans="1:6" ht="28.5" customHeight="1" thickBot="1">
      <c r="A330" s="3471">
        <v>329</v>
      </c>
      <c r="B330" s="3472" t="s">
        <v>3406</v>
      </c>
      <c r="C330" s="3473" t="s">
        <v>3711</v>
      </c>
      <c r="D330" s="3473">
        <v>169.27</v>
      </c>
      <c r="E330" s="3472">
        <v>18.010000000000002</v>
      </c>
      <c r="F330" s="3474" t="s">
        <v>3408</v>
      </c>
    </row>
    <row r="331" spans="1:6" ht="28.5" customHeight="1" thickBot="1">
      <c r="A331" s="3471">
        <v>330</v>
      </c>
      <c r="B331" s="3477" t="s">
        <v>3467</v>
      </c>
      <c r="C331" s="3478" t="s">
        <v>3712</v>
      </c>
      <c r="D331" s="3478">
        <v>177.09</v>
      </c>
      <c r="E331" s="3476">
        <v>18.84</v>
      </c>
      <c r="F331" s="3479" t="s">
        <v>3408</v>
      </c>
    </row>
    <row r="332" spans="1:6" ht="28.5" customHeight="1" thickBot="1">
      <c r="A332" s="3471">
        <v>331</v>
      </c>
      <c r="B332" s="3472" t="s">
        <v>3406</v>
      </c>
      <c r="C332" s="3473" t="s">
        <v>3713</v>
      </c>
      <c r="D332" s="3473">
        <v>114.54</v>
      </c>
      <c r="E332" s="3472">
        <v>12.18</v>
      </c>
      <c r="F332" s="3474" t="s">
        <v>3408</v>
      </c>
    </row>
    <row r="333" spans="1:6" ht="28.5" customHeight="1" thickBot="1">
      <c r="A333" s="3471">
        <v>332</v>
      </c>
      <c r="B333" s="3472" t="s">
        <v>3406</v>
      </c>
      <c r="C333" s="3473" t="s">
        <v>3714</v>
      </c>
      <c r="D333" s="3473">
        <v>160.5</v>
      </c>
      <c r="E333" s="3472">
        <v>17.07</v>
      </c>
      <c r="F333" s="3474" t="s">
        <v>3408</v>
      </c>
    </row>
    <row r="334" spans="1:6" ht="28.5" customHeight="1" thickBot="1">
      <c r="A334" s="3471">
        <v>333</v>
      </c>
      <c r="B334" s="3472" t="s">
        <v>3406</v>
      </c>
      <c r="C334" s="3473" t="s">
        <v>3715</v>
      </c>
      <c r="D334" s="3473">
        <v>139.93</v>
      </c>
      <c r="E334" s="3472">
        <v>14.88</v>
      </c>
      <c r="F334" s="3474" t="s">
        <v>3408</v>
      </c>
    </row>
    <row r="335" spans="1:6" ht="28.5" customHeight="1" thickBot="1">
      <c r="A335" s="3471">
        <v>334</v>
      </c>
      <c r="B335" s="3472" t="s">
        <v>3406</v>
      </c>
      <c r="C335" s="3473" t="s">
        <v>3716</v>
      </c>
      <c r="D335" s="3473">
        <v>169.27</v>
      </c>
      <c r="E335" s="3472">
        <v>18.010000000000002</v>
      </c>
      <c r="F335" s="3474" t="s">
        <v>3408</v>
      </c>
    </row>
    <row r="336" spans="1:6" ht="28.5" customHeight="1" thickBot="1">
      <c r="A336" s="3471">
        <v>335</v>
      </c>
      <c r="B336" s="3472" t="s">
        <v>3406</v>
      </c>
      <c r="C336" s="3473" t="s">
        <v>3717</v>
      </c>
      <c r="D336" s="3473">
        <v>177.09</v>
      </c>
      <c r="E336" s="3472">
        <v>18.84</v>
      </c>
      <c r="F336" s="3474" t="s">
        <v>3408</v>
      </c>
    </row>
    <row r="337" spans="1:8" ht="28.5" customHeight="1" thickBot="1">
      <c r="A337" s="3471">
        <v>336</v>
      </c>
      <c r="B337" s="3472" t="s">
        <v>3406</v>
      </c>
      <c r="C337" s="3473" t="s">
        <v>3718</v>
      </c>
      <c r="D337" s="3473">
        <v>114.54</v>
      </c>
      <c r="E337" s="3472">
        <v>12.18</v>
      </c>
      <c r="F337" s="3474" t="s">
        <v>3408</v>
      </c>
    </row>
    <row r="338" spans="1:8" ht="28.5" customHeight="1" thickBot="1">
      <c r="A338" s="3471">
        <v>337</v>
      </c>
      <c r="B338" s="3472" t="s">
        <v>3406</v>
      </c>
      <c r="C338" s="3473" t="s">
        <v>3719</v>
      </c>
      <c r="D338" s="3473">
        <v>160.5</v>
      </c>
      <c r="E338" s="3472">
        <v>17.07</v>
      </c>
      <c r="F338" s="3474" t="s">
        <v>3408</v>
      </c>
    </row>
    <row r="339" spans="1:8" ht="28.5" customHeight="1" thickBot="1">
      <c r="A339" s="3471">
        <v>338</v>
      </c>
      <c r="B339" s="3472" t="s">
        <v>3406</v>
      </c>
      <c r="C339" s="3473" t="s">
        <v>3720</v>
      </c>
      <c r="D339" s="3473">
        <v>139.93</v>
      </c>
      <c r="E339" s="3472">
        <v>14.88</v>
      </c>
      <c r="F339" s="3474" t="s">
        <v>3408</v>
      </c>
    </row>
    <row r="340" spans="1:8" ht="28.5" customHeight="1" thickBot="1">
      <c r="A340" s="3471">
        <v>339</v>
      </c>
      <c r="B340" s="3472" t="s">
        <v>3406</v>
      </c>
      <c r="C340" s="3473" t="s">
        <v>3721</v>
      </c>
      <c r="D340" s="3473">
        <v>169.27</v>
      </c>
      <c r="E340" s="3472">
        <v>18.010000000000002</v>
      </c>
      <c r="F340" s="3474" t="s">
        <v>3408</v>
      </c>
    </row>
    <row r="341" spans="1:8" ht="28.5" customHeight="1" thickBot="1">
      <c r="A341" s="3471">
        <v>340</v>
      </c>
      <c r="B341" s="3472" t="s">
        <v>3406</v>
      </c>
      <c r="C341" s="3473" t="s">
        <v>3722</v>
      </c>
      <c r="D341" s="3473">
        <v>177.09</v>
      </c>
      <c r="E341" s="3472">
        <v>18.84</v>
      </c>
      <c r="F341" s="3474" t="s">
        <v>3408</v>
      </c>
    </row>
    <row r="342" spans="1:8" ht="28.5" customHeight="1" thickBot="1">
      <c r="A342" s="3471">
        <v>341</v>
      </c>
      <c r="B342" s="3472" t="s">
        <v>3406</v>
      </c>
      <c r="C342" s="3473" t="s">
        <v>3723</v>
      </c>
      <c r="D342" s="3473">
        <v>114.54</v>
      </c>
      <c r="E342" s="3472">
        <v>12.18</v>
      </c>
      <c r="F342" s="3474" t="s">
        <v>3408</v>
      </c>
    </row>
    <row r="343" spans="1:8" ht="28.5" customHeight="1" thickBot="1">
      <c r="A343" s="3471">
        <v>342</v>
      </c>
      <c r="B343" s="3472" t="s">
        <v>3406</v>
      </c>
      <c r="C343" s="3473" t="s">
        <v>3724</v>
      </c>
      <c r="D343" s="3473">
        <v>160.5</v>
      </c>
      <c r="E343" s="3472">
        <v>17.07</v>
      </c>
      <c r="F343" s="3474" t="s">
        <v>3408</v>
      </c>
    </row>
    <row r="344" spans="1:8" ht="28.5" customHeight="1" thickBot="1">
      <c r="A344" s="3471">
        <v>343</v>
      </c>
      <c r="B344" s="3472" t="s">
        <v>3406</v>
      </c>
      <c r="C344" s="3473" t="s">
        <v>3725</v>
      </c>
      <c r="D344" s="3473">
        <v>139.93</v>
      </c>
      <c r="E344" s="3472">
        <v>14.88</v>
      </c>
      <c r="F344" s="3474" t="s">
        <v>3408</v>
      </c>
    </row>
    <row r="345" spans="1:8" ht="28.5" customHeight="1" thickBot="1">
      <c r="A345" s="3471">
        <v>344</v>
      </c>
      <c r="B345" s="3472" t="s">
        <v>3406</v>
      </c>
      <c r="C345" s="3473" t="s">
        <v>3726</v>
      </c>
      <c r="D345" s="3473">
        <v>169.27</v>
      </c>
      <c r="E345" s="3472">
        <v>18.010000000000002</v>
      </c>
      <c r="F345" s="3474" t="s">
        <v>3408</v>
      </c>
    </row>
    <row r="346" spans="1:8" ht="28.5" customHeight="1" thickBot="1">
      <c r="A346" s="3471">
        <v>345</v>
      </c>
      <c r="B346" s="3472" t="s">
        <v>3406</v>
      </c>
      <c r="C346" s="3473" t="s">
        <v>3727</v>
      </c>
      <c r="D346" s="3473">
        <v>177.09</v>
      </c>
      <c r="E346" s="3472">
        <v>18.84</v>
      </c>
      <c r="F346" s="3474" t="s">
        <v>3408</v>
      </c>
    </row>
    <row r="347" spans="1:8" ht="28.5" customHeight="1" thickBot="1">
      <c r="A347" s="3471">
        <v>346</v>
      </c>
      <c r="B347" s="3472" t="s">
        <v>3406</v>
      </c>
      <c r="C347" s="3473" t="s">
        <v>3728</v>
      </c>
      <c r="D347" s="3473">
        <v>114.54</v>
      </c>
      <c r="E347" s="3472">
        <v>12.18</v>
      </c>
      <c r="F347" s="3474" t="s">
        <v>3408</v>
      </c>
    </row>
    <row r="348" spans="1:8" ht="28.5" customHeight="1" thickBot="1">
      <c r="A348" s="3471">
        <v>347</v>
      </c>
      <c r="B348" s="3472" t="s">
        <v>3406</v>
      </c>
      <c r="C348" s="3473" t="s">
        <v>3729</v>
      </c>
      <c r="D348" s="3473">
        <v>160.5</v>
      </c>
      <c r="E348" s="3472">
        <v>17.07</v>
      </c>
      <c r="F348" s="3474" t="s">
        <v>3408</v>
      </c>
    </row>
    <row r="349" spans="1:8" ht="28.5" customHeight="1" thickBot="1">
      <c r="A349" s="3471">
        <v>348</v>
      </c>
      <c r="B349" s="3472" t="s">
        <v>3406</v>
      </c>
      <c r="C349" s="3473" t="s">
        <v>3730</v>
      </c>
      <c r="D349" s="3473">
        <v>139.93</v>
      </c>
      <c r="E349" s="3472">
        <v>14.88</v>
      </c>
      <c r="F349" s="3474" t="s">
        <v>3408</v>
      </c>
      <c r="H349" s="3470">
        <f>E349/D349</f>
        <v>0.10633888372757808</v>
      </c>
    </row>
    <row r="350" spans="1:8" ht="28.5" customHeight="1" thickBot="1">
      <c r="A350" s="3471">
        <v>349</v>
      </c>
      <c r="B350" s="3472" t="s">
        <v>3741</v>
      </c>
      <c r="C350" s="3473">
        <v>3701</v>
      </c>
      <c r="D350" s="3473">
        <v>169.27</v>
      </c>
      <c r="E350" s="3500">
        <f>ROUND(D350*$H$349,2)</f>
        <v>18</v>
      </c>
      <c r="F350" s="3474"/>
      <c r="H350" s="3470">
        <f>E350/D350</f>
        <v>0.10633898505346487</v>
      </c>
    </row>
    <row r="351" spans="1:8" ht="28.5" customHeight="1" thickBot="1">
      <c r="A351" s="3471">
        <v>350</v>
      </c>
      <c r="B351" s="3472" t="s">
        <v>3741</v>
      </c>
      <c r="C351" s="3473">
        <v>3702</v>
      </c>
      <c r="D351" s="3473">
        <v>177.09</v>
      </c>
      <c r="E351" s="3500">
        <f>ROUND(D351*$H$349,2)</f>
        <v>18.829999999999998</v>
      </c>
      <c r="F351" s="3474"/>
    </row>
    <row r="352" spans="1:8" ht="28.5" customHeight="1" thickBot="1">
      <c r="A352" s="3471">
        <v>351</v>
      </c>
      <c r="B352" s="3472" t="s">
        <v>3741</v>
      </c>
      <c r="C352" s="3473">
        <v>3703</v>
      </c>
      <c r="D352" s="3473">
        <v>114.54</v>
      </c>
      <c r="E352" s="3500">
        <f t="shared" ref="E352:E369" si="1">ROUND(D352*$H$349,2)</f>
        <v>12.18</v>
      </c>
      <c r="F352" s="3474"/>
    </row>
    <row r="353" spans="1:6" ht="28.5" customHeight="1" thickBot="1">
      <c r="A353" s="3471">
        <v>352</v>
      </c>
      <c r="B353" s="3472" t="s">
        <v>3741</v>
      </c>
      <c r="C353" s="3473">
        <v>3704</v>
      </c>
      <c r="D353" s="3473">
        <v>160.5</v>
      </c>
      <c r="E353" s="3500">
        <f t="shared" si="1"/>
        <v>17.07</v>
      </c>
      <c r="F353" s="3474"/>
    </row>
    <row r="354" spans="1:6" ht="28.5" customHeight="1" thickBot="1">
      <c r="A354" s="3471">
        <v>353</v>
      </c>
      <c r="B354" s="3472" t="s">
        <v>3741</v>
      </c>
      <c r="C354" s="3473">
        <v>3705</v>
      </c>
      <c r="D354" s="3473">
        <v>139.93</v>
      </c>
      <c r="E354" s="3500">
        <f t="shared" si="1"/>
        <v>14.88</v>
      </c>
      <c r="F354" s="3474"/>
    </row>
    <row r="355" spans="1:6" ht="28.5" customHeight="1" thickBot="1">
      <c r="A355" s="3471">
        <v>354</v>
      </c>
      <c r="B355" s="3472" t="s">
        <v>3741</v>
      </c>
      <c r="C355" s="3473">
        <v>3704</v>
      </c>
      <c r="D355" s="3473">
        <v>169.27</v>
      </c>
      <c r="E355" s="3500">
        <f t="shared" si="1"/>
        <v>18</v>
      </c>
      <c r="F355" s="3474"/>
    </row>
    <row r="356" spans="1:6" ht="28.5" customHeight="1" thickBot="1">
      <c r="A356" s="3471">
        <v>355</v>
      </c>
      <c r="B356" s="3472" t="s">
        <v>3741</v>
      </c>
      <c r="C356" s="3473">
        <v>3802</v>
      </c>
      <c r="D356" s="3473">
        <v>177.09</v>
      </c>
      <c r="E356" s="3500">
        <f t="shared" si="1"/>
        <v>18.829999999999998</v>
      </c>
      <c r="F356" s="3474"/>
    </row>
    <row r="357" spans="1:6" ht="28.5" customHeight="1" thickBot="1">
      <c r="A357" s="3471">
        <v>356</v>
      </c>
      <c r="B357" s="3472" t="s">
        <v>3741</v>
      </c>
      <c r="C357" s="3473">
        <v>3803</v>
      </c>
      <c r="D357" s="3473">
        <v>114.54</v>
      </c>
      <c r="E357" s="3500">
        <f t="shared" si="1"/>
        <v>12.18</v>
      </c>
      <c r="F357" s="3474"/>
    </row>
    <row r="358" spans="1:6" ht="28.5" customHeight="1" thickBot="1">
      <c r="A358" s="3471">
        <v>357</v>
      </c>
      <c r="B358" s="3472" t="s">
        <v>3741</v>
      </c>
      <c r="C358" s="3473">
        <v>3804</v>
      </c>
      <c r="D358" s="3473">
        <v>160.5</v>
      </c>
      <c r="E358" s="3500">
        <f t="shared" si="1"/>
        <v>17.07</v>
      </c>
      <c r="F358" s="3474"/>
    </row>
    <row r="359" spans="1:6" ht="28.5" customHeight="1" thickBot="1">
      <c r="A359" s="3471">
        <v>358</v>
      </c>
      <c r="B359" s="3472" t="s">
        <v>3741</v>
      </c>
      <c r="C359" s="3473">
        <v>3805</v>
      </c>
      <c r="D359" s="3473">
        <v>139.93</v>
      </c>
      <c r="E359" s="3500">
        <f t="shared" si="1"/>
        <v>14.88</v>
      </c>
      <c r="F359" s="3474"/>
    </row>
    <row r="360" spans="1:6" ht="28.5" customHeight="1" thickBot="1">
      <c r="A360" s="3471">
        <v>359</v>
      </c>
      <c r="B360" s="3472" t="s">
        <v>3741</v>
      </c>
      <c r="C360" s="3473">
        <v>3901</v>
      </c>
      <c r="D360" s="3473">
        <v>169.27</v>
      </c>
      <c r="E360" s="3500">
        <f t="shared" si="1"/>
        <v>18</v>
      </c>
      <c r="F360" s="3474"/>
    </row>
    <row r="361" spans="1:6" ht="28.5" customHeight="1" thickBot="1">
      <c r="A361" s="3471">
        <v>360</v>
      </c>
      <c r="B361" s="3472" t="s">
        <v>3741</v>
      </c>
      <c r="C361" s="3473">
        <v>3902</v>
      </c>
      <c r="D361" s="3473">
        <v>177.09</v>
      </c>
      <c r="E361" s="3500">
        <f t="shared" si="1"/>
        <v>18.829999999999998</v>
      </c>
      <c r="F361" s="3474"/>
    </row>
    <row r="362" spans="1:6" ht="28.5" customHeight="1" thickBot="1">
      <c r="A362" s="3471">
        <v>361</v>
      </c>
      <c r="B362" s="3472" t="s">
        <v>3741</v>
      </c>
      <c r="C362" s="3473">
        <v>3903</v>
      </c>
      <c r="D362" s="3473">
        <v>114.54</v>
      </c>
      <c r="E362" s="3500">
        <f t="shared" si="1"/>
        <v>12.18</v>
      </c>
      <c r="F362" s="3474"/>
    </row>
    <row r="363" spans="1:6" ht="28.5" customHeight="1" thickBot="1">
      <c r="A363" s="3471">
        <v>362</v>
      </c>
      <c r="B363" s="3472" t="s">
        <v>3741</v>
      </c>
      <c r="C363" s="3473">
        <v>3904</v>
      </c>
      <c r="D363" s="3473">
        <v>160.5</v>
      </c>
      <c r="E363" s="3500">
        <f t="shared" si="1"/>
        <v>17.07</v>
      </c>
      <c r="F363" s="3474"/>
    </row>
    <row r="364" spans="1:6" ht="28.5" customHeight="1" thickBot="1">
      <c r="A364" s="3471">
        <v>363</v>
      </c>
      <c r="B364" s="3472" t="s">
        <v>3741</v>
      </c>
      <c r="C364" s="3473">
        <v>3905</v>
      </c>
      <c r="D364" s="3473">
        <v>139.93</v>
      </c>
      <c r="E364" s="3500">
        <f t="shared" si="1"/>
        <v>14.88</v>
      </c>
      <c r="F364" s="3474"/>
    </row>
    <row r="365" spans="1:6" ht="28.5" customHeight="1" thickBot="1">
      <c r="A365" s="3471">
        <v>364</v>
      </c>
      <c r="B365" s="3472" t="s">
        <v>3741</v>
      </c>
      <c r="C365" s="3473">
        <v>4001</v>
      </c>
      <c r="D365" s="3473">
        <v>169.27</v>
      </c>
      <c r="E365" s="3500">
        <f t="shared" si="1"/>
        <v>18</v>
      </c>
      <c r="F365" s="3474"/>
    </row>
    <row r="366" spans="1:6" ht="28.5" customHeight="1" thickBot="1">
      <c r="A366" s="3471">
        <v>365</v>
      </c>
      <c r="B366" s="3472" t="s">
        <v>3741</v>
      </c>
      <c r="C366" s="3473">
        <v>4002</v>
      </c>
      <c r="D366" s="3473">
        <v>177.09</v>
      </c>
      <c r="E366" s="3500">
        <f t="shared" si="1"/>
        <v>18.829999999999998</v>
      </c>
      <c r="F366" s="3474"/>
    </row>
    <row r="367" spans="1:6" ht="28.5" customHeight="1" thickBot="1">
      <c r="A367" s="3471">
        <v>366</v>
      </c>
      <c r="B367" s="3472" t="s">
        <v>3741</v>
      </c>
      <c r="C367" s="3473">
        <v>4003</v>
      </c>
      <c r="D367" s="3473">
        <v>114.54</v>
      </c>
      <c r="E367" s="3500">
        <f t="shared" si="1"/>
        <v>12.18</v>
      </c>
      <c r="F367" s="3474"/>
    </row>
    <row r="368" spans="1:6" ht="28.5" customHeight="1" thickBot="1">
      <c r="A368" s="3471">
        <v>367</v>
      </c>
      <c r="B368" s="3472" t="s">
        <v>3741</v>
      </c>
      <c r="C368" s="3501">
        <v>4004</v>
      </c>
      <c r="D368" s="3501">
        <v>160.5</v>
      </c>
      <c r="E368" s="3500">
        <f t="shared" si="1"/>
        <v>17.07</v>
      </c>
      <c r="F368" s="3474"/>
    </row>
    <row r="369" spans="1:6" ht="28.5" customHeight="1" thickBot="1">
      <c r="A369" s="3471">
        <v>368</v>
      </c>
      <c r="B369" s="3472" t="s">
        <v>3741</v>
      </c>
      <c r="C369" s="3501">
        <v>4005</v>
      </c>
      <c r="D369" s="3501">
        <v>139.93</v>
      </c>
      <c r="E369" s="3500">
        <f t="shared" si="1"/>
        <v>14.88</v>
      </c>
      <c r="F369" s="3474"/>
    </row>
    <row r="370" spans="1:6" ht="28.5" customHeight="1" thickBot="1">
      <c r="A370" s="3471">
        <v>369</v>
      </c>
      <c r="B370" s="3472" t="s">
        <v>3406</v>
      </c>
      <c r="C370" s="3475">
        <v>101</v>
      </c>
      <c r="D370" s="3473">
        <v>8681.42</v>
      </c>
      <c r="E370" s="3472">
        <v>923.46</v>
      </c>
      <c r="F370" s="3474" t="s">
        <v>3408</v>
      </c>
    </row>
    <row r="371" spans="1:6" ht="28.5" customHeight="1" thickBot="1">
      <c r="A371" s="3471">
        <v>370</v>
      </c>
      <c r="B371" s="3472" t="s">
        <v>3406</v>
      </c>
      <c r="C371" s="3475">
        <v>201</v>
      </c>
      <c r="D371" s="3473">
        <v>13557.67</v>
      </c>
      <c r="E371" s="3472">
        <v>1442.15</v>
      </c>
      <c r="F371" s="3474" t="s">
        <v>3408</v>
      </c>
    </row>
    <row r="372" spans="1:6" ht="28.5" customHeight="1" thickBot="1">
      <c r="A372" s="3471">
        <v>371</v>
      </c>
      <c r="B372" s="3472" t="s">
        <v>3406</v>
      </c>
      <c r="C372" s="3475">
        <v>301</v>
      </c>
      <c r="D372" s="3473">
        <v>13637.32</v>
      </c>
      <c r="E372" s="3472">
        <v>1450.63</v>
      </c>
      <c r="F372" s="3474" t="s">
        <v>3408</v>
      </c>
    </row>
    <row r="373" spans="1:6" ht="28.5" customHeight="1" thickBot="1">
      <c r="A373" s="3471">
        <v>372</v>
      </c>
      <c r="B373" s="3472" t="s">
        <v>3406</v>
      </c>
      <c r="C373" s="3475">
        <v>401</v>
      </c>
      <c r="D373" s="3473">
        <v>12580.2</v>
      </c>
      <c r="E373" s="3472">
        <v>1338.18</v>
      </c>
      <c r="F373" s="3474" t="s">
        <v>3408</v>
      </c>
    </row>
    <row r="374" spans="1:6">
      <c r="D374" s="3470">
        <f>SUM(D2:D373)</f>
        <v>99445.269999999888</v>
      </c>
      <c r="E374" s="3470">
        <f>SUM(E2:E373)</f>
        <v>10577.690000000013</v>
      </c>
    </row>
    <row r="375" spans="1:6" ht="15">
      <c r="A375" s="3480">
        <v>372</v>
      </c>
    </row>
    <row r="376" spans="1:6">
      <c r="A376" s="3470">
        <f>A375-A373</f>
        <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7"/>
  <sheetViews>
    <sheetView topLeftCell="A333" workbookViewId="0">
      <selection activeCell="A334" sqref="A334:XFD334"/>
    </sheetView>
  </sheetViews>
  <sheetFormatPr defaultRowHeight="13.5"/>
  <cols>
    <col min="1" max="16384" width="9" style="3470"/>
  </cols>
  <sheetData>
    <row r="1" spans="1:15" ht="68.25" thickBot="1">
      <c r="B1" s="3466" t="s">
        <v>3399</v>
      </c>
      <c r="C1" s="3467" t="s">
        <v>3400</v>
      </c>
      <c r="D1" s="3468" t="s">
        <v>3401</v>
      </c>
      <c r="E1" s="3468" t="s">
        <v>3402</v>
      </c>
      <c r="F1" s="3468" t="s">
        <v>3403</v>
      </c>
      <c r="G1" s="3469" t="s">
        <v>3404</v>
      </c>
      <c r="O1" s="3470" t="s">
        <v>3731</v>
      </c>
    </row>
    <row r="2" spans="1:15" ht="56.25" thickBot="1">
      <c r="A2" s="3470">
        <v>1</v>
      </c>
      <c r="B2" s="3476">
        <v>324</v>
      </c>
      <c r="C2" s="3481" t="s">
        <v>3732</v>
      </c>
      <c r="D2" s="3482">
        <v>-4001</v>
      </c>
      <c r="E2" s="3478">
        <v>24.46</v>
      </c>
      <c r="F2" s="3476">
        <v>2.6</v>
      </c>
      <c r="G2" s="3479" t="s">
        <v>3408</v>
      </c>
      <c r="H2" s="3470">
        <f>10000+D2</f>
        <v>5999</v>
      </c>
      <c r="N2" s="3470" t="s">
        <v>3733</v>
      </c>
      <c r="O2" s="3470">
        <f>O5-O4-O3</f>
        <v>10253.629999999966</v>
      </c>
    </row>
    <row r="3" spans="1:15" ht="83.25" thickBot="1">
      <c r="A3" s="3470">
        <f>A2+1</f>
        <v>2</v>
      </c>
      <c r="B3" s="3483">
        <v>325</v>
      </c>
      <c r="C3" s="3484" t="s">
        <v>3734</v>
      </c>
      <c r="D3" s="3485">
        <v>-4002</v>
      </c>
      <c r="E3" s="3486">
        <v>24.46</v>
      </c>
      <c r="F3" s="3484">
        <v>2.6</v>
      </c>
      <c r="G3" s="3469" t="s">
        <v>3408</v>
      </c>
      <c r="H3" s="3470">
        <f t="shared" ref="H3:H66" si="0">10000+D3</f>
        <v>5998</v>
      </c>
      <c r="N3" s="3470" t="s">
        <v>3735</v>
      </c>
      <c r="O3" s="3470">
        <f>E335+E346+E357+E368+E379+E390+E401+E409+E410+E411+E412</f>
        <v>1271.7399999999998</v>
      </c>
    </row>
    <row r="4" spans="1:15" ht="83.25" thickBot="1">
      <c r="A4" s="3470">
        <f t="shared" ref="A4:A67" si="1">A3+1</f>
        <v>3</v>
      </c>
      <c r="B4" s="3471">
        <v>326</v>
      </c>
      <c r="C4" s="3472" t="s">
        <v>3734</v>
      </c>
      <c r="D4" s="3475">
        <v>-4003</v>
      </c>
      <c r="E4" s="3473">
        <v>24.46</v>
      </c>
      <c r="F4" s="3472">
        <v>2.6</v>
      </c>
      <c r="G4" s="3474" t="s">
        <v>3408</v>
      </c>
      <c r="H4" s="3470">
        <f t="shared" si="0"/>
        <v>5997</v>
      </c>
      <c r="N4" s="3470" t="s">
        <v>3736</v>
      </c>
      <c r="O4" s="3470">
        <f>E413+E334</f>
        <v>16844.78</v>
      </c>
    </row>
    <row r="5" spans="1:15" ht="83.25" thickBot="1">
      <c r="A5" s="3470">
        <f t="shared" si="1"/>
        <v>4</v>
      </c>
      <c r="B5" s="3471">
        <v>327</v>
      </c>
      <c r="C5" s="3472" t="s">
        <v>3734</v>
      </c>
      <c r="D5" s="3475">
        <v>-4004</v>
      </c>
      <c r="E5" s="3473">
        <v>24.46</v>
      </c>
      <c r="F5" s="3472">
        <v>2.6</v>
      </c>
      <c r="G5" s="3474" t="s">
        <v>3408</v>
      </c>
      <c r="H5" s="3470">
        <f t="shared" si="0"/>
        <v>5996</v>
      </c>
      <c r="N5" s="3470" t="s">
        <v>3737</v>
      </c>
      <c r="O5" s="3470">
        <f>E414</f>
        <v>28370.149999999965</v>
      </c>
    </row>
    <row r="6" spans="1:15" ht="83.25" thickBot="1">
      <c r="A6" s="3470">
        <f t="shared" si="1"/>
        <v>5</v>
      </c>
      <c r="B6" s="3471">
        <v>328</v>
      </c>
      <c r="C6" s="3472" t="s">
        <v>3734</v>
      </c>
      <c r="D6" s="3475">
        <v>-4005</v>
      </c>
      <c r="E6" s="3473">
        <v>24.46</v>
      </c>
      <c r="F6" s="3472">
        <v>2.6</v>
      </c>
      <c r="G6" s="3474" t="s">
        <v>3408</v>
      </c>
      <c r="H6" s="3470">
        <f t="shared" si="0"/>
        <v>5995</v>
      </c>
      <c r="O6" s="3470">
        <f>29064.84-694.69</f>
        <v>28370.15</v>
      </c>
    </row>
    <row r="7" spans="1:15" ht="83.25" thickBot="1">
      <c r="A7" s="3470">
        <f t="shared" si="1"/>
        <v>6</v>
      </c>
      <c r="B7" s="3471">
        <v>329</v>
      </c>
      <c r="C7" s="3472" t="s">
        <v>3734</v>
      </c>
      <c r="D7" s="3475">
        <v>-4006</v>
      </c>
      <c r="E7" s="3473">
        <v>24.46</v>
      </c>
      <c r="F7" s="3472">
        <v>2.6</v>
      </c>
      <c r="G7" s="3474" t="s">
        <v>3408</v>
      </c>
      <c r="H7" s="3470">
        <f t="shared" si="0"/>
        <v>5994</v>
      </c>
    </row>
    <row r="8" spans="1:15" ht="83.25" thickBot="1">
      <c r="A8" s="3470">
        <f t="shared" si="1"/>
        <v>7</v>
      </c>
      <c r="B8" s="3471">
        <v>330</v>
      </c>
      <c r="C8" s="3472" t="s">
        <v>3734</v>
      </c>
      <c r="D8" s="3475">
        <v>-4007</v>
      </c>
      <c r="E8" s="3473">
        <v>24.46</v>
      </c>
      <c r="F8" s="3472">
        <v>2.6</v>
      </c>
      <c r="G8" s="3474" t="s">
        <v>3408</v>
      </c>
      <c r="H8" s="3470">
        <f t="shared" si="0"/>
        <v>5993</v>
      </c>
    </row>
    <row r="9" spans="1:15" ht="83.25" thickBot="1">
      <c r="A9" s="3470">
        <f t="shared" si="1"/>
        <v>8</v>
      </c>
      <c r="B9" s="3471">
        <v>331</v>
      </c>
      <c r="C9" s="3472" t="s">
        <v>3734</v>
      </c>
      <c r="D9" s="3475">
        <v>-4008</v>
      </c>
      <c r="E9" s="3473">
        <v>24.46</v>
      </c>
      <c r="F9" s="3472">
        <v>2.6</v>
      </c>
      <c r="G9" s="3474" t="s">
        <v>3408</v>
      </c>
      <c r="H9" s="3470">
        <f t="shared" si="0"/>
        <v>5992</v>
      </c>
    </row>
    <row r="10" spans="1:15" ht="83.25" thickBot="1">
      <c r="A10" s="3470">
        <f t="shared" si="1"/>
        <v>9</v>
      </c>
      <c r="B10" s="3471">
        <v>332</v>
      </c>
      <c r="C10" s="3472" t="s">
        <v>3734</v>
      </c>
      <c r="D10" s="3475">
        <v>-4009</v>
      </c>
      <c r="E10" s="3473">
        <v>24.46</v>
      </c>
      <c r="F10" s="3472">
        <v>2.6</v>
      </c>
      <c r="G10" s="3474" t="s">
        <v>3408</v>
      </c>
      <c r="H10" s="3470">
        <f t="shared" si="0"/>
        <v>5991</v>
      </c>
    </row>
    <row r="11" spans="1:15" ht="83.25" thickBot="1">
      <c r="A11" s="3470">
        <f t="shared" si="1"/>
        <v>10</v>
      </c>
      <c r="B11" s="3471">
        <v>333</v>
      </c>
      <c r="C11" s="3472" t="s">
        <v>3734</v>
      </c>
      <c r="D11" s="3475">
        <v>-4010</v>
      </c>
      <c r="E11" s="3473">
        <v>24.46</v>
      </c>
      <c r="F11" s="3472">
        <v>2.6</v>
      </c>
      <c r="G11" s="3474" t="s">
        <v>3408</v>
      </c>
      <c r="H11" s="3470">
        <f t="shared" si="0"/>
        <v>5990</v>
      </c>
    </row>
    <row r="12" spans="1:15" ht="83.25" thickBot="1">
      <c r="A12" s="3470">
        <f t="shared" si="1"/>
        <v>11</v>
      </c>
      <c r="B12" s="3471">
        <v>334</v>
      </c>
      <c r="C12" s="3472" t="s">
        <v>3734</v>
      </c>
      <c r="D12" s="3475">
        <v>-4011</v>
      </c>
      <c r="E12" s="3473">
        <v>24.46</v>
      </c>
      <c r="F12" s="3472">
        <v>2.6</v>
      </c>
      <c r="G12" s="3474" t="s">
        <v>3408</v>
      </c>
      <c r="H12" s="3470">
        <f t="shared" si="0"/>
        <v>5989</v>
      </c>
    </row>
    <row r="13" spans="1:15" ht="83.25" thickBot="1">
      <c r="A13" s="3470">
        <f t="shared" si="1"/>
        <v>12</v>
      </c>
      <c r="B13" s="3471">
        <v>335</v>
      </c>
      <c r="C13" s="3472" t="s">
        <v>3734</v>
      </c>
      <c r="D13" s="3475">
        <v>-4012</v>
      </c>
      <c r="E13" s="3473">
        <v>24.46</v>
      </c>
      <c r="F13" s="3472">
        <v>2.6</v>
      </c>
      <c r="G13" s="3474" t="s">
        <v>3408</v>
      </c>
      <c r="H13" s="3470">
        <f t="shared" si="0"/>
        <v>5988</v>
      </c>
    </row>
    <row r="14" spans="1:15" ht="83.25" thickBot="1">
      <c r="A14" s="3470">
        <f t="shared" si="1"/>
        <v>13</v>
      </c>
      <c r="B14" s="3471">
        <v>336</v>
      </c>
      <c r="C14" s="3472" t="s">
        <v>3734</v>
      </c>
      <c r="D14" s="3475">
        <v>-4013</v>
      </c>
      <c r="E14" s="3473">
        <v>24.46</v>
      </c>
      <c r="F14" s="3472">
        <v>2.6</v>
      </c>
      <c r="G14" s="3474" t="s">
        <v>3408</v>
      </c>
      <c r="H14" s="3470">
        <f t="shared" si="0"/>
        <v>5987</v>
      </c>
    </row>
    <row r="15" spans="1:15" ht="83.25" thickBot="1">
      <c r="A15" s="3470">
        <f t="shared" si="1"/>
        <v>14</v>
      </c>
      <c r="B15" s="3471">
        <v>337</v>
      </c>
      <c r="C15" s="3472" t="s">
        <v>3734</v>
      </c>
      <c r="D15" s="3475">
        <v>-4014</v>
      </c>
      <c r="E15" s="3473">
        <v>24.46</v>
      </c>
      <c r="F15" s="3472">
        <v>2.6</v>
      </c>
      <c r="G15" s="3474" t="s">
        <v>3408</v>
      </c>
      <c r="H15" s="3470">
        <f t="shared" si="0"/>
        <v>5986</v>
      </c>
    </row>
    <row r="16" spans="1:15" ht="83.25" thickBot="1">
      <c r="A16" s="3470">
        <f t="shared" si="1"/>
        <v>15</v>
      </c>
      <c r="B16" s="3471">
        <v>338</v>
      </c>
      <c r="C16" s="3472" t="s">
        <v>3734</v>
      </c>
      <c r="D16" s="3475">
        <v>-4015</v>
      </c>
      <c r="E16" s="3473">
        <v>24.46</v>
      </c>
      <c r="F16" s="3472">
        <v>2.6</v>
      </c>
      <c r="G16" s="3474" t="s">
        <v>3408</v>
      </c>
      <c r="H16" s="3470">
        <f t="shared" si="0"/>
        <v>5985</v>
      </c>
    </row>
    <row r="17" spans="1:8" ht="83.25" thickBot="1">
      <c r="A17" s="3470">
        <f t="shared" si="1"/>
        <v>16</v>
      </c>
      <c r="B17" s="3471">
        <v>339</v>
      </c>
      <c r="C17" s="3472" t="s">
        <v>3734</v>
      </c>
      <c r="D17" s="3475">
        <v>-4016</v>
      </c>
      <c r="E17" s="3473">
        <v>24.46</v>
      </c>
      <c r="F17" s="3472">
        <v>2.6</v>
      </c>
      <c r="G17" s="3474" t="s">
        <v>3408</v>
      </c>
      <c r="H17" s="3470">
        <f t="shared" si="0"/>
        <v>5984</v>
      </c>
    </row>
    <row r="18" spans="1:8" ht="83.25" thickBot="1">
      <c r="A18" s="3470">
        <f t="shared" si="1"/>
        <v>17</v>
      </c>
      <c r="B18" s="3471">
        <v>340</v>
      </c>
      <c r="C18" s="3472" t="s">
        <v>3734</v>
      </c>
      <c r="D18" s="3475">
        <v>-4017</v>
      </c>
      <c r="E18" s="3473">
        <v>24.46</v>
      </c>
      <c r="F18" s="3472">
        <v>2.6</v>
      </c>
      <c r="G18" s="3474" t="s">
        <v>3408</v>
      </c>
      <c r="H18" s="3470">
        <f t="shared" si="0"/>
        <v>5983</v>
      </c>
    </row>
    <row r="19" spans="1:8" ht="83.25" thickBot="1">
      <c r="A19" s="3470">
        <f t="shared" si="1"/>
        <v>18</v>
      </c>
      <c r="B19" s="3471">
        <v>341</v>
      </c>
      <c r="C19" s="3472" t="s">
        <v>3734</v>
      </c>
      <c r="D19" s="3475">
        <v>-4018</v>
      </c>
      <c r="E19" s="3473">
        <v>24.46</v>
      </c>
      <c r="F19" s="3472">
        <v>2.6</v>
      </c>
      <c r="G19" s="3474" t="s">
        <v>3408</v>
      </c>
      <c r="H19" s="3470">
        <f t="shared" si="0"/>
        <v>5982</v>
      </c>
    </row>
    <row r="20" spans="1:8" ht="83.25" thickBot="1">
      <c r="A20" s="3470">
        <f t="shared" si="1"/>
        <v>19</v>
      </c>
      <c r="B20" s="3471">
        <v>342</v>
      </c>
      <c r="C20" s="3472" t="s">
        <v>3734</v>
      </c>
      <c r="D20" s="3475">
        <v>-4019</v>
      </c>
      <c r="E20" s="3473">
        <v>24.46</v>
      </c>
      <c r="F20" s="3472">
        <v>2.6</v>
      </c>
      <c r="G20" s="3474" t="s">
        <v>3408</v>
      </c>
      <c r="H20" s="3470">
        <f t="shared" si="0"/>
        <v>5981</v>
      </c>
    </row>
    <row r="21" spans="1:8" ht="83.25" thickBot="1">
      <c r="A21" s="3470">
        <f t="shared" si="1"/>
        <v>20</v>
      </c>
      <c r="B21" s="3483">
        <v>343</v>
      </c>
      <c r="C21" s="3484" t="s">
        <v>3734</v>
      </c>
      <c r="D21" s="3485">
        <v>-4020</v>
      </c>
      <c r="E21" s="3486">
        <v>24.46</v>
      </c>
      <c r="F21" s="3484">
        <v>2.6</v>
      </c>
      <c r="G21" s="3469" t="s">
        <v>3408</v>
      </c>
      <c r="H21" s="3470">
        <f t="shared" si="0"/>
        <v>5980</v>
      </c>
    </row>
    <row r="22" spans="1:8" ht="83.25" thickBot="1">
      <c r="A22" s="3470">
        <f t="shared" si="1"/>
        <v>21</v>
      </c>
      <c r="B22" s="3471">
        <v>344</v>
      </c>
      <c r="C22" s="3472" t="s">
        <v>3734</v>
      </c>
      <c r="D22" s="3475">
        <v>-4021</v>
      </c>
      <c r="E22" s="3473">
        <v>24.46</v>
      </c>
      <c r="F22" s="3472">
        <v>2.6</v>
      </c>
      <c r="G22" s="3474" t="s">
        <v>3408</v>
      </c>
      <c r="H22" s="3470">
        <f t="shared" si="0"/>
        <v>5979</v>
      </c>
    </row>
    <row r="23" spans="1:8" ht="83.25" thickBot="1">
      <c r="A23" s="3470">
        <f t="shared" si="1"/>
        <v>22</v>
      </c>
      <c r="B23" s="3471">
        <v>345</v>
      </c>
      <c r="C23" s="3472" t="s">
        <v>3734</v>
      </c>
      <c r="D23" s="3475">
        <v>-4022</v>
      </c>
      <c r="E23" s="3473">
        <v>24.46</v>
      </c>
      <c r="F23" s="3472">
        <v>2.6</v>
      </c>
      <c r="G23" s="3474" t="s">
        <v>3408</v>
      </c>
      <c r="H23" s="3470">
        <f t="shared" si="0"/>
        <v>5978</v>
      </c>
    </row>
    <row r="24" spans="1:8" ht="83.25" thickBot="1">
      <c r="A24" s="3470">
        <f t="shared" si="1"/>
        <v>23</v>
      </c>
      <c r="B24" s="3471">
        <v>346</v>
      </c>
      <c r="C24" s="3472" t="s">
        <v>3734</v>
      </c>
      <c r="D24" s="3475">
        <v>-4023</v>
      </c>
      <c r="E24" s="3473">
        <v>24.46</v>
      </c>
      <c r="F24" s="3472">
        <v>2.6</v>
      </c>
      <c r="G24" s="3474" t="s">
        <v>3408</v>
      </c>
      <c r="H24" s="3470">
        <f t="shared" si="0"/>
        <v>5977</v>
      </c>
    </row>
    <row r="25" spans="1:8" ht="83.25" thickBot="1">
      <c r="A25" s="3470">
        <f t="shared" si="1"/>
        <v>24</v>
      </c>
      <c r="B25" s="3471">
        <v>347</v>
      </c>
      <c r="C25" s="3472" t="s">
        <v>3734</v>
      </c>
      <c r="D25" s="3475">
        <v>-4024</v>
      </c>
      <c r="E25" s="3473">
        <v>24.46</v>
      </c>
      <c r="F25" s="3472">
        <v>2.6</v>
      </c>
      <c r="G25" s="3474" t="s">
        <v>3408</v>
      </c>
      <c r="H25" s="3470">
        <f t="shared" si="0"/>
        <v>5976</v>
      </c>
    </row>
    <row r="26" spans="1:8" ht="83.25" thickBot="1">
      <c r="A26" s="3470">
        <f t="shared" si="1"/>
        <v>25</v>
      </c>
      <c r="B26" s="3471">
        <v>348</v>
      </c>
      <c r="C26" s="3472" t="s">
        <v>3734</v>
      </c>
      <c r="D26" s="3475">
        <v>-4025</v>
      </c>
      <c r="E26" s="3473">
        <v>24.46</v>
      </c>
      <c r="F26" s="3472">
        <v>2.6</v>
      </c>
      <c r="G26" s="3474" t="s">
        <v>3408</v>
      </c>
      <c r="H26" s="3470">
        <f t="shared" si="0"/>
        <v>5975</v>
      </c>
    </row>
    <row r="27" spans="1:8" ht="83.25" thickBot="1">
      <c r="A27" s="3470">
        <f t="shared" si="1"/>
        <v>26</v>
      </c>
      <c r="B27" s="3471">
        <v>349</v>
      </c>
      <c r="C27" s="3472" t="s">
        <v>3734</v>
      </c>
      <c r="D27" s="3475">
        <v>-4026</v>
      </c>
      <c r="E27" s="3473">
        <v>24.46</v>
      </c>
      <c r="F27" s="3472">
        <v>2.6</v>
      </c>
      <c r="G27" s="3474" t="s">
        <v>3408</v>
      </c>
      <c r="H27" s="3470">
        <f t="shared" si="0"/>
        <v>5974</v>
      </c>
    </row>
    <row r="28" spans="1:8" ht="83.25" thickBot="1">
      <c r="A28" s="3470">
        <f t="shared" si="1"/>
        <v>27</v>
      </c>
      <c r="B28" s="3471">
        <v>350</v>
      </c>
      <c r="C28" s="3472" t="s">
        <v>3734</v>
      </c>
      <c r="D28" s="3475">
        <v>-4027</v>
      </c>
      <c r="E28" s="3473">
        <v>24.46</v>
      </c>
      <c r="F28" s="3472">
        <v>2.6</v>
      </c>
      <c r="G28" s="3474" t="s">
        <v>3408</v>
      </c>
      <c r="H28" s="3470">
        <f t="shared" si="0"/>
        <v>5973</v>
      </c>
    </row>
    <row r="29" spans="1:8" ht="83.25" thickBot="1">
      <c r="A29" s="3470">
        <f t="shared" si="1"/>
        <v>28</v>
      </c>
      <c r="B29" s="3471">
        <v>351</v>
      </c>
      <c r="C29" s="3472" t="s">
        <v>3734</v>
      </c>
      <c r="D29" s="3475">
        <v>-4028</v>
      </c>
      <c r="E29" s="3473">
        <v>24.46</v>
      </c>
      <c r="F29" s="3472">
        <v>2.6</v>
      </c>
      <c r="G29" s="3474" t="s">
        <v>3408</v>
      </c>
      <c r="H29" s="3470">
        <f t="shared" si="0"/>
        <v>5972</v>
      </c>
    </row>
    <row r="30" spans="1:8" ht="83.25" thickBot="1">
      <c r="A30" s="3470">
        <f t="shared" si="1"/>
        <v>29</v>
      </c>
      <c r="B30" s="3471">
        <v>352</v>
      </c>
      <c r="C30" s="3472" t="s">
        <v>3734</v>
      </c>
      <c r="D30" s="3475">
        <v>-4029</v>
      </c>
      <c r="E30" s="3473">
        <v>24.46</v>
      </c>
      <c r="F30" s="3472">
        <v>2.6</v>
      </c>
      <c r="G30" s="3474" t="s">
        <v>3408</v>
      </c>
      <c r="H30" s="3470">
        <f t="shared" si="0"/>
        <v>5971</v>
      </c>
    </row>
    <row r="31" spans="1:8" ht="83.25" thickBot="1">
      <c r="A31" s="3470">
        <f t="shared" si="1"/>
        <v>30</v>
      </c>
      <c r="B31" s="3471">
        <v>353</v>
      </c>
      <c r="C31" s="3472" t="s">
        <v>3734</v>
      </c>
      <c r="D31" s="3475">
        <v>-4030</v>
      </c>
      <c r="E31" s="3473">
        <v>24.46</v>
      </c>
      <c r="F31" s="3472">
        <v>2.6</v>
      </c>
      <c r="G31" s="3474" t="s">
        <v>3408</v>
      </c>
      <c r="H31" s="3470">
        <f t="shared" si="0"/>
        <v>5970</v>
      </c>
    </row>
    <row r="32" spans="1:8" ht="83.25" thickBot="1">
      <c r="A32" s="3470">
        <f t="shared" si="1"/>
        <v>31</v>
      </c>
      <c r="B32" s="3471">
        <v>354</v>
      </c>
      <c r="C32" s="3472" t="s">
        <v>3734</v>
      </c>
      <c r="D32" s="3475">
        <v>-4031</v>
      </c>
      <c r="E32" s="3473">
        <v>24.46</v>
      </c>
      <c r="F32" s="3472">
        <v>2.6</v>
      </c>
      <c r="G32" s="3474" t="s">
        <v>3408</v>
      </c>
      <c r="H32" s="3470">
        <f t="shared" si="0"/>
        <v>5969</v>
      </c>
    </row>
    <row r="33" spans="1:8" ht="83.25" thickBot="1">
      <c r="A33" s="3470">
        <f t="shared" si="1"/>
        <v>32</v>
      </c>
      <c r="B33" s="3471">
        <v>355</v>
      </c>
      <c r="C33" s="3472" t="s">
        <v>3734</v>
      </c>
      <c r="D33" s="3475">
        <v>-4032</v>
      </c>
      <c r="E33" s="3473">
        <v>24.46</v>
      </c>
      <c r="F33" s="3472">
        <v>2.6</v>
      </c>
      <c r="G33" s="3474" t="s">
        <v>3408</v>
      </c>
      <c r="H33" s="3470">
        <f t="shared" si="0"/>
        <v>5968</v>
      </c>
    </row>
    <row r="34" spans="1:8" ht="83.25" thickBot="1">
      <c r="A34" s="3470">
        <f t="shared" si="1"/>
        <v>33</v>
      </c>
      <c r="B34" s="3471">
        <v>356</v>
      </c>
      <c r="C34" s="3472" t="s">
        <v>3734</v>
      </c>
      <c r="D34" s="3475">
        <v>-4033</v>
      </c>
      <c r="E34" s="3473">
        <v>24.46</v>
      </c>
      <c r="F34" s="3472">
        <v>2.6</v>
      </c>
      <c r="G34" s="3474" t="s">
        <v>3408</v>
      </c>
      <c r="H34" s="3470">
        <f t="shared" si="0"/>
        <v>5967</v>
      </c>
    </row>
    <row r="35" spans="1:8" ht="83.25" thickBot="1">
      <c r="A35" s="3470">
        <f t="shared" si="1"/>
        <v>34</v>
      </c>
      <c r="B35" s="3471">
        <v>357</v>
      </c>
      <c r="C35" s="3472" t="s">
        <v>3734</v>
      </c>
      <c r="D35" s="3475">
        <v>-4034</v>
      </c>
      <c r="E35" s="3473">
        <v>24.46</v>
      </c>
      <c r="F35" s="3472">
        <v>2.6</v>
      </c>
      <c r="G35" s="3474" t="s">
        <v>3408</v>
      </c>
      <c r="H35" s="3470">
        <f t="shared" si="0"/>
        <v>5966</v>
      </c>
    </row>
    <row r="36" spans="1:8" ht="83.25" thickBot="1">
      <c r="A36" s="3470">
        <f t="shared" si="1"/>
        <v>35</v>
      </c>
      <c r="B36" s="3471">
        <v>358</v>
      </c>
      <c r="C36" s="3472" t="s">
        <v>3734</v>
      </c>
      <c r="D36" s="3475">
        <v>-4035</v>
      </c>
      <c r="E36" s="3473">
        <v>24.46</v>
      </c>
      <c r="F36" s="3472">
        <v>2.6</v>
      </c>
      <c r="G36" s="3474" t="s">
        <v>3408</v>
      </c>
      <c r="H36" s="3470">
        <f t="shared" si="0"/>
        <v>5965</v>
      </c>
    </row>
    <row r="37" spans="1:8" ht="83.25" thickBot="1">
      <c r="A37" s="3470">
        <f t="shared" si="1"/>
        <v>36</v>
      </c>
      <c r="B37" s="3471">
        <v>359</v>
      </c>
      <c r="C37" s="3472" t="s">
        <v>3734</v>
      </c>
      <c r="D37" s="3475">
        <v>-4036</v>
      </c>
      <c r="E37" s="3473">
        <v>24.46</v>
      </c>
      <c r="F37" s="3472">
        <v>2.6</v>
      </c>
      <c r="G37" s="3474" t="s">
        <v>3408</v>
      </c>
      <c r="H37" s="3470">
        <f t="shared" si="0"/>
        <v>5964</v>
      </c>
    </row>
    <row r="38" spans="1:8" ht="83.25" thickBot="1">
      <c r="A38" s="3470">
        <f t="shared" si="1"/>
        <v>37</v>
      </c>
      <c r="B38" s="3471">
        <v>360</v>
      </c>
      <c r="C38" s="3472" t="s">
        <v>3734</v>
      </c>
      <c r="D38" s="3475">
        <v>-4037</v>
      </c>
      <c r="E38" s="3473">
        <v>24.46</v>
      </c>
      <c r="F38" s="3472">
        <v>2.6</v>
      </c>
      <c r="G38" s="3474" t="s">
        <v>3408</v>
      </c>
      <c r="H38" s="3470">
        <f t="shared" si="0"/>
        <v>5963</v>
      </c>
    </row>
    <row r="39" spans="1:8" ht="83.25" thickBot="1">
      <c r="A39" s="3470">
        <f t="shared" si="1"/>
        <v>38</v>
      </c>
      <c r="B39" s="3483">
        <v>361</v>
      </c>
      <c r="C39" s="3484" t="s">
        <v>3734</v>
      </c>
      <c r="D39" s="3485">
        <v>-4038</v>
      </c>
      <c r="E39" s="3486">
        <v>24.46</v>
      </c>
      <c r="F39" s="3484">
        <v>2.6</v>
      </c>
      <c r="G39" s="3469" t="s">
        <v>3408</v>
      </c>
      <c r="H39" s="3470">
        <f t="shared" si="0"/>
        <v>5962</v>
      </c>
    </row>
    <row r="40" spans="1:8" ht="83.25" thickBot="1">
      <c r="A40" s="3470">
        <f t="shared" si="1"/>
        <v>39</v>
      </c>
      <c r="B40" s="3471">
        <v>362</v>
      </c>
      <c r="C40" s="3472" t="s">
        <v>3734</v>
      </c>
      <c r="D40" s="3475">
        <v>-4039</v>
      </c>
      <c r="E40" s="3473">
        <v>24.46</v>
      </c>
      <c r="F40" s="3472">
        <v>2.6</v>
      </c>
      <c r="G40" s="3474" t="s">
        <v>3408</v>
      </c>
      <c r="H40" s="3470">
        <f t="shared" si="0"/>
        <v>5961</v>
      </c>
    </row>
    <row r="41" spans="1:8" ht="83.25" thickBot="1">
      <c r="A41" s="3470">
        <f t="shared" si="1"/>
        <v>40</v>
      </c>
      <c r="B41" s="3471">
        <v>363</v>
      </c>
      <c r="C41" s="3472" t="s">
        <v>3734</v>
      </c>
      <c r="D41" s="3475">
        <v>-4040</v>
      </c>
      <c r="E41" s="3473">
        <v>24.46</v>
      </c>
      <c r="F41" s="3472">
        <v>2.6</v>
      </c>
      <c r="G41" s="3474" t="s">
        <v>3408</v>
      </c>
      <c r="H41" s="3470">
        <f t="shared" si="0"/>
        <v>5960</v>
      </c>
    </row>
    <row r="42" spans="1:8" ht="83.25" thickBot="1">
      <c r="A42" s="3470">
        <f t="shared" si="1"/>
        <v>41</v>
      </c>
      <c r="B42" s="3471">
        <v>364</v>
      </c>
      <c r="C42" s="3472" t="s">
        <v>3734</v>
      </c>
      <c r="D42" s="3475">
        <v>-4041</v>
      </c>
      <c r="E42" s="3473">
        <v>24.46</v>
      </c>
      <c r="F42" s="3472">
        <v>2.6</v>
      </c>
      <c r="G42" s="3474" t="s">
        <v>3408</v>
      </c>
      <c r="H42" s="3470">
        <f t="shared" si="0"/>
        <v>5959</v>
      </c>
    </row>
    <row r="43" spans="1:8" ht="83.25" thickBot="1">
      <c r="A43" s="3470">
        <f t="shared" si="1"/>
        <v>42</v>
      </c>
      <c r="B43" s="3471">
        <v>365</v>
      </c>
      <c r="C43" s="3472" t="s">
        <v>3734</v>
      </c>
      <c r="D43" s="3475">
        <v>-4042</v>
      </c>
      <c r="E43" s="3473">
        <v>24.46</v>
      </c>
      <c r="F43" s="3472">
        <v>2.6</v>
      </c>
      <c r="G43" s="3474" t="s">
        <v>3408</v>
      </c>
      <c r="H43" s="3470">
        <f t="shared" si="0"/>
        <v>5958</v>
      </c>
    </row>
    <row r="44" spans="1:8" ht="83.25" thickBot="1">
      <c r="A44" s="3470">
        <f t="shared" si="1"/>
        <v>43</v>
      </c>
      <c r="B44" s="3471">
        <v>366</v>
      </c>
      <c r="C44" s="3472" t="s">
        <v>3734</v>
      </c>
      <c r="D44" s="3475">
        <v>-4043</v>
      </c>
      <c r="E44" s="3473">
        <v>24.46</v>
      </c>
      <c r="F44" s="3472">
        <v>2.6</v>
      </c>
      <c r="G44" s="3474" t="s">
        <v>3408</v>
      </c>
      <c r="H44" s="3470">
        <f t="shared" si="0"/>
        <v>5957</v>
      </c>
    </row>
    <row r="45" spans="1:8" ht="83.25" thickBot="1">
      <c r="A45" s="3470">
        <f t="shared" si="1"/>
        <v>44</v>
      </c>
      <c r="B45" s="3471">
        <v>367</v>
      </c>
      <c r="C45" s="3472" t="s">
        <v>3734</v>
      </c>
      <c r="D45" s="3475">
        <v>-4044</v>
      </c>
      <c r="E45" s="3473">
        <v>24.46</v>
      </c>
      <c r="F45" s="3472">
        <v>2.6</v>
      </c>
      <c r="G45" s="3474" t="s">
        <v>3408</v>
      </c>
      <c r="H45" s="3470">
        <f t="shared" si="0"/>
        <v>5956</v>
      </c>
    </row>
    <row r="46" spans="1:8" ht="83.25" thickBot="1">
      <c r="A46" s="3470">
        <f t="shared" si="1"/>
        <v>45</v>
      </c>
      <c r="B46" s="3471">
        <v>368</v>
      </c>
      <c r="C46" s="3472" t="s">
        <v>3734</v>
      </c>
      <c r="D46" s="3475">
        <v>-4045</v>
      </c>
      <c r="E46" s="3473">
        <v>24.46</v>
      </c>
      <c r="F46" s="3472">
        <v>2.6</v>
      </c>
      <c r="G46" s="3474" t="s">
        <v>3408</v>
      </c>
      <c r="H46" s="3470">
        <f t="shared" si="0"/>
        <v>5955</v>
      </c>
    </row>
    <row r="47" spans="1:8" ht="83.25" thickBot="1">
      <c r="A47" s="3470">
        <f t="shared" si="1"/>
        <v>46</v>
      </c>
      <c r="B47" s="3471">
        <v>369</v>
      </c>
      <c r="C47" s="3472" t="s">
        <v>3734</v>
      </c>
      <c r="D47" s="3475">
        <v>-4046</v>
      </c>
      <c r="E47" s="3473">
        <v>24.46</v>
      </c>
      <c r="F47" s="3472">
        <v>2.6</v>
      </c>
      <c r="G47" s="3474" t="s">
        <v>3408</v>
      </c>
      <c r="H47" s="3470">
        <f t="shared" si="0"/>
        <v>5954</v>
      </c>
    </row>
    <row r="48" spans="1:8" ht="83.25" thickBot="1">
      <c r="A48" s="3470">
        <f t="shared" si="1"/>
        <v>47</v>
      </c>
      <c r="B48" s="3471">
        <v>370</v>
      </c>
      <c r="C48" s="3472" t="s">
        <v>3734</v>
      </c>
      <c r="D48" s="3475">
        <v>-4047</v>
      </c>
      <c r="E48" s="3473">
        <v>24.46</v>
      </c>
      <c r="F48" s="3472">
        <v>2.6</v>
      </c>
      <c r="G48" s="3474" t="s">
        <v>3408</v>
      </c>
      <c r="H48" s="3470">
        <f t="shared" si="0"/>
        <v>5953</v>
      </c>
    </row>
    <row r="49" spans="1:8" ht="83.25" thickBot="1">
      <c r="A49" s="3470">
        <f t="shared" si="1"/>
        <v>48</v>
      </c>
      <c r="B49" s="3471">
        <v>371</v>
      </c>
      <c r="C49" s="3472" t="s">
        <v>3734</v>
      </c>
      <c r="D49" s="3475">
        <v>-4048</v>
      </c>
      <c r="E49" s="3473">
        <v>24.46</v>
      </c>
      <c r="F49" s="3472">
        <v>2.6</v>
      </c>
      <c r="G49" s="3474" t="s">
        <v>3408</v>
      </c>
      <c r="H49" s="3470">
        <f t="shared" si="0"/>
        <v>5952</v>
      </c>
    </row>
    <row r="50" spans="1:8" ht="83.25" thickBot="1">
      <c r="A50" s="3470">
        <f t="shared" si="1"/>
        <v>49</v>
      </c>
      <c r="B50" s="3471">
        <v>372</v>
      </c>
      <c r="C50" s="3472" t="s">
        <v>3734</v>
      </c>
      <c r="D50" s="3475">
        <v>-4049</v>
      </c>
      <c r="E50" s="3473">
        <v>24.46</v>
      </c>
      <c r="F50" s="3472">
        <v>2.6</v>
      </c>
      <c r="G50" s="3474" t="s">
        <v>3408</v>
      </c>
      <c r="H50" s="3470">
        <f t="shared" si="0"/>
        <v>5951</v>
      </c>
    </row>
    <row r="51" spans="1:8" ht="83.25" thickBot="1">
      <c r="A51" s="3470">
        <f t="shared" si="1"/>
        <v>50</v>
      </c>
      <c r="B51" s="3471">
        <v>373</v>
      </c>
      <c r="C51" s="3472" t="s">
        <v>3734</v>
      </c>
      <c r="D51" s="3475">
        <v>-4050</v>
      </c>
      <c r="E51" s="3473">
        <v>24.46</v>
      </c>
      <c r="F51" s="3472">
        <v>2.6</v>
      </c>
      <c r="G51" s="3474" t="s">
        <v>3408</v>
      </c>
      <c r="H51" s="3470">
        <f t="shared" si="0"/>
        <v>5950</v>
      </c>
    </row>
    <row r="52" spans="1:8" ht="83.25" thickBot="1">
      <c r="A52" s="3470">
        <f t="shared" si="1"/>
        <v>51</v>
      </c>
      <c r="B52" s="3471">
        <v>374</v>
      </c>
      <c r="C52" s="3472" t="s">
        <v>3734</v>
      </c>
      <c r="D52" s="3475">
        <v>-4051</v>
      </c>
      <c r="E52" s="3473">
        <v>24.46</v>
      </c>
      <c r="F52" s="3472">
        <v>2.6</v>
      </c>
      <c r="G52" s="3474" t="s">
        <v>3408</v>
      </c>
      <c r="H52" s="3470">
        <f t="shared" si="0"/>
        <v>5949</v>
      </c>
    </row>
    <row r="53" spans="1:8" ht="83.25" thickBot="1">
      <c r="A53" s="3470">
        <f t="shared" si="1"/>
        <v>52</v>
      </c>
      <c r="B53" s="3471">
        <v>375</v>
      </c>
      <c r="C53" s="3472" t="s">
        <v>3734</v>
      </c>
      <c r="D53" s="3475">
        <v>-4052</v>
      </c>
      <c r="E53" s="3473">
        <v>24.46</v>
      </c>
      <c r="F53" s="3472">
        <v>2.6</v>
      </c>
      <c r="G53" s="3474" t="s">
        <v>3408</v>
      </c>
      <c r="H53" s="3470">
        <f t="shared" si="0"/>
        <v>5948</v>
      </c>
    </row>
    <row r="54" spans="1:8" ht="83.25" thickBot="1">
      <c r="A54" s="3470">
        <f t="shared" si="1"/>
        <v>53</v>
      </c>
      <c r="B54" s="3471">
        <v>376</v>
      </c>
      <c r="C54" s="3472" t="s">
        <v>3734</v>
      </c>
      <c r="D54" s="3475">
        <v>-4053</v>
      </c>
      <c r="E54" s="3473">
        <v>24.46</v>
      </c>
      <c r="F54" s="3472">
        <v>2.6</v>
      </c>
      <c r="G54" s="3474" t="s">
        <v>3408</v>
      </c>
      <c r="H54" s="3470">
        <f t="shared" si="0"/>
        <v>5947</v>
      </c>
    </row>
    <row r="55" spans="1:8" ht="83.25" thickBot="1">
      <c r="A55" s="3470">
        <f t="shared" si="1"/>
        <v>54</v>
      </c>
      <c r="B55" s="3471">
        <v>377</v>
      </c>
      <c r="C55" s="3472" t="s">
        <v>3734</v>
      </c>
      <c r="D55" s="3475">
        <v>-4054</v>
      </c>
      <c r="E55" s="3473">
        <v>24.46</v>
      </c>
      <c r="F55" s="3472">
        <v>2.6</v>
      </c>
      <c r="G55" s="3474" t="s">
        <v>3408</v>
      </c>
      <c r="H55" s="3470">
        <f t="shared" si="0"/>
        <v>5946</v>
      </c>
    </row>
    <row r="56" spans="1:8" ht="83.25" thickBot="1">
      <c r="A56" s="3470">
        <f t="shared" si="1"/>
        <v>55</v>
      </c>
      <c r="B56" s="3471">
        <v>378</v>
      </c>
      <c r="C56" s="3472" t="s">
        <v>3734</v>
      </c>
      <c r="D56" s="3475">
        <v>-4055</v>
      </c>
      <c r="E56" s="3473">
        <v>24.46</v>
      </c>
      <c r="F56" s="3472">
        <v>2.6</v>
      </c>
      <c r="G56" s="3474" t="s">
        <v>3408</v>
      </c>
      <c r="H56" s="3470">
        <f t="shared" si="0"/>
        <v>5945</v>
      </c>
    </row>
    <row r="57" spans="1:8" ht="83.25" thickBot="1">
      <c r="A57" s="3470">
        <f t="shared" si="1"/>
        <v>56</v>
      </c>
      <c r="B57" s="3483">
        <v>379</v>
      </c>
      <c r="C57" s="3484" t="s">
        <v>3734</v>
      </c>
      <c r="D57" s="3485">
        <v>-4056</v>
      </c>
      <c r="E57" s="3486">
        <v>24.46</v>
      </c>
      <c r="F57" s="3484">
        <v>2.6</v>
      </c>
      <c r="G57" s="3469" t="s">
        <v>3408</v>
      </c>
      <c r="H57" s="3470">
        <f t="shared" si="0"/>
        <v>5944</v>
      </c>
    </row>
    <row r="58" spans="1:8" ht="83.25" thickBot="1">
      <c r="A58" s="3470">
        <f t="shared" si="1"/>
        <v>57</v>
      </c>
      <c r="B58" s="3471">
        <v>380</v>
      </c>
      <c r="C58" s="3472" t="s">
        <v>3734</v>
      </c>
      <c r="D58" s="3475">
        <v>-4057</v>
      </c>
      <c r="E58" s="3473">
        <v>24.46</v>
      </c>
      <c r="F58" s="3472">
        <v>2.6</v>
      </c>
      <c r="G58" s="3474" t="s">
        <v>3408</v>
      </c>
      <c r="H58" s="3470">
        <f t="shared" si="0"/>
        <v>5943</v>
      </c>
    </row>
    <row r="59" spans="1:8" ht="83.25" thickBot="1">
      <c r="A59" s="3470">
        <f t="shared" si="1"/>
        <v>58</v>
      </c>
      <c r="B59" s="3471">
        <v>381</v>
      </c>
      <c r="C59" s="3472" t="s">
        <v>3734</v>
      </c>
      <c r="D59" s="3475">
        <v>-4058</v>
      </c>
      <c r="E59" s="3473">
        <v>24.46</v>
      </c>
      <c r="F59" s="3472">
        <v>2.6</v>
      </c>
      <c r="G59" s="3474" t="s">
        <v>3408</v>
      </c>
      <c r="H59" s="3470">
        <f t="shared" si="0"/>
        <v>5942</v>
      </c>
    </row>
    <row r="60" spans="1:8" ht="83.25" thickBot="1">
      <c r="A60" s="3470">
        <f t="shared" si="1"/>
        <v>59</v>
      </c>
      <c r="B60" s="3471">
        <v>382</v>
      </c>
      <c r="C60" s="3472" t="s">
        <v>3734</v>
      </c>
      <c r="D60" s="3475">
        <v>-4059</v>
      </c>
      <c r="E60" s="3473">
        <v>24.46</v>
      </c>
      <c r="F60" s="3472">
        <v>2.6</v>
      </c>
      <c r="G60" s="3474" t="s">
        <v>3408</v>
      </c>
      <c r="H60" s="3470">
        <f t="shared" si="0"/>
        <v>5941</v>
      </c>
    </row>
    <row r="61" spans="1:8" ht="83.25" thickBot="1">
      <c r="A61" s="3470">
        <f t="shared" si="1"/>
        <v>60</v>
      </c>
      <c r="B61" s="3471">
        <v>383</v>
      </c>
      <c r="C61" s="3472" t="s">
        <v>3734</v>
      </c>
      <c r="D61" s="3475">
        <v>-4060</v>
      </c>
      <c r="E61" s="3473">
        <v>24.46</v>
      </c>
      <c r="F61" s="3472">
        <v>2.6</v>
      </c>
      <c r="G61" s="3474" t="s">
        <v>3408</v>
      </c>
      <c r="H61" s="3470">
        <f t="shared" si="0"/>
        <v>5940</v>
      </c>
    </row>
    <row r="62" spans="1:8" ht="83.25" thickBot="1">
      <c r="A62" s="3470">
        <f t="shared" si="1"/>
        <v>61</v>
      </c>
      <c r="B62" s="3471">
        <v>384</v>
      </c>
      <c r="C62" s="3472" t="s">
        <v>3734</v>
      </c>
      <c r="D62" s="3475">
        <v>-4061</v>
      </c>
      <c r="E62" s="3473">
        <v>24.46</v>
      </c>
      <c r="F62" s="3472">
        <v>2.6</v>
      </c>
      <c r="G62" s="3474" t="s">
        <v>3408</v>
      </c>
      <c r="H62" s="3470">
        <f t="shared" si="0"/>
        <v>5939</v>
      </c>
    </row>
    <row r="63" spans="1:8" ht="83.25" thickBot="1">
      <c r="A63" s="3470">
        <f t="shared" si="1"/>
        <v>62</v>
      </c>
      <c r="B63" s="3471">
        <v>385</v>
      </c>
      <c r="C63" s="3472" t="s">
        <v>3734</v>
      </c>
      <c r="D63" s="3475">
        <v>-4062</v>
      </c>
      <c r="E63" s="3473">
        <v>24.46</v>
      </c>
      <c r="F63" s="3472">
        <v>2.6</v>
      </c>
      <c r="G63" s="3474" t="s">
        <v>3408</v>
      </c>
      <c r="H63" s="3470">
        <f t="shared" si="0"/>
        <v>5938</v>
      </c>
    </row>
    <row r="64" spans="1:8" ht="83.25" thickBot="1">
      <c r="A64" s="3470">
        <f t="shared" si="1"/>
        <v>63</v>
      </c>
      <c r="B64" s="3471">
        <v>386</v>
      </c>
      <c r="C64" s="3472" t="s">
        <v>3734</v>
      </c>
      <c r="D64" s="3475">
        <v>-4063</v>
      </c>
      <c r="E64" s="3473">
        <v>24.46</v>
      </c>
      <c r="F64" s="3472">
        <v>2.6</v>
      </c>
      <c r="G64" s="3474" t="s">
        <v>3408</v>
      </c>
      <c r="H64" s="3470">
        <f t="shared" si="0"/>
        <v>5937</v>
      </c>
    </row>
    <row r="65" spans="1:8" ht="83.25" thickBot="1">
      <c r="A65" s="3470">
        <f t="shared" si="1"/>
        <v>64</v>
      </c>
      <c r="B65" s="3471">
        <v>387</v>
      </c>
      <c r="C65" s="3472" t="s">
        <v>3734</v>
      </c>
      <c r="D65" s="3475">
        <v>-4064</v>
      </c>
      <c r="E65" s="3473">
        <v>24.46</v>
      </c>
      <c r="F65" s="3472">
        <v>2.6</v>
      </c>
      <c r="G65" s="3474" t="s">
        <v>3408</v>
      </c>
      <c r="H65" s="3470">
        <f t="shared" si="0"/>
        <v>5936</v>
      </c>
    </row>
    <row r="66" spans="1:8" ht="83.25" thickBot="1">
      <c r="A66" s="3470">
        <f t="shared" si="1"/>
        <v>65</v>
      </c>
      <c r="B66" s="3471">
        <v>388</v>
      </c>
      <c r="C66" s="3472" t="s">
        <v>3734</v>
      </c>
      <c r="D66" s="3475">
        <v>-4065</v>
      </c>
      <c r="E66" s="3473">
        <v>24.46</v>
      </c>
      <c r="F66" s="3472">
        <v>2.6</v>
      </c>
      <c r="G66" s="3474" t="s">
        <v>3408</v>
      </c>
      <c r="H66" s="3470">
        <f t="shared" si="0"/>
        <v>5935</v>
      </c>
    </row>
    <row r="67" spans="1:8" ht="83.25" thickBot="1">
      <c r="A67" s="3470">
        <f t="shared" si="1"/>
        <v>66</v>
      </c>
      <c r="B67" s="3471">
        <v>389</v>
      </c>
      <c r="C67" s="3472" t="s">
        <v>3734</v>
      </c>
      <c r="D67" s="3475">
        <v>-4066</v>
      </c>
      <c r="E67" s="3473">
        <v>24.46</v>
      </c>
      <c r="F67" s="3472">
        <v>2.6</v>
      </c>
      <c r="G67" s="3474" t="s">
        <v>3408</v>
      </c>
      <c r="H67" s="3470">
        <f t="shared" ref="H67:H130" si="2">10000+D67</f>
        <v>5934</v>
      </c>
    </row>
    <row r="68" spans="1:8" ht="83.25" thickBot="1">
      <c r="A68" s="3470">
        <f t="shared" ref="A68:A131" si="3">A67+1</f>
        <v>67</v>
      </c>
      <c r="B68" s="3471">
        <v>390</v>
      </c>
      <c r="C68" s="3472" t="s">
        <v>3734</v>
      </c>
      <c r="D68" s="3475">
        <v>-4067</v>
      </c>
      <c r="E68" s="3473">
        <v>24.46</v>
      </c>
      <c r="F68" s="3472">
        <v>2.6</v>
      </c>
      <c r="G68" s="3474" t="s">
        <v>3408</v>
      </c>
      <c r="H68" s="3470">
        <f t="shared" si="2"/>
        <v>5933</v>
      </c>
    </row>
    <row r="69" spans="1:8" ht="83.25" thickBot="1">
      <c r="A69" s="3470">
        <f t="shared" si="3"/>
        <v>68</v>
      </c>
      <c r="B69" s="3471">
        <v>391</v>
      </c>
      <c r="C69" s="3472" t="s">
        <v>3734</v>
      </c>
      <c r="D69" s="3475">
        <v>-4068</v>
      </c>
      <c r="E69" s="3473">
        <v>24.46</v>
      </c>
      <c r="F69" s="3472">
        <v>2.6</v>
      </c>
      <c r="G69" s="3474" t="s">
        <v>3408</v>
      </c>
      <c r="H69" s="3470">
        <f t="shared" si="2"/>
        <v>5932</v>
      </c>
    </row>
    <row r="70" spans="1:8" ht="83.25" thickBot="1">
      <c r="A70" s="3470">
        <f t="shared" si="3"/>
        <v>69</v>
      </c>
      <c r="B70" s="3471">
        <v>392</v>
      </c>
      <c r="C70" s="3472" t="s">
        <v>3734</v>
      </c>
      <c r="D70" s="3475">
        <v>-4069</v>
      </c>
      <c r="E70" s="3473">
        <v>24.46</v>
      </c>
      <c r="F70" s="3472">
        <v>2.6</v>
      </c>
      <c r="G70" s="3474" t="s">
        <v>3408</v>
      </c>
      <c r="H70" s="3470">
        <f t="shared" si="2"/>
        <v>5931</v>
      </c>
    </row>
    <row r="71" spans="1:8" ht="83.25" thickBot="1">
      <c r="A71" s="3470">
        <f t="shared" si="3"/>
        <v>70</v>
      </c>
      <c r="B71" s="3471">
        <v>393</v>
      </c>
      <c r="C71" s="3472" t="s">
        <v>3734</v>
      </c>
      <c r="D71" s="3475">
        <v>-4070</v>
      </c>
      <c r="E71" s="3473">
        <v>24.46</v>
      </c>
      <c r="F71" s="3472">
        <v>2.6</v>
      </c>
      <c r="G71" s="3474" t="s">
        <v>3408</v>
      </c>
      <c r="H71" s="3470">
        <f t="shared" si="2"/>
        <v>5930</v>
      </c>
    </row>
    <row r="72" spans="1:8" ht="83.25" thickBot="1">
      <c r="A72" s="3470">
        <f t="shared" si="3"/>
        <v>71</v>
      </c>
      <c r="B72" s="3471">
        <v>394</v>
      </c>
      <c r="C72" s="3472" t="s">
        <v>3734</v>
      </c>
      <c r="D72" s="3475">
        <v>-4071</v>
      </c>
      <c r="E72" s="3473">
        <v>24.46</v>
      </c>
      <c r="F72" s="3472">
        <v>2.6</v>
      </c>
      <c r="G72" s="3474" t="s">
        <v>3408</v>
      </c>
      <c r="H72" s="3470">
        <f t="shared" si="2"/>
        <v>5929</v>
      </c>
    </row>
    <row r="73" spans="1:8" ht="83.25" thickBot="1">
      <c r="A73" s="3470">
        <f t="shared" si="3"/>
        <v>72</v>
      </c>
      <c r="B73" s="3471">
        <v>395</v>
      </c>
      <c r="C73" s="3472" t="s">
        <v>3734</v>
      </c>
      <c r="D73" s="3475">
        <v>-4072</v>
      </c>
      <c r="E73" s="3473">
        <v>24.46</v>
      </c>
      <c r="F73" s="3472">
        <v>2.6</v>
      </c>
      <c r="G73" s="3474" t="s">
        <v>3408</v>
      </c>
      <c r="H73" s="3470">
        <f t="shared" si="2"/>
        <v>5928</v>
      </c>
    </row>
    <row r="74" spans="1:8" ht="83.25" thickBot="1">
      <c r="A74" s="3470">
        <f t="shared" si="3"/>
        <v>73</v>
      </c>
      <c r="B74" s="3471">
        <v>396</v>
      </c>
      <c r="C74" s="3472" t="s">
        <v>3734</v>
      </c>
      <c r="D74" s="3475">
        <v>-4073</v>
      </c>
      <c r="E74" s="3473">
        <v>24.46</v>
      </c>
      <c r="F74" s="3472">
        <v>2.6</v>
      </c>
      <c r="G74" s="3474" t="s">
        <v>3408</v>
      </c>
      <c r="H74" s="3470">
        <f t="shared" si="2"/>
        <v>5927</v>
      </c>
    </row>
    <row r="75" spans="1:8" ht="83.25" thickBot="1">
      <c r="A75" s="3470">
        <f t="shared" si="3"/>
        <v>74</v>
      </c>
      <c r="B75" s="3483">
        <v>397</v>
      </c>
      <c r="C75" s="3484" t="s">
        <v>3734</v>
      </c>
      <c r="D75" s="3485">
        <v>-4074</v>
      </c>
      <c r="E75" s="3486">
        <v>24.46</v>
      </c>
      <c r="F75" s="3484">
        <v>2.6</v>
      </c>
      <c r="G75" s="3469" t="s">
        <v>3408</v>
      </c>
      <c r="H75" s="3470">
        <f t="shared" si="2"/>
        <v>5926</v>
      </c>
    </row>
    <row r="76" spans="1:8" ht="83.25" thickBot="1">
      <c r="A76" s="3470">
        <f t="shared" si="3"/>
        <v>75</v>
      </c>
      <c r="B76" s="3471">
        <v>398</v>
      </c>
      <c r="C76" s="3472" t="s">
        <v>3734</v>
      </c>
      <c r="D76" s="3475">
        <v>-4075</v>
      </c>
      <c r="E76" s="3473">
        <v>24.46</v>
      </c>
      <c r="F76" s="3472">
        <v>2.6</v>
      </c>
      <c r="G76" s="3474" t="s">
        <v>3408</v>
      </c>
      <c r="H76" s="3470">
        <f t="shared" si="2"/>
        <v>5925</v>
      </c>
    </row>
    <row r="77" spans="1:8" ht="83.25" thickBot="1">
      <c r="A77" s="3470">
        <f t="shared" si="3"/>
        <v>76</v>
      </c>
      <c r="B77" s="3471">
        <v>399</v>
      </c>
      <c r="C77" s="3472" t="s">
        <v>3734</v>
      </c>
      <c r="D77" s="3475">
        <v>-4076</v>
      </c>
      <c r="E77" s="3473">
        <v>24.46</v>
      </c>
      <c r="F77" s="3472">
        <v>2.6</v>
      </c>
      <c r="G77" s="3474" t="s">
        <v>3408</v>
      </c>
      <c r="H77" s="3470">
        <f t="shared" si="2"/>
        <v>5924</v>
      </c>
    </row>
    <row r="78" spans="1:8" ht="83.25" thickBot="1">
      <c r="A78" s="3470">
        <f t="shared" si="3"/>
        <v>77</v>
      </c>
      <c r="B78" s="3471">
        <v>400</v>
      </c>
      <c r="C78" s="3472" t="s">
        <v>3734</v>
      </c>
      <c r="D78" s="3475">
        <v>-4077</v>
      </c>
      <c r="E78" s="3473">
        <v>24.46</v>
      </c>
      <c r="F78" s="3472">
        <v>2.6</v>
      </c>
      <c r="G78" s="3474" t="s">
        <v>3408</v>
      </c>
      <c r="H78" s="3470">
        <f t="shared" si="2"/>
        <v>5923</v>
      </c>
    </row>
    <row r="79" spans="1:8" ht="83.25" thickBot="1">
      <c r="A79" s="3470">
        <f t="shared" si="3"/>
        <v>78</v>
      </c>
      <c r="B79" s="3471">
        <v>401</v>
      </c>
      <c r="C79" s="3472" t="s">
        <v>3734</v>
      </c>
      <c r="D79" s="3475">
        <v>-4078</v>
      </c>
      <c r="E79" s="3473">
        <v>24.46</v>
      </c>
      <c r="F79" s="3472">
        <v>2.6</v>
      </c>
      <c r="G79" s="3474" t="s">
        <v>3408</v>
      </c>
      <c r="H79" s="3470">
        <f t="shared" si="2"/>
        <v>5922</v>
      </c>
    </row>
    <row r="80" spans="1:8" ht="83.25" thickBot="1">
      <c r="A80" s="3470">
        <f t="shared" si="3"/>
        <v>79</v>
      </c>
      <c r="B80" s="3471">
        <v>402</v>
      </c>
      <c r="C80" s="3472" t="s">
        <v>3734</v>
      </c>
      <c r="D80" s="3475">
        <v>-4079</v>
      </c>
      <c r="E80" s="3473">
        <v>48.91</v>
      </c>
      <c r="F80" s="3472">
        <v>5.2</v>
      </c>
      <c r="G80" s="3474" t="s">
        <v>3408</v>
      </c>
      <c r="H80" s="3470">
        <f t="shared" si="2"/>
        <v>5921</v>
      </c>
    </row>
    <row r="81" spans="1:8" ht="83.25" thickBot="1">
      <c r="A81" s="3470">
        <f t="shared" si="3"/>
        <v>80</v>
      </c>
      <c r="B81" s="3471">
        <v>403</v>
      </c>
      <c r="C81" s="3472" t="s">
        <v>3734</v>
      </c>
      <c r="D81" s="3475">
        <v>-4080</v>
      </c>
      <c r="E81" s="3473">
        <v>48.91</v>
      </c>
      <c r="F81" s="3472">
        <v>5.2</v>
      </c>
      <c r="G81" s="3474" t="s">
        <v>3408</v>
      </c>
      <c r="H81" s="3470">
        <f t="shared" si="2"/>
        <v>5920</v>
      </c>
    </row>
    <row r="82" spans="1:8" ht="83.25" thickBot="1">
      <c r="A82" s="3470">
        <f t="shared" si="3"/>
        <v>81</v>
      </c>
      <c r="B82" s="3471">
        <v>404</v>
      </c>
      <c r="C82" s="3472" t="s">
        <v>3734</v>
      </c>
      <c r="D82" s="3475">
        <v>-4081</v>
      </c>
      <c r="E82" s="3473">
        <v>24.46</v>
      </c>
      <c r="F82" s="3472">
        <v>2.6</v>
      </c>
      <c r="G82" s="3474" t="s">
        <v>3408</v>
      </c>
      <c r="H82" s="3470">
        <f t="shared" si="2"/>
        <v>5919</v>
      </c>
    </row>
    <row r="83" spans="1:8" ht="83.25" thickBot="1">
      <c r="A83" s="3470">
        <f t="shared" si="3"/>
        <v>82</v>
      </c>
      <c r="B83" s="3471">
        <v>405</v>
      </c>
      <c r="C83" s="3472" t="s">
        <v>3734</v>
      </c>
      <c r="D83" s="3475">
        <v>-4082</v>
      </c>
      <c r="E83" s="3473">
        <v>24.46</v>
      </c>
      <c r="F83" s="3472">
        <v>2.6</v>
      </c>
      <c r="G83" s="3474" t="s">
        <v>3408</v>
      </c>
      <c r="H83" s="3470">
        <f t="shared" si="2"/>
        <v>5918</v>
      </c>
    </row>
    <row r="84" spans="1:8" ht="83.25" thickBot="1">
      <c r="A84" s="3470">
        <f t="shared" si="3"/>
        <v>83</v>
      </c>
      <c r="B84" s="3471">
        <v>406</v>
      </c>
      <c r="C84" s="3472" t="s">
        <v>3734</v>
      </c>
      <c r="D84" s="3475">
        <v>-4083</v>
      </c>
      <c r="E84" s="3473">
        <v>48.91</v>
      </c>
      <c r="F84" s="3472">
        <v>5.2</v>
      </c>
      <c r="G84" s="3474" t="s">
        <v>3408</v>
      </c>
      <c r="H84" s="3470">
        <f t="shared" si="2"/>
        <v>5917</v>
      </c>
    </row>
    <row r="85" spans="1:8" ht="83.25" thickBot="1">
      <c r="A85" s="3470">
        <f t="shared" si="3"/>
        <v>84</v>
      </c>
      <c r="B85" s="3471">
        <v>407</v>
      </c>
      <c r="C85" s="3472" t="s">
        <v>3734</v>
      </c>
      <c r="D85" s="3475">
        <v>-3001</v>
      </c>
      <c r="E85" s="3473">
        <v>24.46</v>
      </c>
      <c r="F85" s="3472">
        <v>2.6</v>
      </c>
      <c r="G85" s="3474" t="s">
        <v>3408</v>
      </c>
      <c r="H85" s="3470">
        <f t="shared" si="2"/>
        <v>6999</v>
      </c>
    </row>
    <row r="86" spans="1:8" ht="83.25" thickBot="1">
      <c r="A86" s="3470">
        <f t="shared" si="3"/>
        <v>85</v>
      </c>
      <c r="B86" s="3471">
        <v>408</v>
      </c>
      <c r="C86" s="3472" t="s">
        <v>3734</v>
      </c>
      <c r="D86" s="3475">
        <v>-3002</v>
      </c>
      <c r="E86" s="3473">
        <v>24.46</v>
      </c>
      <c r="F86" s="3472">
        <v>2.6</v>
      </c>
      <c r="G86" s="3474" t="s">
        <v>3408</v>
      </c>
      <c r="H86" s="3470">
        <f t="shared" si="2"/>
        <v>6998</v>
      </c>
    </row>
    <row r="87" spans="1:8" ht="83.25" thickBot="1">
      <c r="A87" s="3470">
        <f t="shared" si="3"/>
        <v>86</v>
      </c>
      <c r="B87" s="3471">
        <v>409</v>
      </c>
      <c r="C87" s="3472" t="s">
        <v>3734</v>
      </c>
      <c r="D87" s="3475">
        <v>-3003</v>
      </c>
      <c r="E87" s="3473">
        <v>24.46</v>
      </c>
      <c r="F87" s="3472">
        <v>2.6</v>
      </c>
      <c r="G87" s="3474" t="s">
        <v>3408</v>
      </c>
      <c r="H87" s="3470">
        <f t="shared" si="2"/>
        <v>6997</v>
      </c>
    </row>
    <row r="88" spans="1:8" ht="83.25" thickBot="1">
      <c r="A88" s="3470">
        <f t="shared" si="3"/>
        <v>87</v>
      </c>
      <c r="B88" s="3471">
        <v>410</v>
      </c>
      <c r="C88" s="3472" t="s">
        <v>3734</v>
      </c>
      <c r="D88" s="3475">
        <v>-3004</v>
      </c>
      <c r="E88" s="3473">
        <v>24.46</v>
      </c>
      <c r="F88" s="3472">
        <v>2.6</v>
      </c>
      <c r="G88" s="3474" t="s">
        <v>3408</v>
      </c>
      <c r="H88" s="3470">
        <f t="shared" si="2"/>
        <v>6996</v>
      </c>
    </row>
    <row r="89" spans="1:8" ht="83.25" thickBot="1">
      <c r="A89" s="3470">
        <f t="shared" si="3"/>
        <v>88</v>
      </c>
      <c r="B89" s="3471">
        <v>411</v>
      </c>
      <c r="C89" s="3472" t="s">
        <v>3734</v>
      </c>
      <c r="D89" s="3475">
        <v>-3005</v>
      </c>
      <c r="E89" s="3473">
        <v>24.46</v>
      </c>
      <c r="F89" s="3472">
        <v>2.6</v>
      </c>
      <c r="G89" s="3474" t="s">
        <v>3408</v>
      </c>
      <c r="H89" s="3470">
        <f t="shared" si="2"/>
        <v>6995</v>
      </c>
    </row>
    <row r="90" spans="1:8" ht="83.25" thickBot="1">
      <c r="A90" s="3470">
        <f t="shared" si="3"/>
        <v>89</v>
      </c>
      <c r="B90" s="3471">
        <v>412</v>
      </c>
      <c r="C90" s="3472" t="s">
        <v>3734</v>
      </c>
      <c r="D90" s="3475">
        <v>-3006</v>
      </c>
      <c r="E90" s="3473">
        <v>24.46</v>
      </c>
      <c r="F90" s="3472">
        <v>2.6</v>
      </c>
      <c r="G90" s="3474" t="s">
        <v>3408</v>
      </c>
      <c r="H90" s="3470">
        <f t="shared" si="2"/>
        <v>6994</v>
      </c>
    </row>
    <row r="91" spans="1:8" ht="83.25" thickBot="1">
      <c r="A91" s="3470">
        <f t="shared" si="3"/>
        <v>90</v>
      </c>
      <c r="B91" s="3471">
        <v>413</v>
      </c>
      <c r="C91" s="3472" t="s">
        <v>3734</v>
      </c>
      <c r="D91" s="3475">
        <v>-3007</v>
      </c>
      <c r="E91" s="3473">
        <v>24.46</v>
      </c>
      <c r="F91" s="3472">
        <v>2.6</v>
      </c>
      <c r="G91" s="3474" t="s">
        <v>3408</v>
      </c>
      <c r="H91" s="3470">
        <f t="shared" si="2"/>
        <v>6993</v>
      </c>
    </row>
    <row r="92" spans="1:8" ht="83.25" thickBot="1">
      <c r="A92" s="3470">
        <f t="shared" si="3"/>
        <v>91</v>
      </c>
      <c r="B92" s="3471">
        <v>414</v>
      </c>
      <c r="C92" s="3472" t="s">
        <v>3734</v>
      </c>
      <c r="D92" s="3475">
        <v>-3008</v>
      </c>
      <c r="E92" s="3473">
        <v>24.46</v>
      </c>
      <c r="F92" s="3472">
        <v>2.6</v>
      </c>
      <c r="G92" s="3474" t="s">
        <v>3408</v>
      </c>
      <c r="H92" s="3470">
        <f t="shared" si="2"/>
        <v>6992</v>
      </c>
    </row>
    <row r="93" spans="1:8" ht="83.25" thickBot="1">
      <c r="A93" s="3470">
        <f t="shared" si="3"/>
        <v>92</v>
      </c>
      <c r="B93" s="3483">
        <v>415</v>
      </c>
      <c r="C93" s="3484" t="s">
        <v>3734</v>
      </c>
      <c r="D93" s="3485">
        <v>-3009</v>
      </c>
      <c r="E93" s="3486">
        <v>24.46</v>
      </c>
      <c r="F93" s="3484">
        <v>2.6</v>
      </c>
      <c r="G93" s="3469" t="s">
        <v>3408</v>
      </c>
      <c r="H93" s="3470">
        <f t="shared" si="2"/>
        <v>6991</v>
      </c>
    </row>
    <row r="94" spans="1:8" ht="83.25" thickBot="1">
      <c r="A94" s="3470">
        <f t="shared" si="3"/>
        <v>93</v>
      </c>
      <c r="B94" s="3471">
        <v>416</v>
      </c>
      <c r="C94" s="3472" t="s">
        <v>3734</v>
      </c>
      <c r="D94" s="3475">
        <v>-3010</v>
      </c>
      <c r="E94" s="3473">
        <v>24.46</v>
      </c>
      <c r="F94" s="3472">
        <v>2.6</v>
      </c>
      <c r="G94" s="3474" t="s">
        <v>3408</v>
      </c>
      <c r="H94" s="3470">
        <f t="shared" si="2"/>
        <v>6990</v>
      </c>
    </row>
    <row r="95" spans="1:8" ht="83.25" thickBot="1">
      <c r="A95" s="3470">
        <f t="shared" si="3"/>
        <v>94</v>
      </c>
      <c r="B95" s="3471">
        <v>417</v>
      </c>
      <c r="C95" s="3472" t="s">
        <v>3734</v>
      </c>
      <c r="D95" s="3475">
        <v>-3011</v>
      </c>
      <c r="E95" s="3473">
        <v>24.46</v>
      </c>
      <c r="F95" s="3472">
        <v>2.6</v>
      </c>
      <c r="G95" s="3474" t="s">
        <v>3408</v>
      </c>
      <c r="H95" s="3470">
        <f t="shared" si="2"/>
        <v>6989</v>
      </c>
    </row>
    <row r="96" spans="1:8" ht="83.25" thickBot="1">
      <c r="A96" s="3470">
        <f t="shared" si="3"/>
        <v>95</v>
      </c>
      <c r="B96" s="3471">
        <v>418</v>
      </c>
      <c r="C96" s="3472" t="s">
        <v>3734</v>
      </c>
      <c r="D96" s="3475">
        <v>-3012</v>
      </c>
      <c r="E96" s="3473">
        <v>24.46</v>
      </c>
      <c r="F96" s="3472">
        <v>2.6</v>
      </c>
      <c r="G96" s="3474" t="s">
        <v>3408</v>
      </c>
      <c r="H96" s="3470">
        <f t="shared" si="2"/>
        <v>6988</v>
      </c>
    </row>
    <row r="97" spans="1:8" ht="83.25" thickBot="1">
      <c r="A97" s="3470">
        <f t="shared" si="3"/>
        <v>96</v>
      </c>
      <c r="B97" s="3471">
        <v>419</v>
      </c>
      <c r="C97" s="3472" t="s">
        <v>3734</v>
      </c>
      <c r="D97" s="3475">
        <v>-3013</v>
      </c>
      <c r="E97" s="3473">
        <v>24.46</v>
      </c>
      <c r="F97" s="3472">
        <v>2.6</v>
      </c>
      <c r="G97" s="3474" t="s">
        <v>3408</v>
      </c>
      <c r="H97" s="3470">
        <f t="shared" si="2"/>
        <v>6987</v>
      </c>
    </row>
    <row r="98" spans="1:8" ht="83.25" thickBot="1">
      <c r="A98" s="3470">
        <f t="shared" si="3"/>
        <v>97</v>
      </c>
      <c r="B98" s="3471">
        <v>420</v>
      </c>
      <c r="C98" s="3472" t="s">
        <v>3734</v>
      </c>
      <c r="D98" s="3475">
        <v>-3014</v>
      </c>
      <c r="E98" s="3473">
        <v>24.46</v>
      </c>
      <c r="F98" s="3472">
        <v>2.6</v>
      </c>
      <c r="G98" s="3474" t="s">
        <v>3408</v>
      </c>
      <c r="H98" s="3470">
        <f t="shared" si="2"/>
        <v>6986</v>
      </c>
    </row>
    <row r="99" spans="1:8" ht="83.25" thickBot="1">
      <c r="A99" s="3470">
        <f t="shared" si="3"/>
        <v>98</v>
      </c>
      <c r="B99" s="3471">
        <v>421</v>
      </c>
      <c r="C99" s="3472" t="s">
        <v>3734</v>
      </c>
      <c r="D99" s="3475">
        <v>-3015</v>
      </c>
      <c r="E99" s="3473">
        <v>24.46</v>
      </c>
      <c r="F99" s="3472">
        <v>2.6</v>
      </c>
      <c r="G99" s="3474" t="s">
        <v>3408</v>
      </c>
      <c r="H99" s="3470">
        <f t="shared" si="2"/>
        <v>6985</v>
      </c>
    </row>
    <row r="100" spans="1:8" ht="83.25" thickBot="1">
      <c r="A100" s="3470">
        <f t="shared" si="3"/>
        <v>99</v>
      </c>
      <c r="B100" s="3471">
        <v>422</v>
      </c>
      <c r="C100" s="3472" t="s">
        <v>3734</v>
      </c>
      <c r="D100" s="3475">
        <v>-3016</v>
      </c>
      <c r="E100" s="3473">
        <v>24.46</v>
      </c>
      <c r="F100" s="3472">
        <v>2.6</v>
      </c>
      <c r="G100" s="3474" t="s">
        <v>3408</v>
      </c>
      <c r="H100" s="3470">
        <f t="shared" si="2"/>
        <v>6984</v>
      </c>
    </row>
    <row r="101" spans="1:8" ht="83.25" thickBot="1">
      <c r="A101" s="3470">
        <f t="shared" si="3"/>
        <v>100</v>
      </c>
      <c r="B101" s="3471">
        <v>423</v>
      </c>
      <c r="C101" s="3472" t="s">
        <v>3734</v>
      </c>
      <c r="D101" s="3475">
        <v>-3017</v>
      </c>
      <c r="E101" s="3473">
        <v>24.46</v>
      </c>
      <c r="F101" s="3472">
        <v>2.6</v>
      </c>
      <c r="G101" s="3474" t="s">
        <v>3408</v>
      </c>
      <c r="H101" s="3470">
        <f t="shared" si="2"/>
        <v>6983</v>
      </c>
    </row>
    <row r="102" spans="1:8" ht="83.25" thickBot="1">
      <c r="A102" s="3470">
        <f t="shared" si="3"/>
        <v>101</v>
      </c>
      <c r="B102" s="3471">
        <v>424</v>
      </c>
      <c r="C102" s="3472" t="s">
        <v>3734</v>
      </c>
      <c r="D102" s="3475">
        <v>-3018</v>
      </c>
      <c r="E102" s="3473">
        <v>24.46</v>
      </c>
      <c r="F102" s="3472">
        <v>2.6</v>
      </c>
      <c r="G102" s="3474" t="s">
        <v>3408</v>
      </c>
      <c r="H102" s="3470">
        <f t="shared" si="2"/>
        <v>6982</v>
      </c>
    </row>
    <row r="103" spans="1:8" ht="83.25" thickBot="1">
      <c r="A103" s="3470">
        <f t="shared" si="3"/>
        <v>102</v>
      </c>
      <c r="B103" s="3471">
        <v>425</v>
      </c>
      <c r="C103" s="3472" t="s">
        <v>3734</v>
      </c>
      <c r="D103" s="3475">
        <v>-3019</v>
      </c>
      <c r="E103" s="3473">
        <v>24.46</v>
      </c>
      <c r="F103" s="3472">
        <v>2.6</v>
      </c>
      <c r="G103" s="3474" t="s">
        <v>3408</v>
      </c>
      <c r="H103" s="3470">
        <f t="shared" si="2"/>
        <v>6981</v>
      </c>
    </row>
    <row r="104" spans="1:8" ht="83.25" thickBot="1">
      <c r="A104" s="3470">
        <f t="shared" si="3"/>
        <v>103</v>
      </c>
      <c r="B104" s="3471">
        <v>426</v>
      </c>
      <c r="C104" s="3472" t="s">
        <v>3734</v>
      </c>
      <c r="D104" s="3475">
        <v>-3020</v>
      </c>
      <c r="E104" s="3473">
        <v>24.46</v>
      </c>
      <c r="F104" s="3472">
        <v>2.6</v>
      </c>
      <c r="G104" s="3474" t="s">
        <v>3408</v>
      </c>
      <c r="H104" s="3470">
        <f t="shared" si="2"/>
        <v>6980</v>
      </c>
    </row>
    <row r="105" spans="1:8" ht="83.25" thickBot="1">
      <c r="A105" s="3470">
        <f t="shared" si="3"/>
        <v>104</v>
      </c>
      <c r="B105" s="3471">
        <v>427</v>
      </c>
      <c r="C105" s="3472" t="s">
        <v>3734</v>
      </c>
      <c r="D105" s="3475">
        <v>-3021</v>
      </c>
      <c r="E105" s="3473">
        <v>24.46</v>
      </c>
      <c r="F105" s="3472">
        <v>2.6</v>
      </c>
      <c r="G105" s="3474" t="s">
        <v>3408</v>
      </c>
      <c r="H105" s="3470">
        <f t="shared" si="2"/>
        <v>6979</v>
      </c>
    </row>
    <row r="106" spans="1:8" ht="83.25" thickBot="1">
      <c r="A106" s="3470">
        <f t="shared" si="3"/>
        <v>105</v>
      </c>
      <c r="B106" s="3471">
        <v>428</v>
      </c>
      <c r="C106" s="3472" t="s">
        <v>3734</v>
      </c>
      <c r="D106" s="3475">
        <v>-3022</v>
      </c>
      <c r="E106" s="3473">
        <v>24.46</v>
      </c>
      <c r="F106" s="3472">
        <v>2.6</v>
      </c>
      <c r="G106" s="3474" t="s">
        <v>3408</v>
      </c>
      <c r="H106" s="3470">
        <f t="shared" si="2"/>
        <v>6978</v>
      </c>
    </row>
    <row r="107" spans="1:8" ht="83.25" thickBot="1">
      <c r="A107" s="3470">
        <f t="shared" si="3"/>
        <v>106</v>
      </c>
      <c r="B107" s="3471">
        <v>429</v>
      </c>
      <c r="C107" s="3472" t="s">
        <v>3734</v>
      </c>
      <c r="D107" s="3475">
        <v>-3023</v>
      </c>
      <c r="E107" s="3473">
        <v>24.46</v>
      </c>
      <c r="F107" s="3472">
        <v>2.6</v>
      </c>
      <c r="G107" s="3474" t="s">
        <v>3408</v>
      </c>
      <c r="H107" s="3470">
        <f t="shared" si="2"/>
        <v>6977</v>
      </c>
    </row>
    <row r="108" spans="1:8" ht="83.25" thickBot="1">
      <c r="A108" s="3470">
        <f t="shared" si="3"/>
        <v>107</v>
      </c>
      <c r="B108" s="3471">
        <v>430</v>
      </c>
      <c r="C108" s="3472" t="s">
        <v>3734</v>
      </c>
      <c r="D108" s="3475">
        <v>-3024</v>
      </c>
      <c r="E108" s="3473">
        <v>24.46</v>
      </c>
      <c r="F108" s="3472">
        <v>2.6</v>
      </c>
      <c r="G108" s="3474" t="s">
        <v>3408</v>
      </c>
      <c r="H108" s="3470">
        <f t="shared" si="2"/>
        <v>6976</v>
      </c>
    </row>
    <row r="109" spans="1:8" ht="83.25" thickBot="1">
      <c r="A109" s="3470">
        <f t="shared" si="3"/>
        <v>108</v>
      </c>
      <c r="B109" s="3471">
        <v>431</v>
      </c>
      <c r="C109" s="3472" t="s">
        <v>3734</v>
      </c>
      <c r="D109" s="3475">
        <v>-3025</v>
      </c>
      <c r="E109" s="3473">
        <v>24.46</v>
      </c>
      <c r="F109" s="3472">
        <v>2.6</v>
      </c>
      <c r="G109" s="3474" t="s">
        <v>3408</v>
      </c>
      <c r="H109" s="3470">
        <f t="shared" si="2"/>
        <v>6975</v>
      </c>
    </row>
    <row r="110" spans="1:8" ht="83.25" thickBot="1">
      <c r="A110" s="3470">
        <f t="shared" si="3"/>
        <v>109</v>
      </c>
      <c r="B110" s="3471">
        <v>432</v>
      </c>
      <c r="C110" s="3472" t="s">
        <v>3734</v>
      </c>
      <c r="D110" s="3475">
        <v>-3026</v>
      </c>
      <c r="E110" s="3473">
        <v>24.46</v>
      </c>
      <c r="F110" s="3472">
        <v>2.6</v>
      </c>
      <c r="G110" s="3474" t="s">
        <v>3408</v>
      </c>
      <c r="H110" s="3470">
        <f t="shared" si="2"/>
        <v>6974</v>
      </c>
    </row>
    <row r="111" spans="1:8" ht="55.5">
      <c r="A111" s="3470">
        <f t="shared" si="3"/>
        <v>110</v>
      </c>
      <c r="B111" s="3476">
        <v>433</v>
      </c>
      <c r="C111" s="3481" t="s">
        <v>3732</v>
      </c>
      <c r="D111" s="3482">
        <v>-3027</v>
      </c>
      <c r="E111" s="3478">
        <v>24.46</v>
      </c>
      <c r="F111" s="3476">
        <v>2.6</v>
      </c>
      <c r="G111" s="3479" t="s">
        <v>3408</v>
      </c>
      <c r="H111" s="3470">
        <f t="shared" si="2"/>
        <v>6973</v>
      </c>
    </row>
    <row r="112" spans="1:8" ht="83.25" thickBot="1">
      <c r="A112" s="3470">
        <f t="shared" si="3"/>
        <v>111</v>
      </c>
      <c r="B112" s="3471">
        <v>434</v>
      </c>
      <c r="C112" s="3472" t="s">
        <v>3734</v>
      </c>
      <c r="D112" s="3475">
        <v>-3028</v>
      </c>
      <c r="E112" s="3473">
        <v>24.46</v>
      </c>
      <c r="F112" s="3472">
        <v>2.6</v>
      </c>
      <c r="G112" s="3474" t="s">
        <v>3408</v>
      </c>
      <c r="H112" s="3470">
        <f t="shared" si="2"/>
        <v>6972</v>
      </c>
    </row>
    <row r="113" spans="1:8" ht="83.25" thickBot="1">
      <c r="A113" s="3470">
        <f t="shared" si="3"/>
        <v>112</v>
      </c>
      <c r="B113" s="3471">
        <v>435</v>
      </c>
      <c r="C113" s="3472" t="s">
        <v>3734</v>
      </c>
      <c r="D113" s="3475">
        <v>-3029</v>
      </c>
      <c r="E113" s="3473">
        <v>24.46</v>
      </c>
      <c r="F113" s="3472">
        <v>2.6</v>
      </c>
      <c r="G113" s="3474" t="s">
        <v>3408</v>
      </c>
      <c r="H113" s="3470">
        <f t="shared" si="2"/>
        <v>6971</v>
      </c>
    </row>
    <row r="114" spans="1:8" ht="83.25" thickBot="1">
      <c r="A114" s="3470">
        <f t="shared" si="3"/>
        <v>113</v>
      </c>
      <c r="B114" s="3471">
        <v>436</v>
      </c>
      <c r="C114" s="3472" t="s">
        <v>3734</v>
      </c>
      <c r="D114" s="3475">
        <v>-3030</v>
      </c>
      <c r="E114" s="3473">
        <v>24.46</v>
      </c>
      <c r="F114" s="3472">
        <v>2.6</v>
      </c>
      <c r="G114" s="3474" t="s">
        <v>3408</v>
      </c>
      <c r="H114" s="3470">
        <f t="shared" si="2"/>
        <v>6970</v>
      </c>
    </row>
    <row r="115" spans="1:8" ht="83.25" thickBot="1">
      <c r="A115" s="3470">
        <f t="shared" si="3"/>
        <v>114</v>
      </c>
      <c r="B115" s="3471">
        <v>437</v>
      </c>
      <c r="C115" s="3472" t="s">
        <v>3734</v>
      </c>
      <c r="D115" s="3475">
        <v>-3031</v>
      </c>
      <c r="E115" s="3473">
        <v>24.46</v>
      </c>
      <c r="F115" s="3472">
        <v>2.6</v>
      </c>
      <c r="G115" s="3474" t="s">
        <v>3408</v>
      </c>
      <c r="H115" s="3470">
        <f t="shared" si="2"/>
        <v>6969</v>
      </c>
    </row>
    <row r="116" spans="1:8" ht="83.25" thickBot="1">
      <c r="A116" s="3470">
        <f t="shared" si="3"/>
        <v>115</v>
      </c>
      <c r="B116" s="3471">
        <v>438</v>
      </c>
      <c r="C116" s="3472" t="s">
        <v>3734</v>
      </c>
      <c r="D116" s="3475">
        <v>-3032</v>
      </c>
      <c r="E116" s="3473">
        <v>24.46</v>
      </c>
      <c r="F116" s="3472">
        <v>2.6</v>
      </c>
      <c r="G116" s="3474" t="s">
        <v>3408</v>
      </c>
      <c r="H116" s="3470">
        <f t="shared" si="2"/>
        <v>6968</v>
      </c>
    </row>
    <row r="117" spans="1:8" ht="83.25" thickBot="1">
      <c r="A117" s="3470">
        <f t="shared" si="3"/>
        <v>116</v>
      </c>
      <c r="B117" s="3471">
        <v>439</v>
      </c>
      <c r="C117" s="3472" t="s">
        <v>3734</v>
      </c>
      <c r="D117" s="3475">
        <v>-3033</v>
      </c>
      <c r="E117" s="3473">
        <v>24.46</v>
      </c>
      <c r="F117" s="3472">
        <v>2.6</v>
      </c>
      <c r="G117" s="3474" t="s">
        <v>3408</v>
      </c>
      <c r="H117" s="3470">
        <f t="shared" si="2"/>
        <v>6967</v>
      </c>
    </row>
    <row r="118" spans="1:8" ht="83.25" thickBot="1">
      <c r="A118" s="3470">
        <f t="shared" si="3"/>
        <v>117</v>
      </c>
      <c r="B118" s="3471">
        <v>440</v>
      </c>
      <c r="C118" s="3472" t="s">
        <v>3734</v>
      </c>
      <c r="D118" s="3475">
        <v>-3034</v>
      </c>
      <c r="E118" s="3473">
        <v>24.46</v>
      </c>
      <c r="F118" s="3472">
        <v>2.6</v>
      </c>
      <c r="G118" s="3474" t="s">
        <v>3408</v>
      </c>
      <c r="H118" s="3470">
        <f t="shared" si="2"/>
        <v>6966</v>
      </c>
    </row>
    <row r="119" spans="1:8" ht="83.25" thickBot="1">
      <c r="A119" s="3470">
        <f t="shared" si="3"/>
        <v>118</v>
      </c>
      <c r="B119" s="3471">
        <v>441</v>
      </c>
      <c r="C119" s="3472" t="s">
        <v>3734</v>
      </c>
      <c r="D119" s="3475">
        <v>-3035</v>
      </c>
      <c r="E119" s="3473">
        <v>24.46</v>
      </c>
      <c r="F119" s="3472">
        <v>2.6</v>
      </c>
      <c r="G119" s="3474" t="s">
        <v>3408</v>
      </c>
      <c r="H119" s="3470">
        <f t="shared" si="2"/>
        <v>6965</v>
      </c>
    </row>
    <row r="120" spans="1:8" ht="83.25" thickBot="1">
      <c r="A120" s="3470">
        <f t="shared" si="3"/>
        <v>119</v>
      </c>
      <c r="B120" s="3471">
        <v>442</v>
      </c>
      <c r="C120" s="3472" t="s">
        <v>3734</v>
      </c>
      <c r="D120" s="3475">
        <v>-3036</v>
      </c>
      <c r="E120" s="3473">
        <v>24.46</v>
      </c>
      <c r="F120" s="3472">
        <v>2.6</v>
      </c>
      <c r="G120" s="3474" t="s">
        <v>3408</v>
      </c>
      <c r="H120" s="3470">
        <f t="shared" si="2"/>
        <v>6964</v>
      </c>
    </row>
    <row r="121" spans="1:8" ht="83.25" thickBot="1">
      <c r="A121" s="3470">
        <f t="shared" si="3"/>
        <v>120</v>
      </c>
      <c r="B121" s="3471">
        <v>443</v>
      </c>
      <c r="C121" s="3472" t="s">
        <v>3734</v>
      </c>
      <c r="D121" s="3475">
        <v>-3037</v>
      </c>
      <c r="E121" s="3473">
        <v>24.46</v>
      </c>
      <c r="F121" s="3472">
        <v>2.6</v>
      </c>
      <c r="G121" s="3474" t="s">
        <v>3408</v>
      </c>
      <c r="H121" s="3470">
        <f t="shared" si="2"/>
        <v>6963</v>
      </c>
    </row>
    <row r="122" spans="1:8" ht="83.25" thickBot="1">
      <c r="A122" s="3470">
        <f t="shared" si="3"/>
        <v>121</v>
      </c>
      <c r="B122" s="3471">
        <v>444</v>
      </c>
      <c r="C122" s="3472" t="s">
        <v>3734</v>
      </c>
      <c r="D122" s="3475">
        <v>-3038</v>
      </c>
      <c r="E122" s="3473">
        <v>24.46</v>
      </c>
      <c r="F122" s="3472">
        <v>2.6</v>
      </c>
      <c r="G122" s="3474" t="s">
        <v>3408</v>
      </c>
      <c r="H122" s="3470">
        <f t="shared" si="2"/>
        <v>6962</v>
      </c>
    </row>
    <row r="123" spans="1:8" ht="83.25" thickBot="1">
      <c r="A123" s="3470">
        <f t="shared" si="3"/>
        <v>122</v>
      </c>
      <c r="B123" s="3471">
        <v>445</v>
      </c>
      <c r="C123" s="3472" t="s">
        <v>3734</v>
      </c>
      <c r="D123" s="3475">
        <v>-3039</v>
      </c>
      <c r="E123" s="3473">
        <v>24.46</v>
      </c>
      <c r="F123" s="3472">
        <v>2.6</v>
      </c>
      <c r="G123" s="3474" t="s">
        <v>3408</v>
      </c>
      <c r="H123" s="3470">
        <f t="shared" si="2"/>
        <v>6961</v>
      </c>
    </row>
    <row r="124" spans="1:8" ht="83.25" thickBot="1">
      <c r="A124" s="3470">
        <f t="shared" si="3"/>
        <v>123</v>
      </c>
      <c r="B124" s="3471">
        <v>446</v>
      </c>
      <c r="C124" s="3472" t="s">
        <v>3734</v>
      </c>
      <c r="D124" s="3475">
        <v>-3040</v>
      </c>
      <c r="E124" s="3473">
        <v>24.46</v>
      </c>
      <c r="F124" s="3472">
        <v>2.6</v>
      </c>
      <c r="G124" s="3474" t="s">
        <v>3408</v>
      </c>
      <c r="H124" s="3470">
        <f t="shared" si="2"/>
        <v>6960</v>
      </c>
    </row>
    <row r="125" spans="1:8" ht="83.25" thickBot="1">
      <c r="A125" s="3470">
        <f t="shared" si="3"/>
        <v>124</v>
      </c>
      <c r="B125" s="3471">
        <v>447</v>
      </c>
      <c r="C125" s="3472" t="s">
        <v>3734</v>
      </c>
      <c r="D125" s="3475">
        <v>-3041</v>
      </c>
      <c r="E125" s="3473">
        <v>24.46</v>
      </c>
      <c r="F125" s="3472">
        <v>2.6</v>
      </c>
      <c r="G125" s="3474" t="s">
        <v>3408</v>
      </c>
      <c r="H125" s="3470">
        <f t="shared" si="2"/>
        <v>6959</v>
      </c>
    </row>
    <row r="126" spans="1:8" ht="83.25" thickBot="1">
      <c r="A126" s="3470">
        <f t="shared" si="3"/>
        <v>125</v>
      </c>
      <c r="B126" s="3471">
        <v>448</v>
      </c>
      <c r="C126" s="3472" t="s">
        <v>3734</v>
      </c>
      <c r="D126" s="3475">
        <v>-3042</v>
      </c>
      <c r="E126" s="3473">
        <v>24.46</v>
      </c>
      <c r="F126" s="3472">
        <v>2.6</v>
      </c>
      <c r="G126" s="3474" t="s">
        <v>3408</v>
      </c>
      <c r="H126" s="3470">
        <f t="shared" si="2"/>
        <v>6958</v>
      </c>
    </row>
    <row r="127" spans="1:8" ht="83.25" thickBot="1">
      <c r="A127" s="3470">
        <f t="shared" si="3"/>
        <v>126</v>
      </c>
      <c r="B127" s="3471">
        <v>449</v>
      </c>
      <c r="C127" s="3472" t="s">
        <v>3734</v>
      </c>
      <c r="D127" s="3475">
        <v>-3043</v>
      </c>
      <c r="E127" s="3473">
        <v>24.46</v>
      </c>
      <c r="F127" s="3472">
        <v>2.6</v>
      </c>
      <c r="G127" s="3474" t="s">
        <v>3408</v>
      </c>
      <c r="H127" s="3470">
        <f t="shared" si="2"/>
        <v>6957</v>
      </c>
    </row>
    <row r="128" spans="1:8" ht="83.25" thickBot="1">
      <c r="A128" s="3470">
        <f t="shared" si="3"/>
        <v>127</v>
      </c>
      <c r="B128" s="3471">
        <v>450</v>
      </c>
      <c r="C128" s="3472" t="s">
        <v>3734</v>
      </c>
      <c r="D128" s="3475">
        <v>-3044</v>
      </c>
      <c r="E128" s="3473">
        <v>24.46</v>
      </c>
      <c r="F128" s="3472">
        <v>2.6</v>
      </c>
      <c r="G128" s="3474" t="s">
        <v>3408</v>
      </c>
      <c r="H128" s="3470">
        <f t="shared" si="2"/>
        <v>6956</v>
      </c>
    </row>
    <row r="129" spans="1:8" ht="83.25" thickBot="1">
      <c r="A129" s="3470">
        <f t="shared" si="3"/>
        <v>128</v>
      </c>
      <c r="B129" s="3483">
        <v>451</v>
      </c>
      <c r="C129" s="3484" t="s">
        <v>3734</v>
      </c>
      <c r="D129" s="3485">
        <v>-3045</v>
      </c>
      <c r="E129" s="3486">
        <v>24.46</v>
      </c>
      <c r="F129" s="3484">
        <v>2.6</v>
      </c>
      <c r="G129" s="3469" t="s">
        <v>3408</v>
      </c>
      <c r="H129" s="3470">
        <f t="shared" si="2"/>
        <v>6955</v>
      </c>
    </row>
    <row r="130" spans="1:8" ht="83.25" thickBot="1">
      <c r="A130" s="3470">
        <f t="shared" si="3"/>
        <v>129</v>
      </c>
      <c r="B130" s="3471">
        <v>452</v>
      </c>
      <c r="C130" s="3472" t="s">
        <v>3734</v>
      </c>
      <c r="D130" s="3475">
        <v>-3046</v>
      </c>
      <c r="E130" s="3473">
        <v>24.46</v>
      </c>
      <c r="F130" s="3472">
        <v>2.6</v>
      </c>
      <c r="G130" s="3474" t="s">
        <v>3408</v>
      </c>
      <c r="H130" s="3470">
        <f t="shared" si="2"/>
        <v>6954</v>
      </c>
    </row>
    <row r="131" spans="1:8" ht="83.25" thickBot="1">
      <c r="A131" s="3470">
        <f t="shared" si="3"/>
        <v>130</v>
      </c>
      <c r="B131" s="3471">
        <v>453</v>
      </c>
      <c r="C131" s="3472" t="s">
        <v>3734</v>
      </c>
      <c r="D131" s="3475">
        <v>-3047</v>
      </c>
      <c r="E131" s="3473">
        <v>24.46</v>
      </c>
      <c r="F131" s="3472">
        <v>2.6</v>
      </c>
      <c r="G131" s="3474" t="s">
        <v>3408</v>
      </c>
      <c r="H131" s="3470">
        <f t="shared" ref="H131:H194" si="4">10000+D131</f>
        <v>6953</v>
      </c>
    </row>
    <row r="132" spans="1:8" ht="83.25" thickBot="1">
      <c r="A132" s="3470">
        <f t="shared" ref="A132:A195" si="5">A131+1</f>
        <v>131</v>
      </c>
      <c r="B132" s="3471">
        <v>454</v>
      </c>
      <c r="C132" s="3472" t="s">
        <v>3734</v>
      </c>
      <c r="D132" s="3475">
        <v>-3048</v>
      </c>
      <c r="E132" s="3473">
        <v>24.46</v>
      </c>
      <c r="F132" s="3472">
        <v>2.6</v>
      </c>
      <c r="G132" s="3474" t="s">
        <v>3408</v>
      </c>
      <c r="H132" s="3470">
        <f t="shared" si="4"/>
        <v>6952</v>
      </c>
    </row>
    <row r="133" spans="1:8" ht="83.25" thickBot="1">
      <c r="A133" s="3470">
        <f t="shared" si="5"/>
        <v>132</v>
      </c>
      <c r="B133" s="3471">
        <v>455</v>
      </c>
      <c r="C133" s="3472" t="s">
        <v>3734</v>
      </c>
      <c r="D133" s="3475">
        <v>-3049</v>
      </c>
      <c r="E133" s="3473">
        <v>24.46</v>
      </c>
      <c r="F133" s="3472">
        <v>2.6</v>
      </c>
      <c r="G133" s="3474" t="s">
        <v>3408</v>
      </c>
      <c r="H133" s="3470">
        <f t="shared" si="4"/>
        <v>6951</v>
      </c>
    </row>
    <row r="134" spans="1:8" ht="83.25" thickBot="1">
      <c r="A134" s="3470">
        <f t="shared" si="5"/>
        <v>133</v>
      </c>
      <c r="B134" s="3471">
        <v>456</v>
      </c>
      <c r="C134" s="3472" t="s">
        <v>3734</v>
      </c>
      <c r="D134" s="3475">
        <v>-3050</v>
      </c>
      <c r="E134" s="3473">
        <v>24.46</v>
      </c>
      <c r="F134" s="3472">
        <v>2.6</v>
      </c>
      <c r="G134" s="3474" t="s">
        <v>3408</v>
      </c>
      <c r="H134" s="3470">
        <f t="shared" si="4"/>
        <v>6950</v>
      </c>
    </row>
    <row r="135" spans="1:8" ht="83.25" thickBot="1">
      <c r="A135" s="3470">
        <f t="shared" si="5"/>
        <v>134</v>
      </c>
      <c r="B135" s="3471">
        <v>457</v>
      </c>
      <c r="C135" s="3472" t="s">
        <v>3734</v>
      </c>
      <c r="D135" s="3475">
        <v>-3051</v>
      </c>
      <c r="E135" s="3473">
        <v>24.46</v>
      </c>
      <c r="F135" s="3472">
        <v>2.6</v>
      </c>
      <c r="G135" s="3474" t="s">
        <v>3408</v>
      </c>
      <c r="H135" s="3470">
        <f t="shared" si="4"/>
        <v>6949</v>
      </c>
    </row>
    <row r="136" spans="1:8" ht="83.25" thickBot="1">
      <c r="A136" s="3470">
        <f t="shared" si="5"/>
        <v>135</v>
      </c>
      <c r="B136" s="3471">
        <v>458</v>
      </c>
      <c r="C136" s="3472" t="s">
        <v>3734</v>
      </c>
      <c r="D136" s="3475">
        <v>-3052</v>
      </c>
      <c r="E136" s="3473">
        <v>24.46</v>
      </c>
      <c r="F136" s="3472">
        <v>2.6</v>
      </c>
      <c r="G136" s="3474" t="s">
        <v>3408</v>
      </c>
      <c r="H136" s="3470">
        <f t="shared" si="4"/>
        <v>6948</v>
      </c>
    </row>
    <row r="137" spans="1:8" ht="83.25" thickBot="1">
      <c r="A137" s="3470">
        <f t="shared" si="5"/>
        <v>136</v>
      </c>
      <c r="B137" s="3471">
        <v>459</v>
      </c>
      <c r="C137" s="3472" t="s">
        <v>3734</v>
      </c>
      <c r="D137" s="3475">
        <v>-3053</v>
      </c>
      <c r="E137" s="3473">
        <v>24.46</v>
      </c>
      <c r="F137" s="3472">
        <v>2.6</v>
      </c>
      <c r="G137" s="3474" t="s">
        <v>3408</v>
      </c>
      <c r="H137" s="3470">
        <f t="shared" si="4"/>
        <v>6947</v>
      </c>
    </row>
    <row r="138" spans="1:8" ht="83.25" thickBot="1">
      <c r="A138" s="3470">
        <f t="shared" si="5"/>
        <v>137</v>
      </c>
      <c r="B138" s="3471">
        <v>460</v>
      </c>
      <c r="C138" s="3472" t="s">
        <v>3734</v>
      </c>
      <c r="D138" s="3475">
        <v>-3054</v>
      </c>
      <c r="E138" s="3473">
        <v>24.46</v>
      </c>
      <c r="F138" s="3472">
        <v>2.6</v>
      </c>
      <c r="G138" s="3474" t="s">
        <v>3408</v>
      </c>
      <c r="H138" s="3470">
        <f t="shared" si="4"/>
        <v>6946</v>
      </c>
    </row>
    <row r="139" spans="1:8" ht="83.25" thickBot="1">
      <c r="A139" s="3470">
        <f t="shared" si="5"/>
        <v>138</v>
      </c>
      <c r="B139" s="3471">
        <v>461</v>
      </c>
      <c r="C139" s="3472" t="s">
        <v>3734</v>
      </c>
      <c r="D139" s="3475">
        <v>-3055</v>
      </c>
      <c r="E139" s="3473">
        <v>24.46</v>
      </c>
      <c r="F139" s="3472">
        <v>2.6</v>
      </c>
      <c r="G139" s="3474" t="s">
        <v>3408</v>
      </c>
      <c r="H139" s="3470">
        <f t="shared" si="4"/>
        <v>6945</v>
      </c>
    </row>
    <row r="140" spans="1:8" ht="83.25" thickBot="1">
      <c r="A140" s="3470">
        <f t="shared" si="5"/>
        <v>139</v>
      </c>
      <c r="B140" s="3471">
        <v>462</v>
      </c>
      <c r="C140" s="3472" t="s">
        <v>3734</v>
      </c>
      <c r="D140" s="3475">
        <v>-3056</v>
      </c>
      <c r="E140" s="3473">
        <v>24.46</v>
      </c>
      <c r="F140" s="3472">
        <v>2.6</v>
      </c>
      <c r="G140" s="3474" t="s">
        <v>3408</v>
      </c>
      <c r="H140" s="3470">
        <f t="shared" si="4"/>
        <v>6944</v>
      </c>
    </row>
    <row r="141" spans="1:8" ht="83.25" thickBot="1">
      <c r="A141" s="3470">
        <f t="shared" si="5"/>
        <v>140</v>
      </c>
      <c r="B141" s="3471">
        <v>463</v>
      </c>
      <c r="C141" s="3472" t="s">
        <v>3734</v>
      </c>
      <c r="D141" s="3475">
        <v>-3057</v>
      </c>
      <c r="E141" s="3473">
        <v>24.46</v>
      </c>
      <c r="F141" s="3472">
        <v>2.6</v>
      </c>
      <c r="G141" s="3474" t="s">
        <v>3408</v>
      </c>
      <c r="H141" s="3470">
        <f t="shared" si="4"/>
        <v>6943</v>
      </c>
    </row>
    <row r="142" spans="1:8" ht="83.25" thickBot="1">
      <c r="A142" s="3470">
        <f t="shared" si="5"/>
        <v>141</v>
      </c>
      <c r="B142" s="3471">
        <v>464</v>
      </c>
      <c r="C142" s="3472" t="s">
        <v>3734</v>
      </c>
      <c r="D142" s="3475">
        <v>-3058</v>
      </c>
      <c r="E142" s="3473">
        <v>24.46</v>
      </c>
      <c r="F142" s="3472">
        <v>2.6</v>
      </c>
      <c r="G142" s="3474" t="s">
        <v>3408</v>
      </c>
      <c r="H142" s="3470">
        <f t="shared" si="4"/>
        <v>6942</v>
      </c>
    </row>
    <row r="143" spans="1:8" ht="83.25" thickBot="1">
      <c r="A143" s="3470">
        <f t="shared" si="5"/>
        <v>142</v>
      </c>
      <c r="B143" s="3471">
        <v>465</v>
      </c>
      <c r="C143" s="3472" t="s">
        <v>3734</v>
      </c>
      <c r="D143" s="3475">
        <v>-3059</v>
      </c>
      <c r="E143" s="3473">
        <v>24.46</v>
      </c>
      <c r="F143" s="3472">
        <v>2.6</v>
      </c>
      <c r="G143" s="3474" t="s">
        <v>3408</v>
      </c>
      <c r="H143" s="3470">
        <f t="shared" si="4"/>
        <v>6941</v>
      </c>
    </row>
    <row r="144" spans="1:8" ht="83.25" thickBot="1">
      <c r="A144" s="3470">
        <f t="shared" si="5"/>
        <v>143</v>
      </c>
      <c r="B144" s="3471">
        <v>466</v>
      </c>
      <c r="C144" s="3472" t="s">
        <v>3734</v>
      </c>
      <c r="D144" s="3475">
        <v>-3060</v>
      </c>
      <c r="E144" s="3473">
        <v>24.46</v>
      </c>
      <c r="F144" s="3472">
        <v>2.6</v>
      </c>
      <c r="G144" s="3474" t="s">
        <v>3408</v>
      </c>
      <c r="H144" s="3470">
        <f t="shared" si="4"/>
        <v>6940</v>
      </c>
    </row>
    <row r="145" spans="1:8" ht="83.25" thickBot="1">
      <c r="A145" s="3470">
        <f t="shared" si="5"/>
        <v>144</v>
      </c>
      <c r="B145" s="3471">
        <v>467</v>
      </c>
      <c r="C145" s="3472" t="s">
        <v>3734</v>
      </c>
      <c r="D145" s="3475">
        <v>-3061</v>
      </c>
      <c r="E145" s="3473">
        <v>24.46</v>
      </c>
      <c r="F145" s="3472">
        <v>2.6</v>
      </c>
      <c r="G145" s="3474" t="s">
        <v>3408</v>
      </c>
      <c r="H145" s="3470">
        <f t="shared" si="4"/>
        <v>6939</v>
      </c>
    </row>
    <row r="146" spans="1:8" ht="83.25" thickBot="1">
      <c r="A146" s="3470">
        <f t="shared" si="5"/>
        <v>145</v>
      </c>
      <c r="B146" s="3471">
        <v>468</v>
      </c>
      <c r="C146" s="3472" t="s">
        <v>3734</v>
      </c>
      <c r="D146" s="3475">
        <v>-3062</v>
      </c>
      <c r="E146" s="3473">
        <v>24.46</v>
      </c>
      <c r="F146" s="3472">
        <v>2.6</v>
      </c>
      <c r="G146" s="3474" t="s">
        <v>3408</v>
      </c>
      <c r="H146" s="3470">
        <f t="shared" si="4"/>
        <v>6938</v>
      </c>
    </row>
    <row r="147" spans="1:8" ht="83.25" thickBot="1">
      <c r="A147" s="3470">
        <f t="shared" si="5"/>
        <v>146</v>
      </c>
      <c r="B147" s="3483">
        <v>469</v>
      </c>
      <c r="C147" s="3484" t="s">
        <v>3734</v>
      </c>
      <c r="D147" s="3485">
        <v>-3063</v>
      </c>
      <c r="E147" s="3486">
        <v>24.46</v>
      </c>
      <c r="F147" s="3484">
        <v>2.6</v>
      </c>
      <c r="G147" s="3469" t="s">
        <v>3408</v>
      </c>
      <c r="H147" s="3470">
        <f t="shared" si="4"/>
        <v>6937</v>
      </c>
    </row>
    <row r="148" spans="1:8" ht="83.25" thickBot="1">
      <c r="A148" s="3470">
        <f t="shared" si="5"/>
        <v>147</v>
      </c>
      <c r="B148" s="3471">
        <v>470</v>
      </c>
      <c r="C148" s="3472" t="s">
        <v>3734</v>
      </c>
      <c r="D148" s="3475">
        <v>-3064</v>
      </c>
      <c r="E148" s="3473">
        <v>24.46</v>
      </c>
      <c r="F148" s="3472">
        <v>2.6</v>
      </c>
      <c r="G148" s="3474" t="s">
        <v>3408</v>
      </c>
      <c r="H148" s="3470">
        <f t="shared" si="4"/>
        <v>6936</v>
      </c>
    </row>
    <row r="149" spans="1:8" ht="83.25" thickBot="1">
      <c r="A149" s="3470">
        <f t="shared" si="5"/>
        <v>148</v>
      </c>
      <c r="B149" s="3471">
        <v>471</v>
      </c>
      <c r="C149" s="3472" t="s">
        <v>3734</v>
      </c>
      <c r="D149" s="3475">
        <v>-3065</v>
      </c>
      <c r="E149" s="3473">
        <v>26.68</v>
      </c>
      <c r="F149" s="3472">
        <v>2.84</v>
      </c>
      <c r="G149" s="3474" t="s">
        <v>3408</v>
      </c>
      <c r="H149" s="3470">
        <f t="shared" si="4"/>
        <v>6935</v>
      </c>
    </row>
    <row r="150" spans="1:8" ht="83.25" thickBot="1">
      <c r="A150" s="3470">
        <f t="shared" si="5"/>
        <v>149</v>
      </c>
      <c r="B150" s="3471">
        <v>472</v>
      </c>
      <c r="C150" s="3472" t="s">
        <v>3734</v>
      </c>
      <c r="D150" s="3475">
        <v>-3066</v>
      </c>
      <c r="E150" s="3473">
        <v>24.46</v>
      </c>
      <c r="F150" s="3472">
        <v>2.6</v>
      </c>
      <c r="G150" s="3474" t="s">
        <v>3408</v>
      </c>
      <c r="H150" s="3470">
        <f t="shared" si="4"/>
        <v>6934</v>
      </c>
    </row>
    <row r="151" spans="1:8" ht="83.25" thickBot="1">
      <c r="A151" s="3470">
        <f t="shared" si="5"/>
        <v>150</v>
      </c>
      <c r="B151" s="3471">
        <v>473</v>
      </c>
      <c r="C151" s="3472" t="s">
        <v>3734</v>
      </c>
      <c r="D151" s="3475">
        <v>-3067</v>
      </c>
      <c r="E151" s="3473">
        <v>24.46</v>
      </c>
      <c r="F151" s="3472">
        <v>2.6</v>
      </c>
      <c r="G151" s="3474" t="s">
        <v>3408</v>
      </c>
      <c r="H151" s="3470">
        <f t="shared" si="4"/>
        <v>6933</v>
      </c>
    </row>
    <row r="152" spans="1:8" ht="83.25" thickBot="1">
      <c r="A152" s="3470">
        <f t="shared" si="5"/>
        <v>151</v>
      </c>
      <c r="B152" s="3471">
        <v>474</v>
      </c>
      <c r="C152" s="3472" t="s">
        <v>3734</v>
      </c>
      <c r="D152" s="3475">
        <v>-3068</v>
      </c>
      <c r="E152" s="3473">
        <v>24.46</v>
      </c>
      <c r="F152" s="3472">
        <v>2.6</v>
      </c>
      <c r="G152" s="3474" t="s">
        <v>3408</v>
      </c>
      <c r="H152" s="3470">
        <f t="shared" si="4"/>
        <v>6932</v>
      </c>
    </row>
    <row r="153" spans="1:8" ht="83.25" thickBot="1">
      <c r="A153" s="3470">
        <f t="shared" si="5"/>
        <v>152</v>
      </c>
      <c r="B153" s="3471">
        <v>475</v>
      </c>
      <c r="C153" s="3472" t="s">
        <v>3734</v>
      </c>
      <c r="D153" s="3475">
        <v>-3069</v>
      </c>
      <c r="E153" s="3473">
        <v>24.46</v>
      </c>
      <c r="F153" s="3472">
        <v>2.6</v>
      </c>
      <c r="G153" s="3474" t="s">
        <v>3408</v>
      </c>
      <c r="H153" s="3470">
        <f t="shared" si="4"/>
        <v>6931</v>
      </c>
    </row>
    <row r="154" spans="1:8" ht="83.25" thickBot="1">
      <c r="A154" s="3470">
        <f t="shared" si="5"/>
        <v>153</v>
      </c>
      <c r="B154" s="3471">
        <v>476</v>
      </c>
      <c r="C154" s="3472" t="s">
        <v>3734</v>
      </c>
      <c r="D154" s="3475">
        <v>-3070</v>
      </c>
      <c r="E154" s="3473">
        <v>24.46</v>
      </c>
      <c r="F154" s="3472">
        <v>2.6</v>
      </c>
      <c r="G154" s="3474" t="s">
        <v>3408</v>
      </c>
      <c r="H154" s="3470">
        <f t="shared" si="4"/>
        <v>6930</v>
      </c>
    </row>
    <row r="155" spans="1:8" ht="83.25" thickBot="1">
      <c r="A155" s="3470">
        <f t="shared" si="5"/>
        <v>154</v>
      </c>
      <c r="B155" s="3471">
        <v>477</v>
      </c>
      <c r="C155" s="3472" t="s">
        <v>3734</v>
      </c>
      <c r="D155" s="3475">
        <v>-3071</v>
      </c>
      <c r="E155" s="3473">
        <v>24.46</v>
      </c>
      <c r="F155" s="3472">
        <v>2.6</v>
      </c>
      <c r="G155" s="3474" t="s">
        <v>3408</v>
      </c>
      <c r="H155" s="3470">
        <f t="shared" si="4"/>
        <v>6929</v>
      </c>
    </row>
    <row r="156" spans="1:8" ht="83.25" thickBot="1">
      <c r="A156" s="3470">
        <f t="shared" si="5"/>
        <v>155</v>
      </c>
      <c r="B156" s="3471">
        <v>478</v>
      </c>
      <c r="C156" s="3472" t="s">
        <v>3734</v>
      </c>
      <c r="D156" s="3475">
        <v>-3072</v>
      </c>
      <c r="E156" s="3473">
        <v>24.46</v>
      </c>
      <c r="F156" s="3472">
        <v>2.6</v>
      </c>
      <c r="G156" s="3474" t="s">
        <v>3408</v>
      </c>
      <c r="H156" s="3470">
        <f t="shared" si="4"/>
        <v>6928</v>
      </c>
    </row>
    <row r="157" spans="1:8" ht="83.25" thickBot="1">
      <c r="A157" s="3470">
        <f t="shared" si="5"/>
        <v>156</v>
      </c>
      <c r="B157" s="3471">
        <v>479</v>
      </c>
      <c r="C157" s="3472" t="s">
        <v>3734</v>
      </c>
      <c r="D157" s="3475">
        <v>-3073</v>
      </c>
      <c r="E157" s="3473">
        <v>24.46</v>
      </c>
      <c r="F157" s="3472">
        <v>2.6</v>
      </c>
      <c r="G157" s="3474" t="s">
        <v>3408</v>
      </c>
      <c r="H157" s="3470">
        <f t="shared" si="4"/>
        <v>6927</v>
      </c>
    </row>
    <row r="158" spans="1:8" ht="83.25" thickBot="1">
      <c r="A158" s="3470">
        <f t="shared" si="5"/>
        <v>157</v>
      </c>
      <c r="B158" s="3471">
        <v>480</v>
      </c>
      <c r="C158" s="3472" t="s">
        <v>3734</v>
      </c>
      <c r="D158" s="3475">
        <v>-3074</v>
      </c>
      <c r="E158" s="3473">
        <v>24.46</v>
      </c>
      <c r="F158" s="3472">
        <v>2.6</v>
      </c>
      <c r="G158" s="3474" t="s">
        <v>3408</v>
      </c>
      <c r="H158" s="3470">
        <f t="shared" si="4"/>
        <v>6926</v>
      </c>
    </row>
    <row r="159" spans="1:8" ht="83.25" thickBot="1">
      <c r="A159" s="3470">
        <f t="shared" si="5"/>
        <v>158</v>
      </c>
      <c r="B159" s="3471">
        <v>481</v>
      </c>
      <c r="C159" s="3472" t="s">
        <v>3734</v>
      </c>
      <c r="D159" s="3475">
        <v>-3075</v>
      </c>
      <c r="E159" s="3473">
        <v>24.46</v>
      </c>
      <c r="F159" s="3472">
        <v>2.6</v>
      </c>
      <c r="G159" s="3474" t="s">
        <v>3408</v>
      </c>
      <c r="H159" s="3470">
        <f t="shared" si="4"/>
        <v>6925</v>
      </c>
    </row>
    <row r="160" spans="1:8" ht="83.25" thickBot="1">
      <c r="A160" s="3470">
        <f t="shared" si="5"/>
        <v>159</v>
      </c>
      <c r="B160" s="3471">
        <v>482</v>
      </c>
      <c r="C160" s="3472" t="s">
        <v>3734</v>
      </c>
      <c r="D160" s="3475">
        <v>-3076</v>
      </c>
      <c r="E160" s="3473">
        <v>24.46</v>
      </c>
      <c r="F160" s="3472">
        <v>2.6</v>
      </c>
      <c r="G160" s="3474" t="s">
        <v>3408</v>
      </c>
      <c r="H160" s="3470">
        <f t="shared" si="4"/>
        <v>6924</v>
      </c>
    </row>
    <row r="161" spans="1:8" ht="83.25" thickBot="1">
      <c r="A161" s="3470">
        <f t="shared" si="5"/>
        <v>160</v>
      </c>
      <c r="B161" s="3471">
        <v>483</v>
      </c>
      <c r="C161" s="3472" t="s">
        <v>3734</v>
      </c>
      <c r="D161" s="3475">
        <v>-3077</v>
      </c>
      <c r="E161" s="3473">
        <v>24.46</v>
      </c>
      <c r="F161" s="3472">
        <v>2.6</v>
      </c>
      <c r="G161" s="3474" t="s">
        <v>3408</v>
      </c>
      <c r="H161" s="3470">
        <f t="shared" si="4"/>
        <v>6923</v>
      </c>
    </row>
    <row r="162" spans="1:8" ht="83.25" thickBot="1">
      <c r="A162" s="3470">
        <f t="shared" si="5"/>
        <v>161</v>
      </c>
      <c r="B162" s="3471">
        <v>484</v>
      </c>
      <c r="C162" s="3472" t="s">
        <v>3734</v>
      </c>
      <c r="D162" s="3475">
        <v>-3078</v>
      </c>
      <c r="E162" s="3473">
        <v>24.46</v>
      </c>
      <c r="F162" s="3472">
        <v>2.6</v>
      </c>
      <c r="G162" s="3474" t="s">
        <v>3408</v>
      </c>
      <c r="H162" s="3470">
        <f t="shared" si="4"/>
        <v>6922</v>
      </c>
    </row>
    <row r="163" spans="1:8" ht="83.25" thickBot="1">
      <c r="A163" s="3470">
        <f t="shared" si="5"/>
        <v>162</v>
      </c>
      <c r="B163" s="3471">
        <v>485</v>
      </c>
      <c r="C163" s="3472" t="s">
        <v>3734</v>
      </c>
      <c r="D163" s="3475">
        <v>-3079</v>
      </c>
      <c r="E163" s="3473">
        <v>24.46</v>
      </c>
      <c r="F163" s="3472">
        <v>2.6</v>
      </c>
      <c r="G163" s="3474" t="s">
        <v>3408</v>
      </c>
      <c r="H163" s="3470">
        <f t="shared" si="4"/>
        <v>6921</v>
      </c>
    </row>
    <row r="164" spans="1:8" ht="83.25" thickBot="1">
      <c r="A164" s="3470">
        <f t="shared" si="5"/>
        <v>163</v>
      </c>
      <c r="B164" s="3471">
        <v>486</v>
      </c>
      <c r="C164" s="3472" t="s">
        <v>3734</v>
      </c>
      <c r="D164" s="3475">
        <v>-3080</v>
      </c>
      <c r="E164" s="3473">
        <v>24.46</v>
      </c>
      <c r="F164" s="3472">
        <v>2.6</v>
      </c>
      <c r="G164" s="3474" t="s">
        <v>3408</v>
      </c>
      <c r="H164" s="3470">
        <f t="shared" si="4"/>
        <v>6920</v>
      </c>
    </row>
    <row r="165" spans="1:8" ht="83.25" thickBot="1">
      <c r="A165" s="3470">
        <f t="shared" si="5"/>
        <v>164</v>
      </c>
      <c r="B165" s="3483">
        <v>487</v>
      </c>
      <c r="C165" s="3484" t="s">
        <v>3734</v>
      </c>
      <c r="D165" s="3485">
        <v>-3081</v>
      </c>
      <c r="E165" s="3486">
        <v>24.46</v>
      </c>
      <c r="F165" s="3484">
        <v>2.6</v>
      </c>
      <c r="G165" s="3469" t="s">
        <v>3408</v>
      </c>
      <c r="H165" s="3470">
        <f t="shared" si="4"/>
        <v>6919</v>
      </c>
    </row>
    <row r="166" spans="1:8" ht="83.25" thickBot="1">
      <c r="A166" s="3470">
        <f t="shared" si="5"/>
        <v>165</v>
      </c>
      <c r="B166" s="3471">
        <v>488</v>
      </c>
      <c r="C166" s="3472" t="s">
        <v>3734</v>
      </c>
      <c r="D166" s="3475">
        <v>-3082</v>
      </c>
      <c r="E166" s="3473">
        <v>24.46</v>
      </c>
      <c r="F166" s="3472">
        <v>2.6</v>
      </c>
      <c r="G166" s="3474" t="s">
        <v>3408</v>
      </c>
      <c r="H166" s="3470">
        <f t="shared" si="4"/>
        <v>6918</v>
      </c>
    </row>
    <row r="167" spans="1:8" ht="83.25" thickBot="1">
      <c r="A167" s="3470">
        <f t="shared" si="5"/>
        <v>166</v>
      </c>
      <c r="B167" s="3471">
        <v>489</v>
      </c>
      <c r="C167" s="3472" t="s">
        <v>3734</v>
      </c>
      <c r="D167" s="3475">
        <v>-3083</v>
      </c>
      <c r="E167" s="3473">
        <v>24.46</v>
      </c>
      <c r="F167" s="3472">
        <v>2.6</v>
      </c>
      <c r="G167" s="3474" t="s">
        <v>3408</v>
      </c>
      <c r="H167" s="3470">
        <f t="shared" si="4"/>
        <v>6917</v>
      </c>
    </row>
    <row r="168" spans="1:8" ht="83.25" thickBot="1">
      <c r="A168" s="3470">
        <f t="shared" si="5"/>
        <v>167</v>
      </c>
      <c r="B168" s="3471">
        <v>490</v>
      </c>
      <c r="C168" s="3472" t="s">
        <v>3734</v>
      </c>
      <c r="D168" s="3475">
        <v>-3084</v>
      </c>
      <c r="E168" s="3473">
        <v>24.46</v>
      </c>
      <c r="F168" s="3472">
        <v>2.6</v>
      </c>
      <c r="G168" s="3474" t="s">
        <v>3408</v>
      </c>
      <c r="H168" s="3470">
        <f t="shared" si="4"/>
        <v>6916</v>
      </c>
    </row>
    <row r="169" spans="1:8" ht="83.25" thickBot="1">
      <c r="A169" s="3470">
        <f t="shared" si="5"/>
        <v>168</v>
      </c>
      <c r="B169" s="3471">
        <v>491</v>
      </c>
      <c r="C169" s="3472" t="s">
        <v>3734</v>
      </c>
      <c r="D169" s="3475">
        <v>-3085</v>
      </c>
      <c r="E169" s="3473">
        <v>24.46</v>
      </c>
      <c r="F169" s="3472">
        <v>2.6</v>
      </c>
      <c r="G169" s="3474" t="s">
        <v>3408</v>
      </c>
      <c r="H169" s="3470">
        <f t="shared" si="4"/>
        <v>6915</v>
      </c>
    </row>
    <row r="170" spans="1:8" ht="83.25" thickBot="1">
      <c r="A170" s="3470">
        <f t="shared" si="5"/>
        <v>169</v>
      </c>
      <c r="B170" s="3471">
        <v>492</v>
      </c>
      <c r="C170" s="3472" t="s">
        <v>3734</v>
      </c>
      <c r="D170" s="3475">
        <v>-3086</v>
      </c>
      <c r="E170" s="3473">
        <v>24.46</v>
      </c>
      <c r="F170" s="3472">
        <v>2.6</v>
      </c>
      <c r="G170" s="3474" t="s">
        <v>3408</v>
      </c>
      <c r="H170" s="3470">
        <f t="shared" si="4"/>
        <v>6914</v>
      </c>
    </row>
    <row r="171" spans="1:8" ht="83.25" thickBot="1">
      <c r="A171" s="3470">
        <f t="shared" si="5"/>
        <v>170</v>
      </c>
      <c r="B171" s="3471">
        <v>493</v>
      </c>
      <c r="C171" s="3472" t="s">
        <v>3734</v>
      </c>
      <c r="D171" s="3475">
        <v>-3087</v>
      </c>
      <c r="E171" s="3473">
        <v>24.46</v>
      </c>
      <c r="F171" s="3472">
        <v>2.6</v>
      </c>
      <c r="G171" s="3474" t="s">
        <v>3408</v>
      </c>
      <c r="H171" s="3470">
        <f t="shared" si="4"/>
        <v>6913</v>
      </c>
    </row>
    <row r="172" spans="1:8" ht="83.25" thickBot="1">
      <c r="A172" s="3470">
        <f t="shared" si="5"/>
        <v>171</v>
      </c>
      <c r="B172" s="3471">
        <v>494</v>
      </c>
      <c r="C172" s="3472" t="s">
        <v>3734</v>
      </c>
      <c r="D172" s="3475">
        <v>-3088</v>
      </c>
      <c r="E172" s="3473">
        <v>24.46</v>
      </c>
      <c r="F172" s="3472">
        <v>2.6</v>
      </c>
      <c r="G172" s="3474" t="s">
        <v>3408</v>
      </c>
      <c r="H172" s="3470">
        <f t="shared" si="4"/>
        <v>6912</v>
      </c>
    </row>
    <row r="173" spans="1:8" ht="83.25" thickBot="1">
      <c r="A173" s="3470">
        <f t="shared" si="5"/>
        <v>172</v>
      </c>
      <c r="B173" s="3471">
        <v>495</v>
      </c>
      <c r="C173" s="3472" t="s">
        <v>3734</v>
      </c>
      <c r="D173" s="3475">
        <v>-3089</v>
      </c>
      <c r="E173" s="3473">
        <v>24.46</v>
      </c>
      <c r="F173" s="3472">
        <v>2.6</v>
      </c>
      <c r="G173" s="3474" t="s">
        <v>3408</v>
      </c>
      <c r="H173" s="3470">
        <f t="shared" si="4"/>
        <v>6911</v>
      </c>
    </row>
    <row r="174" spans="1:8" ht="83.25" thickBot="1">
      <c r="A174" s="3470">
        <f t="shared" si="5"/>
        <v>173</v>
      </c>
      <c r="B174" s="3471">
        <v>496</v>
      </c>
      <c r="C174" s="3472" t="s">
        <v>3734</v>
      </c>
      <c r="D174" s="3475">
        <v>-3090</v>
      </c>
      <c r="E174" s="3473">
        <v>24.46</v>
      </c>
      <c r="F174" s="3472">
        <v>2.6</v>
      </c>
      <c r="G174" s="3474" t="s">
        <v>3408</v>
      </c>
      <c r="H174" s="3470">
        <f t="shared" si="4"/>
        <v>6910</v>
      </c>
    </row>
    <row r="175" spans="1:8" ht="83.25" thickBot="1">
      <c r="A175" s="3470">
        <f t="shared" si="5"/>
        <v>174</v>
      </c>
      <c r="B175" s="3471">
        <v>497</v>
      </c>
      <c r="C175" s="3472" t="s">
        <v>3734</v>
      </c>
      <c r="D175" s="3475">
        <v>-3091</v>
      </c>
      <c r="E175" s="3473">
        <v>24.46</v>
      </c>
      <c r="F175" s="3472">
        <v>2.6</v>
      </c>
      <c r="G175" s="3474" t="s">
        <v>3408</v>
      </c>
      <c r="H175" s="3470">
        <f t="shared" si="4"/>
        <v>6909</v>
      </c>
    </row>
    <row r="176" spans="1:8" ht="83.25" thickBot="1">
      <c r="A176" s="3470">
        <f t="shared" si="5"/>
        <v>175</v>
      </c>
      <c r="B176" s="3471">
        <v>498</v>
      </c>
      <c r="C176" s="3472" t="s">
        <v>3734</v>
      </c>
      <c r="D176" s="3475">
        <v>-3092</v>
      </c>
      <c r="E176" s="3473">
        <v>24.46</v>
      </c>
      <c r="F176" s="3472">
        <v>2.6</v>
      </c>
      <c r="G176" s="3474" t="s">
        <v>3408</v>
      </c>
      <c r="H176" s="3470">
        <f t="shared" si="4"/>
        <v>6908</v>
      </c>
    </row>
    <row r="177" spans="1:8" ht="83.25" thickBot="1">
      <c r="A177" s="3470">
        <f t="shared" si="5"/>
        <v>176</v>
      </c>
      <c r="B177" s="3471">
        <v>499</v>
      </c>
      <c r="C177" s="3472" t="s">
        <v>3734</v>
      </c>
      <c r="D177" s="3475">
        <v>-3093</v>
      </c>
      <c r="E177" s="3473">
        <v>24.46</v>
      </c>
      <c r="F177" s="3472">
        <v>2.6</v>
      </c>
      <c r="G177" s="3474" t="s">
        <v>3408</v>
      </c>
      <c r="H177" s="3470">
        <f t="shared" si="4"/>
        <v>6907</v>
      </c>
    </row>
    <row r="178" spans="1:8" ht="83.25" thickBot="1">
      <c r="A178" s="3470">
        <f t="shared" si="5"/>
        <v>177</v>
      </c>
      <c r="B178" s="3471">
        <v>500</v>
      </c>
      <c r="C178" s="3472" t="s">
        <v>3734</v>
      </c>
      <c r="D178" s="3475">
        <v>-3094</v>
      </c>
      <c r="E178" s="3473">
        <v>24.46</v>
      </c>
      <c r="F178" s="3472">
        <v>2.6</v>
      </c>
      <c r="G178" s="3474" t="s">
        <v>3408</v>
      </c>
      <c r="H178" s="3470">
        <f t="shared" si="4"/>
        <v>6906</v>
      </c>
    </row>
    <row r="179" spans="1:8" ht="83.25" thickBot="1">
      <c r="A179" s="3470">
        <f t="shared" si="5"/>
        <v>178</v>
      </c>
      <c r="B179" s="3471">
        <v>501</v>
      </c>
      <c r="C179" s="3472" t="s">
        <v>3734</v>
      </c>
      <c r="D179" s="3475">
        <v>-3095</v>
      </c>
      <c r="E179" s="3473">
        <v>24.46</v>
      </c>
      <c r="F179" s="3472">
        <v>2.6</v>
      </c>
      <c r="G179" s="3474" t="s">
        <v>3408</v>
      </c>
      <c r="H179" s="3470">
        <f t="shared" si="4"/>
        <v>6905</v>
      </c>
    </row>
    <row r="180" spans="1:8" ht="83.25" thickBot="1">
      <c r="A180" s="3470">
        <f t="shared" si="5"/>
        <v>179</v>
      </c>
      <c r="B180" s="3471">
        <v>502</v>
      </c>
      <c r="C180" s="3472" t="s">
        <v>3734</v>
      </c>
      <c r="D180" s="3475">
        <v>-3096</v>
      </c>
      <c r="E180" s="3473">
        <v>24.46</v>
      </c>
      <c r="F180" s="3472">
        <v>2.6</v>
      </c>
      <c r="G180" s="3474" t="s">
        <v>3408</v>
      </c>
      <c r="H180" s="3470">
        <f t="shared" si="4"/>
        <v>6904</v>
      </c>
    </row>
    <row r="181" spans="1:8" ht="83.25" thickBot="1">
      <c r="A181" s="3470">
        <f t="shared" si="5"/>
        <v>180</v>
      </c>
      <c r="B181" s="3471">
        <v>503</v>
      </c>
      <c r="C181" s="3472" t="s">
        <v>3734</v>
      </c>
      <c r="D181" s="3475">
        <v>-3097</v>
      </c>
      <c r="E181" s="3473">
        <v>24.46</v>
      </c>
      <c r="F181" s="3472">
        <v>2.6</v>
      </c>
      <c r="G181" s="3474" t="s">
        <v>3408</v>
      </c>
      <c r="H181" s="3470">
        <f t="shared" si="4"/>
        <v>6903</v>
      </c>
    </row>
    <row r="182" spans="1:8" ht="83.25" thickBot="1">
      <c r="A182" s="3470">
        <f t="shared" si="5"/>
        <v>181</v>
      </c>
      <c r="B182" s="3471">
        <v>504</v>
      </c>
      <c r="C182" s="3472" t="s">
        <v>3734</v>
      </c>
      <c r="D182" s="3475">
        <v>-3098</v>
      </c>
      <c r="E182" s="3473">
        <v>24.46</v>
      </c>
      <c r="F182" s="3472">
        <v>2.6</v>
      </c>
      <c r="G182" s="3474" t="s">
        <v>3408</v>
      </c>
      <c r="H182" s="3470">
        <f t="shared" si="4"/>
        <v>6902</v>
      </c>
    </row>
    <row r="183" spans="1:8" ht="83.25" thickBot="1">
      <c r="A183" s="3470">
        <f t="shared" si="5"/>
        <v>182</v>
      </c>
      <c r="B183" s="3483">
        <v>505</v>
      </c>
      <c r="C183" s="3484" t="s">
        <v>3734</v>
      </c>
      <c r="D183" s="3485">
        <v>-3099</v>
      </c>
      <c r="E183" s="3486">
        <v>24.46</v>
      </c>
      <c r="F183" s="3484">
        <v>2.6</v>
      </c>
      <c r="G183" s="3469" t="s">
        <v>3408</v>
      </c>
      <c r="H183" s="3470">
        <f t="shared" si="4"/>
        <v>6901</v>
      </c>
    </row>
    <row r="184" spans="1:8" ht="83.25" thickBot="1">
      <c r="A184" s="3470">
        <f t="shared" si="5"/>
        <v>183</v>
      </c>
      <c r="B184" s="3471">
        <v>506</v>
      </c>
      <c r="C184" s="3472" t="s">
        <v>3734</v>
      </c>
      <c r="D184" s="3475">
        <v>-3100</v>
      </c>
      <c r="E184" s="3473">
        <v>24.46</v>
      </c>
      <c r="F184" s="3472">
        <v>2.6</v>
      </c>
      <c r="G184" s="3474" t="s">
        <v>3408</v>
      </c>
      <c r="H184" s="3470">
        <f t="shared" si="4"/>
        <v>6900</v>
      </c>
    </row>
    <row r="185" spans="1:8" ht="83.25" thickBot="1">
      <c r="A185" s="3470">
        <f t="shared" si="5"/>
        <v>184</v>
      </c>
      <c r="B185" s="3471">
        <v>507</v>
      </c>
      <c r="C185" s="3472" t="s">
        <v>3734</v>
      </c>
      <c r="D185" s="3475">
        <v>-3101</v>
      </c>
      <c r="E185" s="3473">
        <v>24.46</v>
      </c>
      <c r="F185" s="3472">
        <v>2.6</v>
      </c>
      <c r="G185" s="3474" t="s">
        <v>3408</v>
      </c>
      <c r="H185" s="3470">
        <f t="shared" si="4"/>
        <v>6899</v>
      </c>
    </row>
    <row r="186" spans="1:8" ht="83.25" thickBot="1">
      <c r="A186" s="3470">
        <f t="shared" si="5"/>
        <v>185</v>
      </c>
      <c r="B186" s="3471">
        <v>508</v>
      </c>
      <c r="C186" s="3472" t="s">
        <v>3734</v>
      </c>
      <c r="D186" s="3475">
        <v>-3102</v>
      </c>
      <c r="E186" s="3473">
        <v>24.46</v>
      </c>
      <c r="F186" s="3472">
        <v>2.6</v>
      </c>
      <c r="G186" s="3474" t="s">
        <v>3408</v>
      </c>
      <c r="H186" s="3470">
        <f t="shared" si="4"/>
        <v>6898</v>
      </c>
    </row>
    <row r="187" spans="1:8" ht="83.25" thickBot="1">
      <c r="A187" s="3470">
        <f t="shared" si="5"/>
        <v>186</v>
      </c>
      <c r="B187" s="3471">
        <v>509</v>
      </c>
      <c r="C187" s="3472" t="s">
        <v>3734</v>
      </c>
      <c r="D187" s="3475">
        <v>-3103</v>
      </c>
      <c r="E187" s="3473">
        <v>24.46</v>
      </c>
      <c r="F187" s="3472">
        <v>2.6</v>
      </c>
      <c r="G187" s="3474" t="s">
        <v>3408</v>
      </c>
      <c r="H187" s="3470">
        <f t="shared" si="4"/>
        <v>6897</v>
      </c>
    </row>
    <row r="188" spans="1:8" ht="83.25" thickBot="1">
      <c r="A188" s="3470">
        <f t="shared" si="5"/>
        <v>187</v>
      </c>
      <c r="B188" s="3471">
        <v>510</v>
      </c>
      <c r="C188" s="3472" t="s">
        <v>3734</v>
      </c>
      <c r="D188" s="3475">
        <v>-3104</v>
      </c>
      <c r="E188" s="3473">
        <v>24.46</v>
      </c>
      <c r="F188" s="3472">
        <v>2.6</v>
      </c>
      <c r="G188" s="3474" t="s">
        <v>3408</v>
      </c>
      <c r="H188" s="3470">
        <f t="shared" si="4"/>
        <v>6896</v>
      </c>
    </row>
    <row r="189" spans="1:8" ht="83.25" thickBot="1">
      <c r="A189" s="3470">
        <f t="shared" si="5"/>
        <v>188</v>
      </c>
      <c r="B189" s="3471">
        <v>511</v>
      </c>
      <c r="C189" s="3472" t="s">
        <v>3734</v>
      </c>
      <c r="D189" s="3475">
        <v>-3105</v>
      </c>
      <c r="E189" s="3473">
        <v>24.46</v>
      </c>
      <c r="F189" s="3472">
        <v>2.6</v>
      </c>
      <c r="G189" s="3474" t="s">
        <v>3408</v>
      </c>
      <c r="H189" s="3470">
        <f t="shared" si="4"/>
        <v>6895</v>
      </c>
    </row>
    <row r="190" spans="1:8" ht="83.25" thickBot="1">
      <c r="A190" s="3470">
        <f t="shared" si="5"/>
        <v>189</v>
      </c>
      <c r="B190" s="3471">
        <v>512</v>
      </c>
      <c r="C190" s="3472" t="s">
        <v>3734</v>
      </c>
      <c r="D190" s="3475">
        <v>-3106</v>
      </c>
      <c r="E190" s="3473">
        <v>24.46</v>
      </c>
      <c r="F190" s="3472">
        <v>2.6</v>
      </c>
      <c r="G190" s="3474" t="s">
        <v>3408</v>
      </c>
      <c r="H190" s="3470">
        <f t="shared" si="4"/>
        <v>6894</v>
      </c>
    </row>
    <row r="191" spans="1:8" ht="83.25" thickBot="1">
      <c r="A191" s="3470">
        <f t="shared" si="5"/>
        <v>190</v>
      </c>
      <c r="B191" s="3471">
        <v>513</v>
      </c>
      <c r="C191" s="3472" t="s">
        <v>3734</v>
      </c>
      <c r="D191" s="3475">
        <v>-3107</v>
      </c>
      <c r="E191" s="3473">
        <v>24.46</v>
      </c>
      <c r="F191" s="3472">
        <v>2.6</v>
      </c>
      <c r="G191" s="3474" t="s">
        <v>3408</v>
      </c>
      <c r="H191" s="3470">
        <f t="shared" si="4"/>
        <v>6893</v>
      </c>
    </row>
    <row r="192" spans="1:8" ht="83.25" thickBot="1">
      <c r="A192" s="3470">
        <f t="shared" si="5"/>
        <v>191</v>
      </c>
      <c r="B192" s="3471">
        <v>514</v>
      </c>
      <c r="C192" s="3472" t="s">
        <v>3734</v>
      </c>
      <c r="D192" s="3475">
        <v>-3108</v>
      </c>
      <c r="E192" s="3473">
        <v>24.46</v>
      </c>
      <c r="F192" s="3472">
        <v>2.6</v>
      </c>
      <c r="G192" s="3474" t="s">
        <v>3408</v>
      </c>
      <c r="H192" s="3470">
        <f t="shared" si="4"/>
        <v>6892</v>
      </c>
    </row>
    <row r="193" spans="1:8" ht="83.25" thickBot="1">
      <c r="A193" s="3470">
        <f t="shared" si="5"/>
        <v>192</v>
      </c>
      <c r="B193" s="3471">
        <v>515</v>
      </c>
      <c r="C193" s="3472" t="s">
        <v>3734</v>
      </c>
      <c r="D193" s="3475">
        <v>-3109</v>
      </c>
      <c r="E193" s="3473">
        <v>24.46</v>
      </c>
      <c r="F193" s="3472">
        <v>2.6</v>
      </c>
      <c r="G193" s="3474" t="s">
        <v>3408</v>
      </c>
      <c r="H193" s="3470">
        <f t="shared" si="4"/>
        <v>6891</v>
      </c>
    </row>
    <row r="194" spans="1:8" ht="83.25" thickBot="1">
      <c r="A194" s="3470">
        <f t="shared" si="5"/>
        <v>193</v>
      </c>
      <c r="B194" s="3471">
        <v>516</v>
      </c>
      <c r="C194" s="3472" t="s">
        <v>3734</v>
      </c>
      <c r="D194" s="3475">
        <v>-3110</v>
      </c>
      <c r="E194" s="3473">
        <v>24.46</v>
      </c>
      <c r="F194" s="3472">
        <v>2.6</v>
      </c>
      <c r="G194" s="3474" t="s">
        <v>3408</v>
      </c>
      <c r="H194" s="3470">
        <f t="shared" si="4"/>
        <v>6890</v>
      </c>
    </row>
    <row r="195" spans="1:8" ht="83.25" thickBot="1">
      <c r="A195" s="3470">
        <f t="shared" si="5"/>
        <v>194</v>
      </c>
      <c r="B195" s="3471">
        <v>517</v>
      </c>
      <c r="C195" s="3472" t="s">
        <v>3734</v>
      </c>
      <c r="D195" s="3475">
        <v>-3111</v>
      </c>
      <c r="E195" s="3473">
        <v>24.46</v>
      </c>
      <c r="F195" s="3472">
        <v>2.6</v>
      </c>
      <c r="G195" s="3474" t="s">
        <v>3408</v>
      </c>
      <c r="H195" s="3470">
        <f t="shared" ref="H195:H258" si="6">10000+D195</f>
        <v>6889</v>
      </c>
    </row>
    <row r="196" spans="1:8" ht="83.25" thickBot="1">
      <c r="A196" s="3470">
        <f t="shared" ref="A196:A259" si="7">A195+1</f>
        <v>195</v>
      </c>
      <c r="B196" s="3471">
        <v>518</v>
      </c>
      <c r="C196" s="3472" t="s">
        <v>3734</v>
      </c>
      <c r="D196" s="3475">
        <v>-3112</v>
      </c>
      <c r="E196" s="3473">
        <v>24.46</v>
      </c>
      <c r="F196" s="3472">
        <v>2.6</v>
      </c>
      <c r="G196" s="3474" t="s">
        <v>3408</v>
      </c>
      <c r="H196" s="3470">
        <f t="shared" si="6"/>
        <v>6888</v>
      </c>
    </row>
    <row r="197" spans="1:8" ht="83.25" thickBot="1">
      <c r="A197" s="3470">
        <f t="shared" si="7"/>
        <v>196</v>
      </c>
      <c r="B197" s="3471">
        <v>519</v>
      </c>
      <c r="C197" s="3472" t="s">
        <v>3734</v>
      </c>
      <c r="D197" s="3475">
        <v>-3113</v>
      </c>
      <c r="E197" s="3473">
        <v>24.46</v>
      </c>
      <c r="F197" s="3472">
        <v>2.6</v>
      </c>
      <c r="G197" s="3474" t="s">
        <v>3408</v>
      </c>
      <c r="H197" s="3470">
        <f t="shared" si="6"/>
        <v>6887</v>
      </c>
    </row>
    <row r="198" spans="1:8" ht="83.25" thickBot="1">
      <c r="A198" s="3470">
        <f t="shared" si="7"/>
        <v>197</v>
      </c>
      <c r="B198" s="3471">
        <v>520</v>
      </c>
      <c r="C198" s="3472" t="s">
        <v>3734</v>
      </c>
      <c r="D198" s="3475">
        <v>-3114</v>
      </c>
      <c r="E198" s="3473">
        <v>24.46</v>
      </c>
      <c r="F198" s="3472">
        <v>2.6</v>
      </c>
      <c r="G198" s="3474" t="s">
        <v>3408</v>
      </c>
      <c r="H198" s="3470">
        <f t="shared" si="6"/>
        <v>6886</v>
      </c>
    </row>
    <row r="199" spans="1:8" ht="83.25" thickBot="1">
      <c r="A199" s="3470">
        <f t="shared" si="7"/>
        <v>198</v>
      </c>
      <c r="B199" s="3471">
        <v>521</v>
      </c>
      <c r="C199" s="3472" t="s">
        <v>3734</v>
      </c>
      <c r="D199" s="3475">
        <v>-3115</v>
      </c>
      <c r="E199" s="3473">
        <v>24.46</v>
      </c>
      <c r="F199" s="3472">
        <v>2.6</v>
      </c>
      <c r="G199" s="3474" t="s">
        <v>3408</v>
      </c>
      <c r="H199" s="3470">
        <f t="shared" si="6"/>
        <v>6885</v>
      </c>
    </row>
    <row r="200" spans="1:8" ht="83.25" thickBot="1">
      <c r="A200" s="3470">
        <f t="shared" si="7"/>
        <v>199</v>
      </c>
      <c r="B200" s="3471">
        <v>522</v>
      </c>
      <c r="C200" s="3472" t="s">
        <v>3734</v>
      </c>
      <c r="D200" s="3475">
        <v>-3116</v>
      </c>
      <c r="E200" s="3473">
        <v>24.46</v>
      </c>
      <c r="F200" s="3472">
        <v>2.6</v>
      </c>
      <c r="G200" s="3474" t="s">
        <v>3408</v>
      </c>
      <c r="H200" s="3470">
        <f t="shared" si="6"/>
        <v>6884</v>
      </c>
    </row>
    <row r="201" spans="1:8" ht="83.25" thickBot="1">
      <c r="A201" s="3470">
        <f t="shared" si="7"/>
        <v>200</v>
      </c>
      <c r="B201" s="3483">
        <v>523</v>
      </c>
      <c r="C201" s="3484" t="s">
        <v>3734</v>
      </c>
      <c r="D201" s="3485">
        <v>-3117</v>
      </c>
      <c r="E201" s="3486">
        <v>24.46</v>
      </c>
      <c r="F201" s="3484">
        <v>2.6</v>
      </c>
      <c r="G201" s="3469" t="s">
        <v>3408</v>
      </c>
      <c r="H201" s="3470">
        <f t="shared" si="6"/>
        <v>6883</v>
      </c>
    </row>
    <row r="202" spans="1:8" ht="83.25" thickBot="1">
      <c r="A202" s="3470">
        <f t="shared" si="7"/>
        <v>201</v>
      </c>
      <c r="B202" s="3471">
        <v>524</v>
      </c>
      <c r="C202" s="3472" t="s">
        <v>3734</v>
      </c>
      <c r="D202" s="3475">
        <v>-3118</v>
      </c>
      <c r="E202" s="3473">
        <v>24.46</v>
      </c>
      <c r="F202" s="3472">
        <v>2.6</v>
      </c>
      <c r="G202" s="3474" t="s">
        <v>3408</v>
      </c>
      <c r="H202" s="3470">
        <f t="shared" si="6"/>
        <v>6882</v>
      </c>
    </row>
    <row r="203" spans="1:8" ht="83.25" thickBot="1">
      <c r="A203" s="3470">
        <f t="shared" si="7"/>
        <v>202</v>
      </c>
      <c r="B203" s="3471">
        <v>525</v>
      </c>
      <c r="C203" s="3472" t="s">
        <v>3734</v>
      </c>
      <c r="D203" s="3475">
        <v>-3119</v>
      </c>
      <c r="E203" s="3473">
        <v>24.46</v>
      </c>
      <c r="F203" s="3472">
        <v>2.6</v>
      </c>
      <c r="G203" s="3474" t="s">
        <v>3408</v>
      </c>
      <c r="H203" s="3470">
        <f t="shared" si="6"/>
        <v>6881</v>
      </c>
    </row>
    <row r="204" spans="1:8" ht="83.25" thickBot="1">
      <c r="A204" s="3470">
        <f t="shared" si="7"/>
        <v>203</v>
      </c>
      <c r="B204" s="3471">
        <v>526</v>
      </c>
      <c r="C204" s="3472" t="s">
        <v>3734</v>
      </c>
      <c r="D204" s="3475">
        <v>-3120</v>
      </c>
      <c r="E204" s="3473">
        <v>24.46</v>
      </c>
      <c r="F204" s="3472">
        <v>2.6</v>
      </c>
      <c r="G204" s="3474" t="s">
        <v>3408</v>
      </c>
      <c r="H204" s="3470">
        <f t="shared" si="6"/>
        <v>6880</v>
      </c>
    </row>
    <row r="205" spans="1:8" ht="83.25" thickBot="1">
      <c r="A205" s="3470">
        <f t="shared" si="7"/>
        <v>204</v>
      </c>
      <c r="B205" s="3471">
        <v>527</v>
      </c>
      <c r="C205" s="3472" t="s">
        <v>3734</v>
      </c>
      <c r="D205" s="3475">
        <v>-3121</v>
      </c>
      <c r="E205" s="3473">
        <v>24.46</v>
      </c>
      <c r="F205" s="3472">
        <v>2.6</v>
      </c>
      <c r="G205" s="3474" t="s">
        <v>3408</v>
      </c>
      <c r="H205" s="3470">
        <f t="shared" si="6"/>
        <v>6879</v>
      </c>
    </row>
    <row r="206" spans="1:8" ht="83.25" thickBot="1">
      <c r="A206" s="3470">
        <f t="shared" si="7"/>
        <v>205</v>
      </c>
      <c r="B206" s="3471">
        <v>528</v>
      </c>
      <c r="C206" s="3472" t="s">
        <v>3734</v>
      </c>
      <c r="D206" s="3475">
        <v>-3122</v>
      </c>
      <c r="E206" s="3473">
        <v>24.46</v>
      </c>
      <c r="F206" s="3472">
        <v>2.6</v>
      </c>
      <c r="G206" s="3474" t="s">
        <v>3408</v>
      </c>
      <c r="H206" s="3470">
        <f t="shared" si="6"/>
        <v>6878</v>
      </c>
    </row>
    <row r="207" spans="1:8" ht="83.25" thickBot="1">
      <c r="A207" s="3470">
        <f t="shared" si="7"/>
        <v>206</v>
      </c>
      <c r="B207" s="3471">
        <v>529</v>
      </c>
      <c r="C207" s="3472" t="s">
        <v>3734</v>
      </c>
      <c r="D207" s="3475">
        <v>-3123</v>
      </c>
      <c r="E207" s="3473">
        <v>24.46</v>
      </c>
      <c r="F207" s="3472">
        <v>2.6</v>
      </c>
      <c r="G207" s="3474" t="s">
        <v>3408</v>
      </c>
      <c r="H207" s="3470">
        <f t="shared" si="6"/>
        <v>6877</v>
      </c>
    </row>
    <row r="208" spans="1:8" ht="83.25" thickBot="1">
      <c r="A208" s="3470">
        <f t="shared" si="7"/>
        <v>207</v>
      </c>
      <c r="B208" s="3471">
        <v>530</v>
      </c>
      <c r="C208" s="3472" t="s">
        <v>3734</v>
      </c>
      <c r="D208" s="3475">
        <v>-3124</v>
      </c>
      <c r="E208" s="3473">
        <v>24.46</v>
      </c>
      <c r="F208" s="3472">
        <v>2.6</v>
      </c>
      <c r="G208" s="3474" t="s">
        <v>3408</v>
      </c>
      <c r="H208" s="3470">
        <f t="shared" si="6"/>
        <v>6876</v>
      </c>
    </row>
    <row r="209" spans="1:8" ht="83.25" thickBot="1">
      <c r="A209" s="3470">
        <f t="shared" si="7"/>
        <v>208</v>
      </c>
      <c r="B209" s="3471">
        <v>531</v>
      </c>
      <c r="C209" s="3472" t="s">
        <v>3734</v>
      </c>
      <c r="D209" s="3475">
        <v>-3125</v>
      </c>
      <c r="E209" s="3473">
        <v>24.46</v>
      </c>
      <c r="F209" s="3472">
        <v>2.6</v>
      </c>
      <c r="G209" s="3474" t="s">
        <v>3408</v>
      </c>
      <c r="H209" s="3470">
        <f t="shared" si="6"/>
        <v>6875</v>
      </c>
    </row>
    <row r="210" spans="1:8" ht="83.25" thickBot="1">
      <c r="A210" s="3470">
        <f t="shared" si="7"/>
        <v>209</v>
      </c>
      <c r="B210" s="3471">
        <v>532</v>
      </c>
      <c r="C210" s="3472" t="s">
        <v>3734</v>
      </c>
      <c r="D210" s="3475">
        <v>-3126</v>
      </c>
      <c r="E210" s="3473">
        <v>24.46</v>
      </c>
      <c r="F210" s="3472">
        <v>2.6</v>
      </c>
      <c r="G210" s="3474" t="s">
        <v>3408</v>
      </c>
      <c r="H210" s="3470">
        <f t="shared" si="6"/>
        <v>6874</v>
      </c>
    </row>
    <row r="211" spans="1:8" ht="83.25" thickBot="1">
      <c r="A211" s="3470">
        <f t="shared" si="7"/>
        <v>210</v>
      </c>
      <c r="B211" s="3471">
        <v>533</v>
      </c>
      <c r="C211" s="3472" t="s">
        <v>3734</v>
      </c>
      <c r="D211" s="3475">
        <v>-3127</v>
      </c>
      <c r="E211" s="3473">
        <v>24.46</v>
      </c>
      <c r="F211" s="3472">
        <v>2.6</v>
      </c>
      <c r="G211" s="3474" t="s">
        <v>3408</v>
      </c>
      <c r="H211" s="3470">
        <f t="shared" si="6"/>
        <v>6873</v>
      </c>
    </row>
    <row r="212" spans="1:8" ht="83.25" thickBot="1">
      <c r="A212" s="3470">
        <f t="shared" si="7"/>
        <v>211</v>
      </c>
      <c r="B212" s="3471">
        <v>534</v>
      </c>
      <c r="C212" s="3472" t="s">
        <v>3734</v>
      </c>
      <c r="D212" s="3475">
        <v>-3128</v>
      </c>
      <c r="E212" s="3473">
        <v>26.68</v>
      </c>
      <c r="F212" s="3472">
        <v>2.84</v>
      </c>
      <c r="G212" s="3474" t="s">
        <v>3408</v>
      </c>
      <c r="H212" s="3470">
        <f t="shared" si="6"/>
        <v>6872</v>
      </c>
    </row>
    <row r="213" spans="1:8" ht="83.25" thickBot="1">
      <c r="A213" s="3470">
        <f t="shared" si="7"/>
        <v>212</v>
      </c>
      <c r="B213" s="3471">
        <v>535</v>
      </c>
      <c r="C213" s="3472" t="s">
        <v>3734</v>
      </c>
      <c r="D213" s="3475">
        <v>-3129</v>
      </c>
      <c r="E213" s="3473">
        <v>24.46</v>
      </c>
      <c r="F213" s="3472">
        <v>2.6</v>
      </c>
      <c r="G213" s="3474" t="s">
        <v>3408</v>
      </c>
      <c r="H213" s="3470">
        <f t="shared" si="6"/>
        <v>6871</v>
      </c>
    </row>
    <row r="214" spans="1:8" ht="83.25" thickBot="1">
      <c r="A214" s="3470">
        <f t="shared" si="7"/>
        <v>213</v>
      </c>
      <c r="B214" s="3471">
        <v>536</v>
      </c>
      <c r="C214" s="3472" t="s">
        <v>3734</v>
      </c>
      <c r="D214" s="3475">
        <v>-3130</v>
      </c>
      <c r="E214" s="3473">
        <v>24.46</v>
      </c>
      <c r="F214" s="3472">
        <v>2.6</v>
      </c>
      <c r="G214" s="3474" t="s">
        <v>3408</v>
      </c>
      <c r="H214" s="3470">
        <f t="shared" si="6"/>
        <v>6870</v>
      </c>
    </row>
    <row r="215" spans="1:8" ht="83.25" thickBot="1">
      <c r="A215" s="3470">
        <f t="shared" si="7"/>
        <v>214</v>
      </c>
      <c r="B215" s="3471">
        <v>537</v>
      </c>
      <c r="C215" s="3472" t="s">
        <v>3734</v>
      </c>
      <c r="D215" s="3475">
        <v>-3131</v>
      </c>
      <c r="E215" s="3473">
        <v>24.46</v>
      </c>
      <c r="F215" s="3472">
        <v>2.6</v>
      </c>
      <c r="G215" s="3474" t="s">
        <v>3408</v>
      </c>
      <c r="H215" s="3470">
        <f t="shared" si="6"/>
        <v>6869</v>
      </c>
    </row>
    <row r="216" spans="1:8" ht="83.25" thickBot="1">
      <c r="A216" s="3470">
        <f t="shared" si="7"/>
        <v>215</v>
      </c>
      <c r="B216" s="3471">
        <v>538</v>
      </c>
      <c r="C216" s="3472" t="s">
        <v>3734</v>
      </c>
      <c r="D216" s="3475">
        <v>-3132</v>
      </c>
      <c r="E216" s="3473">
        <v>24.46</v>
      </c>
      <c r="F216" s="3472">
        <v>2.6</v>
      </c>
      <c r="G216" s="3474" t="s">
        <v>3408</v>
      </c>
      <c r="H216" s="3470">
        <f t="shared" si="6"/>
        <v>6868</v>
      </c>
    </row>
    <row r="217" spans="1:8" ht="83.25" thickBot="1">
      <c r="A217" s="3470">
        <f t="shared" si="7"/>
        <v>216</v>
      </c>
      <c r="B217" s="3471">
        <v>539</v>
      </c>
      <c r="C217" s="3472" t="s">
        <v>3734</v>
      </c>
      <c r="D217" s="3475">
        <v>-3133</v>
      </c>
      <c r="E217" s="3473">
        <v>24.46</v>
      </c>
      <c r="F217" s="3472">
        <v>2.6</v>
      </c>
      <c r="G217" s="3474" t="s">
        <v>3408</v>
      </c>
      <c r="H217" s="3470">
        <f t="shared" si="6"/>
        <v>6867</v>
      </c>
    </row>
    <row r="218" spans="1:8" ht="83.25" thickBot="1">
      <c r="A218" s="3470">
        <f t="shared" si="7"/>
        <v>217</v>
      </c>
      <c r="B218" s="3471">
        <v>540</v>
      </c>
      <c r="C218" s="3472" t="s">
        <v>3734</v>
      </c>
      <c r="D218" s="3475">
        <v>-3134</v>
      </c>
      <c r="E218" s="3473">
        <v>24.46</v>
      </c>
      <c r="F218" s="3472">
        <v>2.6</v>
      </c>
      <c r="G218" s="3474" t="s">
        <v>3408</v>
      </c>
      <c r="H218" s="3470">
        <f t="shared" si="6"/>
        <v>6866</v>
      </c>
    </row>
    <row r="219" spans="1:8" ht="83.25" thickBot="1">
      <c r="A219" s="3470">
        <f t="shared" si="7"/>
        <v>218</v>
      </c>
      <c r="B219" s="3483">
        <v>541</v>
      </c>
      <c r="C219" s="3484" t="s">
        <v>3734</v>
      </c>
      <c r="D219" s="3485">
        <v>-3135</v>
      </c>
      <c r="E219" s="3486">
        <v>24.46</v>
      </c>
      <c r="F219" s="3484">
        <v>2.6</v>
      </c>
      <c r="G219" s="3469" t="s">
        <v>3408</v>
      </c>
      <c r="H219" s="3470">
        <f t="shared" si="6"/>
        <v>6865</v>
      </c>
    </row>
    <row r="220" spans="1:8" ht="83.25" thickBot="1">
      <c r="A220" s="3470">
        <f t="shared" si="7"/>
        <v>219</v>
      </c>
      <c r="B220" s="3471">
        <v>542</v>
      </c>
      <c r="C220" s="3472" t="s">
        <v>3734</v>
      </c>
      <c r="D220" s="3475">
        <v>-3136</v>
      </c>
      <c r="E220" s="3473">
        <v>24.46</v>
      </c>
      <c r="F220" s="3472">
        <v>2.6</v>
      </c>
      <c r="G220" s="3474" t="s">
        <v>3408</v>
      </c>
      <c r="H220" s="3470">
        <f t="shared" si="6"/>
        <v>6864</v>
      </c>
    </row>
    <row r="221" spans="1:8" ht="83.25" thickBot="1">
      <c r="A221" s="3470">
        <f t="shared" si="7"/>
        <v>220</v>
      </c>
      <c r="B221" s="3471">
        <v>543</v>
      </c>
      <c r="C221" s="3472" t="s">
        <v>3734</v>
      </c>
      <c r="D221" s="3475">
        <v>-3137</v>
      </c>
      <c r="E221" s="3473">
        <v>26.68</v>
      </c>
      <c r="F221" s="3472">
        <v>2.84</v>
      </c>
      <c r="G221" s="3474" t="s">
        <v>3408</v>
      </c>
      <c r="H221" s="3470">
        <f t="shared" si="6"/>
        <v>6863</v>
      </c>
    </row>
    <row r="222" spans="1:8" ht="83.25" thickBot="1">
      <c r="A222" s="3470">
        <f t="shared" si="7"/>
        <v>221</v>
      </c>
      <c r="B222" s="3471">
        <v>544</v>
      </c>
      <c r="C222" s="3472" t="s">
        <v>3734</v>
      </c>
      <c r="D222" s="3475">
        <v>-3138</v>
      </c>
      <c r="E222" s="3473">
        <v>26.68</v>
      </c>
      <c r="F222" s="3472">
        <v>2.84</v>
      </c>
      <c r="G222" s="3474" t="s">
        <v>3408</v>
      </c>
      <c r="H222" s="3470">
        <f t="shared" si="6"/>
        <v>6862</v>
      </c>
    </row>
    <row r="223" spans="1:8" ht="83.25" thickBot="1">
      <c r="A223" s="3470">
        <f t="shared" si="7"/>
        <v>222</v>
      </c>
      <c r="B223" s="3471">
        <v>545</v>
      </c>
      <c r="C223" s="3472" t="s">
        <v>3734</v>
      </c>
      <c r="D223" s="3475">
        <v>-3139</v>
      </c>
      <c r="E223" s="3473">
        <v>24.46</v>
      </c>
      <c r="F223" s="3472">
        <v>2.6</v>
      </c>
      <c r="G223" s="3474" t="s">
        <v>3408</v>
      </c>
      <c r="H223" s="3470">
        <f t="shared" si="6"/>
        <v>6861</v>
      </c>
    </row>
    <row r="224" spans="1:8" ht="83.25" thickBot="1">
      <c r="A224" s="3470">
        <f t="shared" si="7"/>
        <v>223</v>
      </c>
      <c r="B224" s="3471">
        <v>546</v>
      </c>
      <c r="C224" s="3472" t="s">
        <v>3734</v>
      </c>
      <c r="D224" s="3475">
        <v>-3140</v>
      </c>
      <c r="E224" s="3473">
        <v>24.46</v>
      </c>
      <c r="F224" s="3472">
        <v>2.6</v>
      </c>
      <c r="G224" s="3474" t="s">
        <v>3408</v>
      </c>
      <c r="H224" s="3470">
        <f t="shared" si="6"/>
        <v>6860</v>
      </c>
    </row>
    <row r="225" spans="1:8" ht="83.25" thickBot="1">
      <c r="A225" s="3470">
        <f t="shared" si="7"/>
        <v>224</v>
      </c>
      <c r="B225" s="3471">
        <v>547</v>
      </c>
      <c r="C225" s="3472" t="s">
        <v>3734</v>
      </c>
      <c r="D225" s="3475">
        <v>-3141</v>
      </c>
      <c r="E225" s="3473">
        <v>24.46</v>
      </c>
      <c r="F225" s="3472">
        <v>2.6</v>
      </c>
      <c r="G225" s="3474" t="s">
        <v>3408</v>
      </c>
      <c r="H225" s="3470">
        <f t="shared" si="6"/>
        <v>6859</v>
      </c>
    </row>
    <row r="226" spans="1:8" ht="83.25" thickBot="1">
      <c r="A226" s="3470">
        <f t="shared" si="7"/>
        <v>225</v>
      </c>
      <c r="B226" s="3471">
        <v>548</v>
      </c>
      <c r="C226" s="3472" t="s">
        <v>3734</v>
      </c>
      <c r="D226" s="3475">
        <v>-3142</v>
      </c>
      <c r="E226" s="3473">
        <v>24.46</v>
      </c>
      <c r="F226" s="3472">
        <v>2.6</v>
      </c>
      <c r="G226" s="3474" t="s">
        <v>3408</v>
      </c>
      <c r="H226" s="3470">
        <f t="shared" si="6"/>
        <v>6858</v>
      </c>
    </row>
    <row r="227" spans="1:8" ht="83.25" thickBot="1">
      <c r="A227" s="3470">
        <f t="shared" si="7"/>
        <v>226</v>
      </c>
      <c r="B227" s="3471">
        <v>549</v>
      </c>
      <c r="C227" s="3472" t="s">
        <v>3734</v>
      </c>
      <c r="D227" s="3475">
        <v>-3143</v>
      </c>
      <c r="E227" s="3473">
        <v>24.46</v>
      </c>
      <c r="F227" s="3472">
        <v>2.6</v>
      </c>
      <c r="G227" s="3474" t="s">
        <v>3408</v>
      </c>
      <c r="H227" s="3470">
        <f t="shared" si="6"/>
        <v>6857</v>
      </c>
    </row>
    <row r="228" spans="1:8" ht="83.25" thickBot="1">
      <c r="A228" s="3470">
        <f t="shared" si="7"/>
        <v>227</v>
      </c>
      <c r="B228" s="3471">
        <v>550</v>
      </c>
      <c r="C228" s="3472" t="s">
        <v>3734</v>
      </c>
      <c r="D228" s="3475">
        <v>-3144</v>
      </c>
      <c r="E228" s="3473">
        <v>24.46</v>
      </c>
      <c r="F228" s="3472">
        <v>2.6</v>
      </c>
      <c r="G228" s="3474" t="s">
        <v>3408</v>
      </c>
      <c r="H228" s="3470">
        <f t="shared" si="6"/>
        <v>6856</v>
      </c>
    </row>
    <row r="229" spans="1:8" ht="83.25" thickBot="1">
      <c r="A229" s="3470">
        <f t="shared" si="7"/>
        <v>228</v>
      </c>
      <c r="B229" s="3471">
        <v>551</v>
      </c>
      <c r="C229" s="3472" t="s">
        <v>3734</v>
      </c>
      <c r="D229" s="3475">
        <v>-3145</v>
      </c>
      <c r="E229" s="3473">
        <v>24.46</v>
      </c>
      <c r="F229" s="3472">
        <v>2.6</v>
      </c>
      <c r="G229" s="3474" t="s">
        <v>3408</v>
      </c>
      <c r="H229" s="3470">
        <f t="shared" si="6"/>
        <v>6855</v>
      </c>
    </row>
    <row r="230" spans="1:8" ht="83.25" thickBot="1">
      <c r="A230" s="3470">
        <f t="shared" si="7"/>
        <v>229</v>
      </c>
      <c r="B230" s="3471">
        <v>552</v>
      </c>
      <c r="C230" s="3472" t="s">
        <v>3734</v>
      </c>
      <c r="D230" s="3475">
        <v>-3146</v>
      </c>
      <c r="E230" s="3473">
        <v>24.46</v>
      </c>
      <c r="F230" s="3472">
        <v>2.6</v>
      </c>
      <c r="G230" s="3474" t="s">
        <v>3408</v>
      </c>
      <c r="H230" s="3470">
        <f t="shared" si="6"/>
        <v>6854</v>
      </c>
    </row>
    <row r="231" spans="1:8" ht="83.25" thickBot="1">
      <c r="A231" s="3470">
        <f t="shared" si="7"/>
        <v>230</v>
      </c>
      <c r="B231" s="3471">
        <v>553</v>
      </c>
      <c r="C231" s="3472" t="s">
        <v>3734</v>
      </c>
      <c r="D231" s="3475">
        <v>-3147</v>
      </c>
      <c r="E231" s="3473">
        <v>24.46</v>
      </c>
      <c r="F231" s="3472">
        <v>2.6</v>
      </c>
      <c r="G231" s="3474" t="s">
        <v>3408</v>
      </c>
      <c r="H231" s="3470">
        <f t="shared" si="6"/>
        <v>6853</v>
      </c>
    </row>
    <row r="232" spans="1:8" ht="83.25" thickBot="1">
      <c r="A232" s="3470">
        <f t="shared" si="7"/>
        <v>231</v>
      </c>
      <c r="B232" s="3471">
        <v>554</v>
      </c>
      <c r="C232" s="3472" t="s">
        <v>3734</v>
      </c>
      <c r="D232" s="3475">
        <v>-3148</v>
      </c>
      <c r="E232" s="3473">
        <v>24.46</v>
      </c>
      <c r="F232" s="3472">
        <v>2.6</v>
      </c>
      <c r="G232" s="3474" t="s">
        <v>3408</v>
      </c>
      <c r="H232" s="3470">
        <f t="shared" si="6"/>
        <v>6852</v>
      </c>
    </row>
    <row r="233" spans="1:8" ht="83.25" thickBot="1">
      <c r="A233" s="3470">
        <f t="shared" si="7"/>
        <v>232</v>
      </c>
      <c r="B233" s="3471">
        <v>555</v>
      </c>
      <c r="C233" s="3472" t="s">
        <v>3734</v>
      </c>
      <c r="D233" s="3475">
        <v>-3149</v>
      </c>
      <c r="E233" s="3473">
        <v>24.46</v>
      </c>
      <c r="F233" s="3472">
        <v>2.6</v>
      </c>
      <c r="G233" s="3474" t="s">
        <v>3408</v>
      </c>
      <c r="H233" s="3470">
        <f t="shared" si="6"/>
        <v>6851</v>
      </c>
    </row>
    <row r="234" spans="1:8" ht="83.25" thickBot="1">
      <c r="A234" s="3470">
        <f t="shared" si="7"/>
        <v>233</v>
      </c>
      <c r="B234" s="3471">
        <v>556</v>
      </c>
      <c r="C234" s="3472" t="s">
        <v>3734</v>
      </c>
      <c r="D234" s="3475">
        <v>-3150</v>
      </c>
      <c r="E234" s="3473">
        <v>24.46</v>
      </c>
      <c r="F234" s="3472">
        <v>2.6</v>
      </c>
      <c r="G234" s="3474" t="s">
        <v>3408</v>
      </c>
      <c r="H234" s="3470">
        <f t="shared" si="6"/>
        <v>6850</v>
      </c>
    </row>
    <row r="235" spans="1:8" ht="83.25" thickBot="1">
      <c r="A235" s="3470">
        <f t="shared" si="7"/>
        <v>234</v>
      </c>
      <c r="B235" s="3471">
        <v>557</v>
      </c>
      <c r="C235" s="3472" t="s">
        <v>3734</v>
      </c>
      <c r="D235" s="3475">
        <v>-3151</v>
      </c>
      <c r="E235" s="3473">
        <v>24.46</v>
      </c>
      <c r="F235" s="3472">
        <v>2.6</v>
      </c>
      <c r="G235" s="3474" t="s">
        <v>3408</v>
      </c>
      <c r="H235" s="3470">
        <f t="shared" si="6"/>
        <v>6849</v>
      </c>
    </row>
    <row r="236" spans="1:8" ht="83.25" thickBot="1">
      <c r="A236" s="3470">
        <f t="shared" si="7"/>
        <v>235</v>
      </c>
      <c r="B236" s="3471">
        <v>558</v>
      </c>
      <c r="C236" s="3472" t="s">
        <v>3734</v>
      </c>
      <c r="D236" s="3475">
        <v>-3152</v>
      </c>
      <c r="E236" s="3473">
        <v>24.46</v>
      </c>
      <c r="F236" s="3472">
        <v>2.6</v>
      </c>
      <c r="G236" s="3474" t="s">
        <v>3408</v>
      </c>
      <c r="H236" s="3470">
        <f t="shared" si="6"/>
        <v>6848</v>
      </c>
    </row>
    <row r="237" spans="1:8" ht="83.25" thickBot="1">
      <c r="A237" s="3470">
        <f t="shared" si="7"/>
        <v>236</v>
      </c>
      <c r="B237" s="3483">
        <v>559</v>
      </c>
      <c r="C237" s="3484" t="s">
        <v>3734</v>
      </c>
      <c r="D237" s="3485">
        <v>-3153</v>
      </c>
      <c r="E237" s="3486">
        <v>24.46</v>
      </c>
      <c r="F237" s="3484">
        <v>2.6</v>
      </c>
      <c r="G237" s="3469" t="s">
        <v>3408</v>
      </c>
      <c r="H237" s="3470">
        <f t="shared" si="6"/>
        <v>6847</v>
      </c>
    </row>
    <row r="238" spans="1:8" ht="83.25" thickBot="1">
      <c r="A238" s="3470">
        <f t="shared" si="7"/>
        <v>237</v>
      </c>
      <c r="B238" s="3471">
        <v>560</v>
      </c>
      <c r="C238" s="3472" t="s">
        <v>3734</v>
      </c>
      <c r="D238" s="3475">
        <v>-3154</v>
      </c>
      <c r="E238" s="3473">
        <v>24.46</v>
      </c>
      <c r="F238" s="3472">
        <v>2.6</v>
      </c>
      <c r="G238" s="3474" t="s">
        <v>3408</v>
      </c>
      <c r="H238" s="3470">
        <f t="shared" si="6"/>
        <v>6846</v>
      </c>
    </row>
    <row r="239" spans="1:8" ht="83.25" thickBot="1">
      <c r="A239" s="3470">
        <f t="shared" si="7"/>
        <v>238</v>
      </c>
      <c r="B239" s="3471">
        <v>561</v>
      </c>
      <c r="C239" s="3472" t="s">
        <v>3734</v>
      </c>
      <c r="D239" s="3475">
        <v>-3155</v>
      </c>
      <c r="E239" s="3473">
        <v>24.46</v>
      </c>
      <c r="F239" s="3472">
        <v>2.6</v>
      </c>
      <c r="G239" s="3474" t="s">
        <v>3408</v>
      </c>
      <c r="H239" s="3470">
        <f t="shared" si="6"/>
        <v>6845</v>
      </c>
    </row>
    <row r="240" spans="1:8" ht="83.25" thickBot="1">
      <c r="A240" s="3470">
        <f t="shared" si="7"/>
        <v>239</v>
      </c>
      <c r="B240" s="3471">
        <v>562</v>
      </c>
      <c r="C240" s="3472" t="s">
        <v>3734</v>
      </c>
      <c r="D240" s="3475">
        <v>-3156</v>
      </c>
      <c r="E240" s="3473">
        <v>24.46</v>
      </c>
      <c r="F240" s="3472">
        <v>2.6</v>
      </c>
      <c r="G240" s="3474" t="s">
        <v>3408</v>
      </c>
      <c r="H240" s="3470">
        <f t="shared" si="6"/>
        <v>6844</v>
      </c>
    </row>
    <row r="241" spans="1:8" ht="83.25" thickBot="1">
      <c r="A241" s="3470">
        <f t="shared" si="7"/>
        <v>240</v>
      </c>
      <c r="B241" s="3471">
        <v>563</v>
      </c>
      <c r="C241" s="3472" t="s">
        <v>3734</v>
      </c>
      <c r="D241" s="3475">
        <v>-3157</v>
      </c>
      <c r="E241" s="3473">
        <v>24.46</v>
      </c>
      <c r="F241" s="3472">
        <v>2.6</v>
      </c>
      <c r="G241" s="3474" t="s">
        <v>3408</v>
      </c>
      <c r="H241" s="3470">
        <f t="shared" si="6"/>
        <v>6843</v>
      </c>
    </row>
    <row r="242" spans="1:8" ht="83.25" thickBot="1">
      <c r="A242" s="3470">
        <f t="shared" si="7"/>
        <v>241</v>
      </c>
      <c r="B242" s="3471">
        <v>564</v>
      </c>
      <c r="C242" s="3472" t="s">
        <v>3734</v>
      </c>
      <c r="D242" s="3475">
        <v>-3158</v>
      </c>
      <c r="E242" s="3473">
        <v>24.46</v>
      </c>
      <c r="F242" s="3472">
        <v>2.6</v>
      </c>
      <c r="G242" s="3474" t="s">
        <v>3408</v>
      </c>
      <c r="H242" s="3470">
        <f t="shared" si="6"/>
        <v>6842</v>
      </c>
    </row>
    <row r="243" spans="1:8" ht="83.25" thickBot="1">
      <c r="A243" s="3470">
        <f t="shared" si="7"/>
        <v>242</v>
      </c>
      <c r="B243" s="3471">
        <v>565</v>
      </c>
      <c r="C243" s="3472" t="s">
        <v>3734</v>
      </c>
      <c r="D243" s="3475">
        <v>-3159</v>
      </c>
      <c r="E243" s="3473">
        <v>24.46</v>
      </c>
      <c r="F243" s="3472">
        <v>2.6</v>
      </c>
      <c r="G243" s="3474" t="s">
        <v>3408</v>
      </c>
      <c r="H243" s="3470">
        <f t="shared" si="6"/>
        <v>6841</v>
      </c>
    </row>
    <row r="244" spans="1:8" ht="83.25" thickBot="1">
      <c r="A244" s="3470">
        <f t="shared" si="7"/>
        <v>243</v>
      </c>
      <c r="B244" s="3471">
        <v>566</v>
      </c>
      <c r="C244" s="3472" t="s">
        <v>3734</v>
      </c>
      <c r="D244" s="3475">
        <v>-3160</v>
      </c>
      <c r="E244" s="3473">
        <v>24.46</v>
      </c>
      <c r="F244" s="3472">
        <v>2.6</v>
      </c>
      <c r="G244" s="3474" t="s">
        <v>3408</v>
      </c>
      <c r="H244" s="3470">
        <f t="shared" si="6"/>
        <v>6840</v>
      </c>
    </row>
    <row r="245" spans="1:8" ht="83.25" thickBot="1">
      <c r="A245" s="3470">
        <f t="shared" si="7"/>
        <v>244</v>
      </c>
      <c r="B245" s="3471">
        <v>567</v>
      </c>
      <c r="C245" s="3472" t="s">
        <v>3734</v>
      </c>
      <c r="D245" s="3475">
        <v>-3161</v>
      </c>
      <c r="E245" s="3473">
        <v>24.46</v>
      </c>
      <c r="F245" s="3472">
        <v>2.6</v>
      </c>
      <c r="G245" s="3474" t="s">
        <v>3408</v>
      </c>
      <c r="H245" s="3470">
        <f t="shared" si="6"/>
        <v>6839</v>
      </c>
    </row>
    <row r="246" spans="1:8" ht="83.25" thickBot="1">
      <c r="A246" s="3470">
        <f t="shared" si="7"/>
        <v>245</v>
      </c>
      <c r="B246" s="3471">
        <v>568</v>
      </c>
      <c r="C246" s="3472" t="s">
        <v>3734</v>
      </c>
      <c r="D246" s="3475">
        <v>-3162</v>
      </c>
      <c r="E246" s="3473">
        <v>24.46</v>
      </c>
      <c r="F246" s="3472">
        <v>2.6</v>
      </c>
      <c r="G246" s="3474" t="s">
        <v>3408</v>
      </c>
      <c r="H246" s="3470">
        <f t="shared" si="6"/>
        <v>6838</v>
      </c>
    </row>
    <row r="247" spans="1:8" ht="83.25" thickBot="1">
      <c r="A247" s="3470">
        <f t="shared" si="7"/>
        <v>246</v>
      </c>
      <c r="B247" s="3471">
        <v>569</v>
      </c>
      <c r="C247" s="3472" t="s">
        <v>3734</v>
      </c>
      <c r="D247" s="3475">
        <v>-3163</v>
      </c>
      <c r="E247" s="3473">
        <v>24.46</v>
      </c>
      <c r="F247" s="3472">
        <v>2.6</v>
      </c>
      <c r="G247" s="3474" t="s">
        <v>3408</v>
      </c>
      <c r="H247" s="3470">
        <f t="shared" si="6"/>
        <v>6837</v>
      </c>
    </row>
    <row r="248" spans="1:8" ht="83.25" thickBot="1">
      <c r="A248" s="3470">
        <f t="shared" si="7"/>
        <v>247</v>
      </c>
      <c r="B248" s="3471">
        <v>570</v>
      </c>
      <c r="C248" s="3472" t="s">
        <v>3734</v>
      </c>
      <c r="D248" s="3475">
        <v>-3164</v>
      </c>
      <c r="E248" s="3473">
        <v>24.46</v>
      </c>
      <c r="F248" s="3472">
        <v>2.6</v>
      </c>
      <c r="G248" s="3474" t="s">
        <v>3408</v>
      </c>
      <c r="H248" s="3470">
        <f t="shared" si="6"/>
        <v>6836</v>
      </c>
    </row>
    <row r="249" spans="1:8" ht="83.25" thickBot="1">
      <c r="A249" s="3470">
        <f t="shared" si="7"/>
        <v>248</v>
      </c>
      <c r="B249" s="3471">
        <v>571</v>
      </c>
      <c r="C249" s="3472" t="s">
        <v>3734</v>
      </c>
      <c r="D249" s="3475">
        <v>-3165</v>
      </c>
      <c r="E249" s="3473">
        <v>24.46</v>
      </c>
      <c r="F249" s="3472">
        <v>2.6</v>
      </c>
      <c r="G249" s="3474" t="s">
        <v>3408</v>
      </c>
      <c r="H249" s="3470">
        <f t="shared" si="6"/>
        <v>6835</v>
      </c>
    </row>
    <row r="250" spans="1:8" ht="83.25" thickBot="1">
      <c r="A250" s="3470">
        <f t="shared" si="7"/>
        <v>249</v>
      </c>
      <c r="B250" s="3471">
        <v>572</v>
      </c>
      <c r="C250" s="3472" t="s">
        <v>3734</v>
      </c>
      <c r="D250" s="3475">
        <v>-3166</v>
      </c>
      <c r="E250" s="3473">
        <v>24.46</v>
      </c>
      <c r="F250" s="3472">
        <v>2.6</v>
      </c>
      <c r="G250" s="3474" t="s">
        <v>3408</v>
      </c>
      <c r="H250" s="3470">
        <f t="shared" si="6"/>
        <v>6834</v>
      </c>
    </row>
    <row r="251" spans="1:8" ht="83.25" thickBot="1">
      <c r="A251" s="3470">
        <f t="shared" si="7"/>
        <v>250</v>
      </c>
      <c r="B251" s="3471">
        <v>573</v>
      </c>
      <c r="C251" s="3472" t="s">
        <v>3734</v>
      </c>
      <c r="D251" s="3475">
        <v>-3167</v>
      </c>
      <c r="E251" s="3473">
        <v>24.46</v>
      </c>
      <c r="F251" s="3472">
        <v>2.6</v>
      </c>
      <c r="G251" s="3474" t="s">
        <v>3408</v>
      </c>
      <c r="H251" s="3470">
        <f t="shared" si="6"/>
        <v>6833</v>
      </c>
    </row>
    <row r="252" spans="1:8" ht="83.25" thickBot="1">
      <c r="A252" s="3470">
        <f t="shared" si="7"/>
        <v>251</v>
      </c>
      <c r="B252" s="3471">
        <v>574</v>
      </c>
      <c r="C252" s="3472" t="s">
        <v>3734</v>
      </c>
      <c r="D252" s="3475">
        <v>-3168</v>
      </c>
      <c r="E252" s="3473">
        <v>24.46</v>
      </c>
      <c r="F252" s="3472">
        <v>2.6</v>
      </c>
      <c r="G252" s="3474" t="s">
        <v>3408</v>
      </c>
      <c r="H252" s="3470">
        <f t="shared" si="6"/>
        <v>6832</v>
      </c>
    </row>
    <row r="253" spans="1:8" ht="83.25" thickBot="1">
      <c r="A253" s="3470">
        <f t="shared" si="7"/>
        <v>252</v>
      </c>
      <c r="B253" s="3471">
        <v>575</v>
      </c>
      <c r="C253" s="3472" t="s">
        <v>3734</v>
      </c>
      <c r="D253" s="3475">
        <v>-3169</v>
      </c>
      <c r="E253" s="3473">
        <v>24.46</v>
      </c>
      <c r="F253" s="3472">
        <v>2.6</v>
      </c>
      <c r="G253" s="3474" t="s">
        <v>3408</v>
      </c>
      <c r="H253" s="3470">
        <f t="shared" si="6"/>
        <v>6831</v>
      </c>
    </row>
    <row r="254" spans="1:8" ht="83.25" thickBot="1">
      <c r="A254" s="3470">
        <f t="shared" si="7"/>
        <v>253</v>
      </c>
      <c r="B254" s="3471">
        <v>576</v>
      </c>
      <c r="C254" s="3472" t="s">
        <v>3734</v>
      </c>
      <c r="D254" s="3475">
        <v>-3170</v>
      </c>
      <c r="E254" s="3473">
        <v>24.46</v>
      </c>
      <c r="F254" s="3472">
        <v>2.6</v>
      </c>
      <c r="G254" s="3474" t="s">
        <v>3408</v>
      </c>
      <c r="H254" s="3470">
        <f t="shared" si="6"/>
        <v>6830</v>
      </c>
    </row>
    <row r="255" spans="1:8" ht="83.25" thickBot="1">
      <c r="A255" s="3470">
        <f t="shared" si="7"/>
        <v>254</v>
      </c>
      <c r="B255" s="3483">
        <v>577</v>
      </c>
      <c r="C255" s="3484" t="s">
        <v>3734</v>
      </c>
      <c r="D255" s="3485">
        <v>-3171</v>
      </c>
      <c r="E255" s="3486">
        <v>24.46</v>
      </c>
      <c r="F255" s="3484">
        <v>2.6</v>
      </c>
      <c r="G255" s="3469" t="s">
        <v>3408</v>
      </c>
      <c r="H255" s="3470">
        <f t="shared" si="6"/>
        <v>6829</v>
      </c>
    </row>
    <row r="256" spans="1:8" ht="83.25" thickBot="1">
      <c r="A256" s="3470">
        <f t="shared" si="7"/>
        <v>255</v>
      </c>
      <c r="B256" s="3471">
        <v>578</v>
      </c>
      <c r="C256" s="3472" t="s">
        <v>3734</v>
      </c>
      <c r="D256" s="3475">
        <v>-3172</v>
      </c>
      <c r="E256" s="3473">
        <v>24.46</v>
      </c>
      <c r="F256" s="3472">
        <v>2.6</v>
      </c>
      <c r="G256" s="3474" t="s">
        <v>3408</v>
      </c>
      <c r="H256" s="3470">
        <f t="shared" si="6"/>
        <v>6828</v>
      </c>
    </row>
    <row r="257" spans="1:8" ht="83.25" thickBot="1">
      <c r="A257" s="3470">
        <f t="shared" si="7"/>
        <v>256</v>
      </c>
      <c r="B257" s="3471">
        <v>579</v>
      </c>
      <c r="C257" s="3472" t="s">
        <v>3734</v>
      </c>
      <c r="D257" s="3475">
        <v>-3173</v>
      </c>
      <c r="E257" s="3473">
        <v>24.46</v>
      </c>
      <c r="F257" s="3472">
        <v>2.6</v>
      </c>
      <c r="G257" s="3474" t="s">
        <v>3408</v>
      </c>
      <c r="H257" s="3470">
        <f t="shared" si="6"/>
        <v>6827</v>
      </c>
    </row>
    <row r="258" spans="1:8" ht="83.25" thickBot="1">
      <c r="A258" s="3470">
        <f t="shared" si="7"/>
        <v>257</v>
      </c>
      <c r="B258" s="3471">
        <v>580</v>
      </c>
      <c r="C258" s="3472" t="s">
        <v>3734</v>
      </c>
      <c r="D258" s="3475">
        <v>-3174</v>
      </c>
      <c r="E258" s="3473">
        <v>24.46</v>
      </c>
      <c r="F258" s="3472">
        <v>2.6</v>
      </c>
      <c r="G258" s="3474" t="s">
        <v>3408</v>
      </c>
      <c r="H258" s="3470">
        <f t="shared" si="6"/>
        <v>6826</v>
      </c>
    </row>
    <row r="259" spans="1:8" ht="83.25" thickBot="1">
      <c r="A259" s="3470">
        <f t="shared" si="7"/>
        <v>258</v>
      </c>
      <c r="B259" s="3471">
        <v>581</v>
      </c>
      <c r="C259" s="3472" t="s">
        <v>3734</v>
      </c>
      <c r="D259" s="3475">
        <v>-3175</v>
      </c>
      <c r="E259" s="3473">
        <v>24.46</v>
      </c>
      <c r="F259" s="3472">
        <v>2.6</v>
      </c>
      <c r="G259" s="3474" t="s">
        <v>3408</v>
      </c>
      <c r="H259" s="3470">
        <f t="shared" ref="H259:H322" si="8">10000+D259</f>
        <v>6825</v>
      </c>
    </row>
    <row r="260" spans="1:8" ht="83.25" thickBot="1">
      <c r="A260" s="3470">
        <f t="shared" ref="A260:A323" si="9">A259+1</f>
        <v>259</v>
      </c>
      <c r="B260" s="3471">
        <v>582</v>
      </c>
      <c r="C260" s="3472" t="s">
        <v>3734</v>
      </c>
      <c r="D260" s="3475">
        <v>-3176</v>
      </c>
      <c r="E260" s="3473">
        <v>24.46</v>
      </c>
      <c r="F260" s="3472">
        <v>2.6</v>
      </c>
      <c r="G260" s="3474" t="s">
        <v>3408</v>
      </c>
      <c r="H260" s="3470">
        <f t="shared" si="8"/>
        <v>6824</v>
      </c>
    </row>
    <row r="261" spans="1:8" ht="83.25" thickBot="1">
      <c r="A261" s="3470">
        <f t="shared" si="9"/>
        <v>260</v>
      </c>
      <c r="B261" s="3471">
        <v>583</v>
      </c>
      <c r="C261" s="3472" t="s">
        <v>3734</v>
      </c>
      <c r="D261" s="3475">
        <v>-3177</v>
      </c>
      <c r="E261" s="3473">
        <v>24.46</v>
      </c>
      <c r="F261" s="3472">
        <v>2.6</v>
      </c>
      <c r="G261" s="3474" t="s">
        <v>3408</v>
      </c>
      <c r="H261" s="3470">
        <f t="shared" si="8"/>
        <v>6823</v>
      </c>
    </row>
    <row r="262" spans="1:8" ht="83.25" thickBot="1">
      <c r="A262" s="3470">
        <f t="shared" si="9"/>
        <v>261</v>
      </c>
      <c r="B262" s="3471">
        <v>584</v>
      </c>
      <c r="C262" s="3472" t="s">
        <v>3734</v>
      </c>
      <c r="D262" s="3475">
        <v>-3178</v>
      </c>
      <c r="E262" s="3473">
        <v>24.46</v>
      </c>
      <c r="F262" s="3472">
        <v>2.6</v>
      </c>
      <c r="G262" s="3474" t="s">
        <v>3408</v>
      </c>
      <c r="H262" s="3470">
        <f t="shared" si="8"/>
        <v>6822</v>
      </c>
    </row>
    <row r="263" spans="1:8" ht="83.25" thickBot="1">
      <c r="A263" s="3470">
        <f t="shared" si="9"/>
        <v>262</v>
      </c>
      <c r="B263" s="3471">
        <v>585</v>
      </c>
      <c r="C263" s="3472" t="s">
        <v>3734</v>
      </c>
      <c r="D263" s="3475">
        <v>-3179</v>
      </c>
      <c r="E263" s="3473">
        <v>24.46</v>
      </c>
      <c r="F263" s="3472">
        <v>2.6</v>
      </c>
      <c r="G263" s="3474" t="s">
        <v>3408</v>
      </c>
      <c r="H263" s="3470">
        <f t="shared" si="8"/>
        <v>6821</v>
      </c>
    </row>
    <row r="264" spans="1:8" ht="83.25" thickBot="1">
      <c r="A264" s="3470">
        <f t="shared" si="9"/>
        <v>263</v>
      </c>
      <c r="B264" s="3471">
        <v>586</v>
      </c>
      <c r="C264" s="3472" t="s">
        <v>3734</v>
      </c>
      <c r="D264" s="3475">
        <v>-3180</v>
      </c>
      <c r="E264" s="3473">
        <v>24.46</v>
      </c>
      <c r="F264" s="3472">
        <v>2.6</v>
      </c>
      <c r="G264" s="3474" t="s">
        <v>3408</v>
      </c>
      <c r="H264" s="3470">
        <f t="shared" si="8"/>
        <v>6820</v>
      </c>
    </row>
    <row r="265" spans="1:8" ht="83.25" thickBot="1">
      <c r="A265" s="3470">
        <f t="shared" si="9"/>
        <v>264</v>
      </c>
      <c r="B265" s="3471">
        <v>587</v>
      </c>
      <c r="C265" s="3472" t="s">
        <v>3734</v>
      </c>
      <c r="D265" s="3475">
        <v>-3181</v>
      </c>
      <c r="E265" s="3473">
        <v>24.46</v>
      </c>
      <c r="F265" s="3472">
        <v>2.6</v>
      </c>
      <c r="G265" s="3474" t="s">
        <v>3408</v>
      </c>
      <c r="H265" s="3470">
        <f t="shared" si="8"/>
        <v>6819</v>
      </c>
    </row>
    <row r="266" spans="1:8" ht="83.25" thickBot="1">
      <c r="A266" s="3470">
        <f t="shared" si="9"/>
        <v>265</v>
      </c>
      <c r="B266" s="3471">
        <v>588</v>
      </c>
      <c r="C266" s="3472" t="s">
        <v>3734</v>
      </c>
      <c r="D266" s="3475">
        <v>-3182</v>
      </c>
      <c r="E266" s="3473">
        <v>24.46</v>
      </c>
      <c r="F266" s="3472">
        <v>2.6</v>
      </c>
      <c r="G266" s="3474" t="s">
        <v>3408</v>
      </c>
      <c r="H266" s="3470">
        <f t="shared" si="8"/>
        <v>6818</v>
      </c>
    </row>
    <row r="267" spans="1:8" ht="83.25" thickBot="1">
      <c r="A267" s="3470">
        <f t="shared" si="9"/>
        <v>266</v>
      </c>
      <c r="B267" s="3471">
        <v>589</v>
      </c>
      <c r="C267" s="3472" t="s">
        <v>3734</v>
      </c>
      <c r="D267" s="3475">
        <v>-3183</v>
      </c>
      <c r="E267" s="3473">
        <v>24.46</v>
      </c>
      <c r="F267" s="3472">
        <v>2.6</v>
      </c>
      <c r="G267" s="3474" t="s">
        <v>3408</v>
      </c>
      <c r="H267" s="3470">
        <f t="shared" si="8"/>
        <v>6817</v>
      </c>
    </row>
    <row r="268" spans="1:8" ht="83.25" thickBot="1">
      <c r="A268" s="3470">
        <f t="shared" si="9"/>
        <v>267</v>
      </c>
      <c r="B268" s="3471">
        <v>590</v>
      </c>
      <c r="C268" s="3472" t="s">
        <v>3734</v>
      </c>
      <c r="D268" s="3475">
        <v>-3184</v>
      </c>
      <c r="E268" s="3473">
        <v>24.46</v>
      </c>
      <c r="F268" s="3472">
        <v>2.6</v>
      </c>
      <c r="G268" s="3474" t="s">
        <v>3408</v>
      </c>
      <c r="H268" s="3470">
        <f t="shared" si="8"/>
        <v>6816</v>
      </c>
    </row>
    <row r="269" spans="1:8" ht="83.25" thickBot="1">
      <c r="A269" s="3470">
        <f t="shared" si="9"/>
        <v>268</v>
      </c>
      <c r="B269" s="3471">
        <v>591</v>
      </c>
      <c r="C269" s="3472" t="s">
        <v>3734</v>
      </c>
      <c r="D269" s="3475">
        <v>-3185</v>
      </c>
      <c r="E269" s="3473">
        <v>24.46</v>
      </c>
      <c r="F269" s="3472">
        <v>2.6</v>
      </c>
      <c r="G269" s="3474" t="s">
        <v>3408</v>
      </c>
      <c r="H269" s="3470">
        <f t="shared" si="8"/>
        <v>6815</v>
      </c>
    </row>
    <row r="270" spans="1:8" ht="83.25" thickBot="1">
      <c r="A270" s="3470">
        <f t="shared" si="9"/>
        <v>269</v>
      </c>
      <c r="B270" s="3471">
        <v>592</v>
      </c>
      <c r="C270" s="3472" t="s">
        <v>3734</v>
      </c>
      <c r="D270" s="3475">
        <v>-3186</v>
      </c>
      <c r="E270" s="3473">
        <v>24.46</v>
      </c>
      <c r="F270" s="3472">
        <v>2.6</v>
      </c>
      <c r="G270" s="3474" t="s">
        <v>3408</v>
      </c>
      <c r="H270" s="3470">
        <f t="shared" si="8"/>
        <v>6814</v>
      </c>
    </row>
    <row r="271" spans="1:8" ht="83.25" thickBot="1">
      <c r="A271" s="3470">
        <f t="shared" si="9"/>
        <v>270</v>
      </c>
      <c r="B271" s="3471">
        <v>593</v>
      </c>
      <c r="C271" s="3472" t="s">
        <v>3734</v>
      </c>
      <c r="D271" s="3475">
        <v>-3187</v>
      </c>
      <c r="E271" s="3473">
        <v>24.46</v>
      </c>
      <c r="F271" s="3472">
        <v>2.6</v>
      </c>
      <c r="G271" s="3474" t="s">
        <v>3408</v>
      </c>
      <c r="H271" s="3470">
        <f t="shared" si="8"/>
        <v>6813</v>
      </c>
    </row>
    <row r="272" spans="1:8" ht="83.25" thickBot="1">
      <c r="A272" s="3470">
        <f t="shared" si="9"/>
        <v>271</v>
      </c>
      <c r="B272" s="3471">
        <v>594</v>
      </c>
      <c r="C272" s="3472" t="s">
        <v>3734</v>
      </c>
      <c r="D272" s="3475">
        <v>-3188</v>
      </c>
      <c r="E272" s="3473">
        <v>24.46</v>
      </c>
      <c r="F272" s="3472">
        <v>2.6</v>
      </c>
      <c r="G272" s="3474" t="s">
        <v>3408</v>
      </c>
      <c r="H272" s="3470">
        <f t="shared" si="8"/>
        <v>6812</v>
      </c>
    </row>
    <row r="273" spans="1:8" ht="83.25" thickBot="1">
      <c r="A273" s="3470">
        <f t="shared" si="9"/>
        <v>272</v>
      </c>
      <c r="B273" s="3483">
        <v>595</v>
      </c>
      <c r="C273" s="3484" t="s">
        <v>3734</v>
      </c>
      <c r="D273" s="3485">
        <v>-3189</v>
      </c>
      <c r="E273" s="3486">
        <v>24.46</v>
      </c>
      <c r="F273" s="3484">
        <v>2.6</v>
      </c>
      <c r="G273" s="3469" t="s">
        <v>3408</v>
      </c>
      <c r="H273" s="3470">
        <f t="shared" si="8"/>
        <v>6811</v>
      </c>
    </row>
    <row r="274" spans="1:8" ht="83.25" thickBot="1">
      <c r="A274" s="3470">
        <f t="shared" si="9"/>
        <v>273</v>
      </c>
      <c r="B274" s="3471">
        <v>596</v>
      </c>
      <c r="C274" s="3472" t="s">
        <v>3734</v>
      </c>
      <c r="D274" s="3475">
        <v>-3190</v>
      </c>
      <c r="E274" s="3473">
        <v>24.46</v>
      </c>
      <c r="F274" s="3472">
        <v>2.6</v>
      </c>
      <c r="G274" s="3474" t="s">
        <v>3408</v>
      </c>
      <c r="H274" s="3470">
        <f t="shared" si="8"/>
        <v>6810</v>
      </c>
    </row>
    <row r="275" spans="1:8" ht="83.25" thickBot="1">
      <c r="A275" s="3470">
        <f t="shared" si="9"/>
        <v>274</v>
      </c>
      <c r="B275" s="3471">
        <v>597</v>
      </c>
      <c r="C275" s="3472" t="s">
        <v>3734</v>
      </c>
      <c r="D275" s="3475">
        <v>-3191</v>
      </c>
      <c r="E275" s="3473">
        <v>24.46</v>
      </c>
      <c r="F275" s="3472">
        <v>2.6</v>
      </c>
      <c r="G275" s="3474" t="s">
        <v>3408</v>
      </c>
      <c r="H275" s="3470">
        <f t="shared" si="8"/>
        <v>6809</v>
      </c>
    </row>
    <row r="276" spans="1:8" ht="83.25" thickBot="1">
      <c r="A276" s="3470">
        <f t="shared" si="9"/>
        <v>275</v>
      </c>
      <c r="B276" s="3471">
        <v>598</v>
      </c>
      <c r="C276" s="3472" t="s">
        <v>3734</v>
      </c>
      <c r="D276" s="3475">
        <v>-3192</v>
      </c>
      <c r="E276" s="3473">
        <v>24.46</v>
      </c>
      <c r="F276" s="3472">
        <v>2.6</v>
      </c>
      <c r="G276" s="3474" t="s">
        <v>3408</v>
      </c>
      <c r="H276" s="3470">
        <f t="shared" si="8"/>
        <v>6808</v>
      </c>
    </row>
    <row r="277" spans="1:8" ht="83.25" thickBot="1">
      <c r="A277" s="3470">
        <f t="shared" si="9"/>
        <v>276</v>
      </c>
      <c r="B277" s="3471">
        <v>599</v>
      </c>
      <c r="C277" s="3472" t="s">
        <v>3734</v>
      </c>
      <c r="D277" s="3475">
        <v>-3193</v>
      </c>
      <c r="E277" s="3473">
        <v>24.46</v>
      </c>
      <c r="F277" s="3472">
        <v>2.6</v>
      </c>
      <c r="G277" s="3474" t="s">
        <v>3408</v>
      </c>
      <c r="H277" s="3470">
        <f t="shared" si="8"/>
        <v>6807</v>
      </c>
    </row>
    <row r="278" spans="1:8" ht="83.25" thickBot="1">
      <c r="A278" s="3470">
        <f t="shared" si="9"/>
        <v>277</v>
      </c>
      <c r="B278" s="3471">
        <v>600</v>
      </c>
      <c r="C278" s="3472" t="s">
        <v>3734</v>
      </c>
      <c r="D278" s="3475">
        <v>-3194</v>
      </c>
      <c r="E278" s="3473">
        <v>24.46</v>
      </c>
      <c r="F278" s="3472">
        <v>2.6</v>
      </c>
      <c r="G278" s="3474" t="s">
        <v>3408</v>
      </c>
      <c r="H278" s="3470">
        <f t="shared" si="8"/>
        <v>6806</v>
      </c>
    </row>
    <row r="279" spans="1:8" ht="83.25" thickBot="1">
      <c r="A279" s="3470">
        <f t="shared" si="9"/>
        <v>278</v>
      </c>
      <c r="B279" s="3471">
        <v>601</v>
      </c>
      <c r="C279" s="3472" t="s">
        <v>3734</v>
      </c>
      <c r="D279" s="3475">
        <v>-3195</v>
      </c>
      <c r="E279" s="3473">
        <v>24.46</v>
      </c>
      <c r="F279" s="3472">
        <v>2.6</v>
      </c>
      <c r="G279" s="3474" t="s">
        <v>3408</v>
      </c>
      <c r="H279" s="3470">
        <f t="shared" si="8"/>
        <v>6805</v>
      </c>
    </row>
    <row r="280" spans="1:8" ht="83.25" thickBot="1">
      <c r="A280" s="3470">
        <f t="shared" si="9"/>
        <v>279</v>
      </c>
      <c r="B280" s="3471">
        <v>602</v>
      </c>
      <c r="C280" s="3472" t="s">
        <v>3734</v>
      </c>
      <c r="D280" s="3475">
        <v>-3196</v>
      </c>
      <c r="E280" s="3473">
        <v>24.46</v>
      </c>
      <c r="F280" s="3472">
        <v>2.6</v>
      </c>
      <c r="G280" s="3474" t="s">
        <v>3408</v>
      </c>
      <c r="H280" s="3470">
        <f t="shared" si="8"/>
        <v>6804</v>
      </c>
    </row>
    <row r="281" spans="1:8" ht="83.25" thickBot="1">
      <c r="A281" s="3470">
        <f t="shared" si="9"/>
        <v>280</v>
      </c>
      <c r="B281" s="3471">
        <v>603</v>
      </c>
      <c r="C281" s="3472" t="s">
        <v>3734</v>
      </c>
      <c r="D281" s="3475">
        <v>-3197</v>
      </c>
      <c r="E281" s="3473">
        <v>24.46</v>
      </c>
      <c r="F281" s="3472">
        <v>2.6</v>
      </c>
      <c r="G281" s="3474" t="s">
        <v>3408</v>
      </c>
      <c r="H281" s="3470">
        <f t="shared" si="8"/>
        <v>6803</v>
      </c>
    </row>
    <row r="282" spans="1:8" ht="83.25" thickBot="1">
      <c r="A282" s="3470">
        <f t="shared" si="9"/>
        <v>281</v>
      </c>
      <c r="B282" s="3471">
        <v>604</v>
      </c>
      <c r="C282" s="3472" t="s">
        <v>3734</v>
      </c>
      <c r="D282" s="3475">
        <v>-3198</v>
      </c>
      <c r="E282" s="3473">
        <v>24.46</v>
      </c>
      <c r="F282" s="3472">
        <v>2.6</v>
      </c>
      <c r="G282" s="3474" t="s">
        <v>3408</v>
      </c>
      <c r="H282" s="3470">
        <f t="shared" si="8"/>
        <v>6802</v>
      </c>
    </row>
    <row r="283" spans="1:8" ht="83.25" thickBot="1">
      <c r="A283" s="3470">
        <f t="shared" si="9"/>
        <v>282</v>
      </c>
      <c r="B283" s="3471">
        <v>605</v>
      </c>
      <c r="C283" s="3472" t="s">
        <v>3734</v>
      </c>
      <c r="D283" s="3475">
        <v>-3199</v>
      </c>
      <c r="E283" s="3473">
        <v>24.46</v>
      </c>
      <c r="F283" s="3472">
        <v>2.6</v>
      </c>
      <c r="G283" s="3474" t="s">
        <v>3408</v>
      </c>
      <c r="H283" s="3470">
        <f t="shared" si="8"/>
        <v>6801</v>
      </c>
    </row>
    <row r="284" spans="1:8" ht="83.25" thickBot="1">
      <c r="A284" s="3470">
        <f t="shared" si="9"/>
        <v>283</v>
      </c>
      <c r="B284" s="3471">
        <v>606</v>
      </c>
      <c r="C284" s="3472" t="s">
        <v>3734</v>
      </c>
      <c r="D284" s="3475">
        <v>-3200</v>
      </c>
      <c r="E284" s="3473">
        <v>24.46</v>
      </c>
      <c r="F284" s="3472">
        <v>2.6</v>
      </c>
      <c r="G284" s="3474" t="s">
        <v>3408</v>
      </c>
      <c r="H284" s="3470">
        <f t="shared" si="8"/>
        <v>6800</v>
      </c>
    </row>
    <row r="285" spans="1:8" ht="83.25" thickBot="1">
      <c r="A285" s="3470">
        <f t="shared" si="9"/>
        <v>284</v>
      </c>
      <c r="B285" s="3471">
        <v>607</v>
      </c>
      <c r="C285" s="3472" t="s">
        <v>3734</v>
      </c>
      <c r="D285" s="3475">
        <v>-3201</v>
      </c>
      <c r="E285" s="3473">
        <v>24.46</v>
      </c>
      <c r="F285" s="3472">
        <v>2.6</v>
      </c>
      <c r="G285" s="3474" t="s">
        <v>3408</v>
      </c>
      <c r="H285" s="3470">
        <f t="shared" si="8"/>
        <v>6799</v>
      </c>
    </row>
    <row r="286" spans="1:8" ht="83.25" thickBot="1">
      <c r="A286" s="3470">
        <f t="shared" si="9"/>
        <v>285</v>
      </c>
      <c r="B286" s="3471">
        <v>608</v>
      </c>
      <c r="C286" s="3472" t="s">
        <v>3734</v>
      </c>
      <c r="D286" s="3475">
        <v>-3202</v>
      </c>
      <c r="E286" s="3473">
        <v>24.46</v>
      </c>
      <c r="F286" s="3472">
        <v>2.6</v>
      </c>
      <c r="G286" s="3474" t="s">
        <v>3408</v>
      </c>
      <c r="H286" s="3470">
        <f t="shared" si="8"/>
        <v>6798</v>
      </c>
    </row>
    <row r="287" spans="1:8" ht="83.25" thickBot="1">
      <c r="A287" s="3470">
        <f t="shared" si="9"/>
        <v>286</v>
      </c>
      <c r="B287" s="3471">
        <v>609</v>
      </c>
      <c r="C287" s="3472" t="s">
        <v>3734</v>
      </c>
      <c r="D287" s="3475">
        <v>-3203</v>
      </c>
      <c r="E287" s="3473">
        <v>24.46</v>
      </c>
      <c r="F287" s="3472">
        <v>2.6</v>
      </c>
      <c r="G287" s="3474" t="s">
        <v>3408</v>
      </c>
      <c r="H287" s="3470">
        <f t="shared" si="8"/>
        <v>6797</v>
      </c>
    </row>
    <row r="288" spans="1:8" ht="83.25" thickBot="1">
      <c r="A288" s="3470">
        <f t="shared" si="9"/>
        <v>287</v>
      </c>
      <c r="B288" s="3471">
        <v>610</v>
      </c>
      <c r="C288" s="3472" t="s">
        <v>3734</v>
      </c>
      <c r="D288" s="3475">
        <v>-3204</v>
      </c>
      <c r="E288" s="3473">
        <v>24.46</v>
      </c>
      <c r="F288" s="3472">
        <v>2.6</v>
      </c>
      <c r="G288" s="3474" t="s">
        <v>3408</v>
      </c>
      <c r="H288" s="3470">
        <f t="shared" si="8"/>
        <v>6796</v>
      </c>
    </row>
    <row r="289" spans="1:8" ht="83.25" thickBot="1">
      <c r="A289" s="3470">
        <f t="shared" si="9"/>
        <v>288</v>
      </c>
      <c r="B289" s="3471">
        <v>611</v>
      </c>
      <c r="C289" s="3472" t="s">
        <v>3734</v>
      </c>
      <c r="D289" s="3475">
        <v>-3205</v>
      </c>
      <c r="E289" s="3473">
        <v>24.46</v>
      </c>
      <c r="F289" s="3472">
        <v>2.6</v>
      </c>
      <c r="G289" s="3474" t="s">
        <v>3408</v>
      </c>
      <c r="H289" s="3470">
        <f t="shared" si="8"/>
        <v>6795</v>
      </c>
    </row>
    <row r="290" spans="1:8" ht="83.25" thickBot="1">
      <c r="A290" s="3470">
        <f t="shared" si="9"/>
        <v>289</v>
      </c>
      <c r="B290" s="3471">
        <v>612</v>
      </c>
      <c r="C290" s="3472" t="s">
        <v>3734</v>
      </c>
      <c r="D290" s="3475">
        <v>-3206</v>
      </c>
      <c r="E290" s="3473">
        <v>24.46</v>
      </c>
      <c r="F290" s="3472">
        <v>2.6</v>
      </c>
      <c r="G290" s="3474" t="s">
        <v>3408</v>
      </c>
      <c r="H290" s="3470">
        <f t="shared" si="8"/>
        <v>6794</v>
      </c>
    </row>
    <row r="291" spans="1:8" ht="83.25" thickBot="1">
      <c r="A291" s="3470">
        <f t="shared" si="9"/>
        <v>290</v>
      </c>
      <c r="B291" s="3483">
        <v>613</v>
      </c>
      <c r="C291" s="3484" t="s">
        <v>3734</v>
      </c>
      <c r="D291" s="3485">
        <v>-3207</v>
      </c>
      <c r="E291" s="3486">
        <v>24.46</v>
      </c>
      <c r="F291" s="3484">
        <v>2.6</v>
      </c>
      <c r="G291" s="3469" t="s">
        <v>3408</v>
      </c>
      <c r="H291" s="3470">
        <f t="shared" si="8"/>
        <v>6793</v>
      </c>
    </row>
    <row r="292" spans="1:8" ht="83.25" thickBot="1">
      <c r="A292" s="3470">
        <f t="shared" si="9"/>
        <v>291</v>
      </c>
      <c r="B292" s="3471">
        <v>614</v>
      </c>
      <c r="C292" s="3472" t="s">
        <v>3734</v>
      </c>
      <c r="D292" s="3475">
        <v>-3208</v>
      </c>
      <c r="E292" s="3473">
        <v>24.46</v>
      </c>
      <c r="F292" s="3472">
        <v>2.6</v>
      </c>
      <c r="G292" s="3474" t="s">
        <v>3408</v>
      </c>
      <c r="H292" s="3470">
        <f t="shared" si="8"/>
        <v>6792</v>
      </c>
    </row>
    <row r="293" spans="1:8" ht="83.25" thickBot="1">
      <c r="A293" s="3470">
        <f t="shared" si="9"/>
        <v>292</v>
      </c>
      <c r="B293" s="3471">
        <v>615</v>
      </c>
      <c r="C293" s="3472" t="s">
        <v>3734</v>
      </c>
      <c r="D293" s="3475">
        <v>-3209</v>
      </c>
      <c r="E293" s="3473">
        <v>24.46</v>
      </c>
      <c r="F293" s="3472">
        <v>2.6</v>
      </c>
      <c r="G293" s="3474" t="s">
        <v>3408</v>
      </c>
      <c r="H293" s="3470">
        <f t="shared" si="8"/>
        <v>6791</v>
      </c>
    </row>
    <row r="294" spans="1:8" ht="83.25" thickBot="1">
      <c r="A294" s="3470">
        <f t="shared" si="9"/>
        <v>293</v>
      </c>
      <c r="B294" s="3471">
        <v>616</v>
      </c>
      <c r="C294" s="3472" t="s">
        <v>3734</v>
      </c>
      <c r="D294" s="3475">
        <v>-3210</v>
      </c>
      <c r="E294" s="3473">
        <v>24.46</v>
      </c>
      <c r="F294" s="3472">
        <v>2.6</v>
      </c>
      <c r="G294" s="3474" t="s">
        <v>3408</v>
      </c>
      <c r="H294" s="3470">
        <f t="shared" si="8"/>
        <v>6790</v>
      </c>
    </row>
    <row r="295" spans="1:8" ht="83.25" thickBot="1">
      <c r="A295" s="3470">
        <f t="shared" si="9"/>
        <v>294</v>
      </c>
      <c r="B295" s="3471">
        <v>617</v>
      </c>
      <c r="C295" s="3472" t="s">
        <v>3734</v>
      </c>
      <c r="D295" s="3475">
        <v>-3211</v>
      </c>
      <c r="E295" s="3473">
        <v>24.46</v>
      </c>
      <c r="F295" s="3472">
        <v>2.6</v>
      </c>
      <c r="G295" s="3474" t="s">
        <v>3408</v>
      </c>
      <c r="H295" s="3470">
        <f t="shared" si="8"/>
        <v>6789</v>
      </c>
    </row>
    <row r="296" spans="1:8" ht="83.25" thickBot="1">
      <c r="A296" s="3470">
        <f t="shared" si="9"/>
        <v>295</v>
      </c>
      <c r="B296" s="3471">
        <v>618</v>
      </c>
      <c r="C296" s="3472" t="s">
        <v>3734</v>
      </c>
      <c r="D296" s="3475">
        <v>-3212</v>
      </c>
      <c r="E296" s="3473">
        <v>24.46</v>
      </c>
      <c r="F296" s="3472">
        <v>2.6</v>
      </c>
      <c r="G296" s="3474" t="s">
        <v>3408</v>
      </c>
      <c r="H296" s="3470">
        <f t="shared" si="8"/>
        <v>6788</v>
      </c>
    </row>
    <row r="297" spans="1:8" ht="83.25" thickBot="1">
      <c r="A297" s="3470">
        <f t="shared" si="9"/>
        <v>296</v>
      </c>
      <c r="B297" s="3471">
        <v>619</v>
      </c>
      <c r="C297" s="3472" t="s">
        <v>3734</v>
      </c>
      <c r="D297" s="3475">
        <v>-3213</v>
      </c>
      <c r="E297" s="3473">
        <v>24.46</v>
      </c>
      <c r="F297" s="3472">
        <v>2.6</v>
      </c>
      <c r="G297" s="3474" t="s">
        <v>3408</v>
      </c>
      <c r="H297" s="3470">
        <f t="shared" si="8"/>
        <v>6787</v>
      </c>
    </row>
    <row r="298" spans="1:8" ht="83.25" thickBot="1">
      <c r="A298" s="3470">
        <f t="shared" si="9"/>
        <v>297</v>
      </c>
      <c r="B298" s="3471">
        <v>620</v>
      </c>
      <c r="C298" s="3472" t="s">
        <v>3734</v>
      </c>
      <c r="D298" s="3475">
        <v>-3214</v>
      </c>
      <c r="E298" s="3473">
        <v>24.46</v>
      </c>
      <c r="F298" s="3472">
        <v>2.6</v>
      </c>
      <c r="G298" s="3474" t="s">
        <v>3408</v>
      </c>
      <c r="H298" s="3470">
        <f t="shared" si="8"/>
        <v>6786</v>
      </c>
    </row>
    <row r="299" spans="1:8" ht="83.25" thickBot="1">
      <c r="A299" s="3470">
        <f t="shared" si="9"/>
        <v>298</v>
      </c>
      <c r="B299" s="3471">
        <v>621</v>
      </c>
      <c r="C299" s="3472" t="s">
        <v>3734</v>
      </c>
      <c r="D299" s="3475">
        <v>-3215</v>
      </c>
      <c r="E299" s="3473">
        <v>24.46</v>
      </c>
      <c r="F299" s="3472">
        <v>2.6</v>
      </c>
      <c r="G299" s="3474" t="s">
        <v>3408</v>
      </c>
      <c r="H299" s="3470">
        <f t="shared" si="8"/>
        <v>6785</v>
      </c>
    </row>
    <row r="300" spans="1:8" ht="83.25" thickBot="1">
      <c r="A300" s="3470">
        <f t="shared" si="9"/>
        <v>299</v>
      </c>
      <c r="B300" s="3471">
        <v>622</v>
      </c>
      <c r="C300" s="3472" t="s">
        <v>3734</v>
      </c>
      <c r="D300" s="3475">
        <v>-3216</v>
      </c>
      <c r="E300" s="3473">
        <v>24.46</v>
      </c>
      <c r="F300" s="3472">
        <v>2.6</v>
      </c>
      <c r="G300" s="3474" t="s">
        <v>3408</v>
      </c>
      <c r="H300" s="3470">
        <f t="shared" si="8"/>
        <v>6784</v>
      </c>
    </row>
    <row r="301" spans="1:8" ht="83.25" thickBot="1">
      <c r="A301" s="3470">
        <f t="shared" si="9"/>
        <v>300</v>
      </c>
      <c r="B301" s="3471">
        <v>623</v>
      </c>
      <c r="C301" s="3472" t="s">
        <v>3734</v>
      </c>
      <c r="D301" s="3475">
        <v>-3217</v>
      </c>
      <c r="E301" s="3473">
        <v>24.46</v>
      </c>
      <c r="F301" s="3472">
        <v>2.6</v>
      </c>
      <c r="G301" s="3474" t="s">
        <v>3408</v>
      </c>
      <c r="H301" s="3470">
        <f t="shared" si="8"/>
        <v>6783</v>
      </c>
    </row>
    <row r="302" spans="1:8" ht="83.25" thickBot="1">
      <c r="A302" s="3470">
        <f t="shared" si="9"/>
        <v>301</v>
      </c>
      <c r="B302" s="3471">
        <v>624</v>
      </c>
      <c r="C302" s="3472" t="s">
        <v>3734</v>
      </c>
      <c r="D302" s="3475">
        <v>-3218</v>
      </c>
      <c r="E302" s="3473">
        <v>24.46</v>
      </c>
      <c r="F302" s="3472">
        <v>2.6</v>
      </c>
      <c r="G302" s="3474" t="s">
        <v>3408</v>
      </c>
      <c r="H302" s="3470">
        <f t="shared" si="8"/>
        <v>6782</v>
      </c>
    </row>
    <row r="303" spans="1:8" ht="83.25" thickBot="1">
      <c r="A303" s="3470">
        <f t="shared" si="9"/>
        <v>302</v>
      </c>
      <c r="B303" s="3471">
        <v>625</v>
      </c>
      <c r="C303" s="3472" t="s">
        <v>3734</v>
      </c>
      <c r="D303" s="3475">
        <v>-3219</v>
      </c>
      <c r="E303" s="3473">
        <v>24.46</v>
      </c>
      <c r="F303" s="3472">
        <v>2.6</v>
      </c>
      <c r="G303" s="3474" t="s">
        <v>3408</v>
      </c>
      <c r="H303" s="3470">
        <f t="shared" si="8"/>
        <v>6781</v>
      </c>
    </row>
    <row r="304" spans="1:8" ht="83.25" thickBot="1">
      <c r="A304" s="3470">
        <f t="shared" si="9"/>
        <v>303</v>
      </c>
      <c r="B304" s="3471">
        <v>626</v>
      </c>
      <c r="C304" s="3472" t="s">
        <v>3734</v>
      </c>
      <c r="D304" s="3475">
        <v>-3220</v>
      </c>
      <c r="E304" s="3473">
        <v>24.46</v>
      </c>
      <c r="F304" s="3472">
        <v>2.6</v>
      </c>
      <c r="G304" s="3474" t="s">
        <v>3408</v>
      </c>
      <c r="H304" s="3470">
        <f t="shared" si="8"/>
        <v>6780</v>
      </c>
    </row>
    <row r="305" spans="1:8" ht="83.25" thickBot="1">
      <c r="A305" s="3470">
        <f t="shared" si="9"/>
        <v>304</v>
      </c>
      <c r="B305" s="3471">
        <v>627</v>
      </c>
      <c r="C305" s="3472" t="s">
        <v>3734</v>
      </c>
      <c r="D305" s="3475">
        <v>-3221</v>
      </c>
      <c r="E305" s="3473">
        <v>24.46</v>
      </c>
      <c r="F305" s="3472">
        <v>2.6</v>
      </c>
      <c r="G305" s="3474" t="s">
        <v>3408</v>
      </c>
      <c r="H305" s="3470">
        <f t="shared" si="8"/>
        <v>6779</v>
      </c>
    </row>
    <row r="306" spans="1:8" ht="83.25" thickBot="1">
      <c r="A306" s="3470">
        <f t="shared" si="9"/>
        <v>305</v>
      </c>
      <c r="B306" s="3471">
        <v>628</v>
      </c>
      <c r="C306" s="3472" t="s">
        <v>3734</v>
      </c>
      <c r="D306" s="3475">
        <v>-3222</v>
      </c>
      <c r="E306" s="3473">
        <v>24.46</v>
      </c>
      <c r="F306" s="3472">
        <v>2.6</v>
      </c>
      <c r="G306" s="3474" t="s">
        <v>3408</v>
      </c>
      <c r="H306" s="3470">
        <f t="shared" si="8"/>
        <v>6778</v>
      </c>
    </row>
    <row r="307" spans="1:8" ht="83.25" thickBot="1">
      <c r="A307" s="3470">
        <f t="shared" si="9"/>
        <v>306</v>
      </c>
      <c r="B307" s="3471">
        <v>629</v>
      </c>
      <c r="C307" s="3472" t="s">
        <v>3734</v>
      </c>
      <c r="D307" s="3475">
        <v>-3223</v>
      </c>
      <c r="E307" s="3473">
        <v>24.46</v>
      </c>
      <c r="F307" s="3472">
        <v>2.6</v>
      </c>
      <c r="G307" s="3474" t="s">
        <v>3408</v>
      </c>
      <c r="H307" s="3470">
        <f t="shared" si="8"/>
        <v>6777</v>
      </c>
    </row>
    <row r="308" spans="1:8" ht="83.25" thickBot="1">
      <c r="A308" s="3470">
        <f t="shared" si="9"/>
        <v>307</v>
      </c>
      <c r="B308" s="3471">
        <v>630</v>
      </c>
      <c r="C308" s="3472" t="s">
        <v>3734</v>
      </c>
      <c r="D308" s="3475">
        <v>-3224</v>
      </c>
      <c r="E308" s="3473">
        <v>24.46</v>
      </c>
      <c r="F308" s="3472">
        <v>2.6</v>
      </c>
      <c r="G308" s="3474" t="s">
        <v>3408</v>
      </c>
      <c r="H308" s="3470">
        <f t="shared" si="8"/>
        <v>6776</v>
      </c>
    </row>
    <row r="309" spans="1:8" ht="83.25" thickBot="1">
      <c r="A309" s="3470">
        <f t="shared" si="9"/>
        <v>308</v>
      </c>
      <c r="B309" s="3483">
        <v>631</v>
      </c>
      <c r="C309" s="3484" t="s">
        <v>3734</v>
      </c>
      <c r="D309" s="3485">
        <v>-3225</v>
      </c>
      <c r="E309" s="3486">
        <v>24.46</v>
      </c>
      <c r="F309" s="3484">
        <v>2.6</v>
      </c>
      <c r="G309" s="3469" t="s">
        <v>3408</v>
      </c>
      <c r="H309" s="3470">
        <f t="shared" si="8"/>
        <v>6775</v>
      </c>
    </row>
    <row r="310" spans="1:8" ht="83.25" thickBot="1">
      <c r="A310" s="3470">
        <f t="shared" si="9"/>
        <v>309</v>
      </c>
      <c r="B310" s="3471">
        <v>632</v>
      </c>
      <c r="C310" s="3472" t="s">
        <v>3734</v>
      </c>
      <c r="D310" s="3475">
        <v>-3226</v>
      </c>
      <c r="E310" s="3473">
        <v>24.46</v>
      </c>
      <c r="F310" s="3472">
        <v>2.6</v>
      </c>
      <c r="G310" s="3474" t="s">
        <v>3408</v>
      </c>
      <c r="H310" s="3470">
        <f t="shared" si="8"/>
        <v>6774</v>
      </c>
    </row>
    <row r="311" spans="1:8" ht="83.25" thickBot="1">
      <c r="A311" s="3470">
        <f t="shared" si="9"/>
        <v>310</v>
      </c>
      <c r="B311" s="3471">
        <v>633</v>
      </c>
      <c r="C311" s="3472" t="s">
        <v>3734</v>
      </c>
      <c r="D311" s="3475">
        <v>-3227</v>
      </c>
      <c r="E311" s="3473">
        <v>24.46</v>
      </c>
      <c r="F311" s="3472">
        <v>2.6</v>
      </c>
      <c r="G311" s="3474" t="s">
        <v>3408</v>
      </c>
      <c r="H311" s="3470">
        <f t="shared" si="8"/>
        <v>6773</v>
      </c>
    </row>
    <row r="312" spans="1:8" ht="83.25" thickBot="1">
      <c r="A312" s="3470">
        <f t="shared" si="9"/>
        <v>311</v>
      </c>
      <c r="B312" s="3471">
        <v>634</v>
      </c>
      <c r="C312" s="3472" t="s">
        <v>3734</v>
      </c>
      <c r="D312" s="3475">
        <v>-3228</v>
      </c>
      <c r="E312" s="3473">
        <v>24.46</v>
      </c>
      <c r="F312" s="3472">
        <v>2.6</v>
      </c>
      <c r="G312" s="3474" t="s">
        <v>3408</v>
      </c>
      <c r="H312" s="3470">
        <f t="shared" si="8"/>
        <v>6772</v>
      </c>
    </row>
    <row r="313" spans="1:8" ht="83.25" thickBot="1">
      <c r="A313" s="3470">
        <f t="shared" si="9"/>
        <v>312</v>
      </c>
      <c r="B313" s="3471">
        <v>635</v>
      </c>
      <c r="C313" s="3472" t="s">
        <v>3734</v>
      </c>
      <c r="D313" s="3475">
        <v>-3229</v>
      </c>
      <c r="E313" s="3473">
        <v>26.68</v>
      </c>
      <c r="F313" s="3472">
        <v>2.84</v>
      </c>
      <c r="G313" s="3474" t="s">
        <v>3408</v>
      </c>
      <c r="H313" s="3470">
        <f t="shared" si="8"/>
        <v>6771</v>
      </c>
    </row>
    <row r="314" spans="1:8" ht="83.25" thickBot="1">
      <c r="A314" s="3470">
        <f t="shared" si="9"/>
        <v>313</v>
      </c>
      <c r="B314" s="3471">
        <v>636</v>
      </c>
      <c r="C314" s="3472" t="s">
        <v>3734</v>
      </c>
      <c r="D314" s="3475">
        <v>-3230</v>
      </c>
      <c r="E314" s="3473">
        <v>26.68</v>
      </c>
      <c r="F314" s="3472">
        <v>2.84</v>
      </c>
      <c r="G314" s="3474" t="s">
        <v>3408</v>
      </c>
      <c r="H314" s="3470">
        <f t="shared" si="8"/>
        <v>6770</v>
      </c>
    </row>
    <row r="315" spans="1:8" ht="83.25" thickBot="1">
      <c r="A315" s="3470">
        <f t="shared" si="9"/>
        <v>314</v>
      </c>
      <c r="B315" s="3471">
        <v>637</v>
      </c>
      <c r="C315" s="3472" t="s">
        <v>3734</v>
      </c>
      <c r="D315" s="3475">
        <v>-3231</v>
      </c>
      <c r="E315" s="3473">
        <v>48.91</v>
      </c>
      <c r="F315" s="3472">
        <v>5.2</v>
      </c>
      <c r="G315" s="3474" t="s">
        <v>3408</v>
      </c>
      <c r="H315" s="3470">
        <f t="shared" si="8"/>
        <v>6769</v>
      </c>
    </row>
    <row r="316" spans="1:8" ht="83.25" thickBot="1">
      <c r="A316" s="3470">
        <f t="shared" si="9"/>
        <v>315</v>
      </c>
      <c r="B316" s="3471">
        <v>638</v>
      </c>
      <c r="C316" s="3472" t="s">
        <v>3734</v>
      </c>
      <c r="D316" s="3475">
        <v>-3232</v>
      </c>
      <c r="E316" s="3473">
        <v>24.46</v>
      </c>
      <c r="F316" s="3472">
        <v>2.6</v>
      </c>
      <c r="G316" s="3474" t="s">
        <v>3408</v>
      </c>
      <c r="H316" s="3470">
        <f t="shared" si="8"/>
        <v>6768</v>
      </c>
    </row>
    <row r="317" spans="1:8" ht="83.25" thickBot="1">
      <c r="A317" s="3470">
        <f t="shared" si="9"/>
        <v>316</v>
      </c>
      <c r="B317" s="3471">
        <v>639</v>
      </c>
      <c r="C317" s="3472" t="s">
        <v>3734</v>
      </c>
      <c r="D317" s="3475">
        <v>-3233</v>
      </c>
      <c r="E317" s="3473">
        <v>48.91</v>
      </c>
      <c r="F317" s="3472">
        <v>5.2</v>
      </c>
      <c r="G317" s="3474" t="s">
        <v>3408</v>
      </c>
      <c r="H317" s="3470">
        <f t="shared" si="8"/>
        <v>6767</v>
      </c>
    </row>
    <row r="318" spans="1:8" ht="83.25" thickBot="1">
      <c r="A318" s="3470">
        <f t="shared" si="9"/>
        <v>317</v>
      </c>
      <c r="B318" s="3471">
        <v>640</v>
      </c>
      <c r="C318" s="3472" t="s">
        <v>3734</v>
      </c>
      <c r="D318" s="3475">
        <v>-3234</v>
      </c>
      <c r="E318" s="3473">
        <v>24.46</v>
      </c>
      <c r="F318" s="3472">
        <v>2.6</v>
      </c>
      <c r="G318" s="3474" t="s">
        <v>3408</v>
      </c>
      <c r="H318" s="3470">
        <f t="shared" si="8"/>
        <v>6766</v>
      </c>
    </row>
    <row r="319" spans="1:8" ht="83.25" thickBot="1">
      <c r="A319" s="3470">
        <f t="shared" si="9"/>
        <v>318</v>
      </c>
      <c r="B319" s="3471">
        <v>641</v>
      </c>
      <c r="C319" s="3472" t="s">
        <v>3734</v>
      </c>
      <c r="D319" s="3475">
        <v>-3235</v>
      </c>
      <c r="E319" s="3473">
        <v>48.91</v>
      </c>
      <c r="F319" s="3472">
        <v>5.2</v>
      </c>
      <c r="G319" s="3474" t="s">
        <v>3408</v>
      </c>
      <c r="H319" s="3470">
        <f t="shared" si="8"/>
        <v>6765</v>
      </c>
    </row>
    <row r="320" spans="1:8" ht="83.25" thickBot="1">
      <c r="A320" s="3470">
        <f t="shared" si="9"/>
        <v>319</v>
      </c>
      <c r="B320" s="3471">
        <v>642</v>
      </c>
      <c r="C320" s="3472" t="s">
        <v>3734</v>
      </c>
      <c r="D320" s="3475">
        <v>-3236</v>
      </c>
      <c r="E320" s="3473">
        <v>48.91</v>
      </c>
      <c r="F320" s="3472">
        <v>5.2</v>
      </c>
      <c r="G320" s="3474" t="s">
        <v>3408</v>
      </c>
      <c r="H320" s="3470">
        <f t="shared" si="8"/>
        <v>6764</v>
      </c>
    </row>
    <row r="321" spans="1:8" ht="83.25" thickBot="1">
      <c r="A321" s="3470">
        <f t="shared" si="9"/>
        <v>320</v>
      </c>
      <c r="B321" s="3471">
        <v>643</v>
      </c>
      <c r="C321" s="3472" t="s">
        <v>3734</v>
      </c>
      <c r="D321" s="3475">
        <v>-3237</v>
      </c>
      <c r="E321" s="3473">
        <v>24.46</v>
      </c>
      <c r="F321" s="3472">
        <v>2.6</v>
      </c>
      <c r="G321" s="3474" t="s">
        <v>3408</v>
      </c>
      <c r="H321" s="3470">
        <f t="shared" si="8"/>
        <v>6763</v>
      </c>
    </row>
    <row r="322" spans="1:8" ht="83.25" thickBot="1">
      <c r="A322" s="3470">
        <f t="shared" si="9"/>
        <v>321</v>
      </c>
      <c r="B322" s="3471">
        <v>644</v>
      </c>
      <c r="C322" s="3472" t="s">
        <v>3734</v>
      </c>
      <c r="D322" s="3475">
        <v>-3238</v>
      </c>
      <c r="E322" s="3473">
        <v>48.91</v>
      </c>
      <c r="F322" s="3472">
        <v>5.2</v>
      </c>
      <c r="G322" s="3474" t="s">
        <v>3408</v>
      </c>
      <c r="H322" s="3470">
        <f t="shared" si="8"/>
        <v>6762</v>
      </c>
    </row>
    <row r="323" spans="1:8" ht="83.25" thickBot="1">
      <c r="A323" s="3470">
        <f t="shared" si="9"/>
        <v>322</v>
      </c>
      <c r="B323" s="3471">
        <v>645</v>
      </c>
      <c r="C323" s="3472" t="s">
        <v>3734</v>
      </c>
      <c r="D323" s="3475">
        <v>-3239</v>
      </c>
      <c r="E323" s="3473">
        <v>48.91</v>
      </c>
      <c r="F323" s="3472">
        <v>5.2</v>
      </c>
      <c r="G323" s="3474" t="s">
        <v>3408</v>
      </c>
      <c r="H323" s="3470">
        <f t="shared" ref="H323:H386" si="10">10000+D323</f>
        <v>6761</v>
      </c>
    </row>
    <row r="324" spans="1:8" ht="83.25" thickBot="1">
      <c r="A324" s="3470">
        <f t="shared" ref="A324:A387" si="11">A323+1</f>
        <v>323</v>
      </c>
      <c r="B324" s="3471">
        <v>646</v>
      </c>
      <c r="C324" s="3472" t="s">
        <v>3734</v>
      </c>
      <c r="D324" s="3475">
        <v>-3240</v>
      </c>
      <c r="E324" s="3473">
        <v>24.46</v>
      </c>
      <c r="F324" s="3472">
        <v>2.6</v>
      </c>
      <c r="G324" s="3474" t="s">
        <v>3408</v>
      </c>
      <c r="H324" s="3470">
        <f t="shared" si="10"/>
        <v>6760</v>
      </c>
    </row>
    <row r="325" spans="1:8" ht="83.25" thickBot="1">
      <c r="A325" s="3470">
        <f t="shared" si="11"/>
        <v>324</v>
      </c>
      <c r="B325" s="3471">
        <v>647</v>
      </c>
      <c r="C325" s="3472" t="s">
        <v>3734</v>
      </c>
      <c r="D325" s="3475">
        <v>-2001</v>
      </c>
      <c r="E325" s="3473">
        <v>37.700000000000003</v>
      </c>
      <c r="F325" s="3472">
        <v>4.01</v>
      </c>
      <c r="G325" s="3474" t="s">
        <v>3408</v>
      </c>
      <c r="H325" s="3470">
        <f t="shared" si="10"/>
        <v>7999</v>
      </c>
    </row>
    <row r="326" spans="1:8" ht="83.25" thickBot="1">
      <c r="A326" s="3470">
        <f t="shared" si="11"/>
        <v>325</v>
      </c>
      <c r="B326" s="3471">
        <v>648</v>
      </c>
      <c r="C326" s="3472" t="s">
        <v>3734</v>
      </c>
      <c r="D326" s="3475">
        <v>-2002</v>
      </c>
      <c r="E326" s="3473">
        <v>24.46</v>
      </c>
      <c r="F326" s="3472">
        <v>2.6</v>
      </c>
      <c r="G326" s="3474" t="s">
        <v>3408</v>
      </c>
      <c r="H326" s="3470">
        <f t="shared" si="10"/>
        <v>7998</v>
      </c>
    </row>
    <row r="327" spans="1:8" ht="83.25" thickBot="1">
      <c r="A327" s="3470">
        <f t="shared" si="11"/>
        <v>326</v>
      </c>
      <c r="B327" s="3483">
        <v>649</v>
      </c>
      <c r="C327" s="3484" t="s">
        <v>3734</v>
      </c>
      <c r="D327" s="3485">
        <v>-2003</v>
      </c>
      <c r="E327" s="3486">
        <v>37.700000000000003</v>
      </c>
      <c r="F327" s="3484">
        <v>4.01</v>
      </c>
      <c r="G327" s="3469" t="s">
        <v>3408</v>
      </c>
      <c r="H327" s="3470">
        <f t="shared" si="10"/>
        <v>7997</v>
      </c>
    </row>
    <row r="328" spans="1:8" ht="83.25" thickBot="1">
      <c r="A328" s="3470">
        <f t="shared" si="11"/>
        <v>327</v>
      </c>
      <c r="B328" s="3471">
        <v>650</v>
      </c>
      <c r="C328" s="3472" t="s">
        <v>3734</v>
      </c>
      <c r="D328" s="3475">
        <v>-2004</v>
      </c>
      <c r="E328" s="3473">
        <v>24.46</v>
      </c>
      <c r="F328" s="3472">
        <v>2.6</v>
      </c>
      <c r="G328" s="3474" t="s">
        <v>3408</v>
      </c>
      <c r="H328" s="3470">
        <f t="shared" si="10"/>
        <v>7996</v>
      </c>
    </row>
    <row r="329" spans="1:8" ht="83.25" thickBot="1">
      <c r="A329" s="3470">
        <f t="shared" si="11"/>
        <v>328</v>
      </c>
      <c r="B329" s="3471">
        <v>651</v>
      </c>
      <c r="C329" s="3472" t="s">
        <v>3734</v>
      </c>
      <c r="D329" s="3475">
        <v>-2005</v>
      </c>
      <c r="E329" s="3473">
        <v>24.46</v>
      </c>
      <c r="F329" s="3472">
        <v>2.6</v>
      </c>
      <c r="G329" s="3474" t="s">
        <v>3408</v>
      </c>
      <c r="H329" s="3470">
        <f t="shared" si="10"/>
        <v>7995</v>
      </c>
    </row>
    <row r="330" spans="1:8" ht="83.25" thickBot="1">
      <c r="A330" s="3470">
        <f t="shared" si="11"/>
        <v>329</v>
      </c>
      <c r="B330" s="3471">
        <v>652</v>
      </c>
      <c r="C330" s="3472" t="s">
        <v>3734</v>
      </c>
      <c r="D330" s="3475">
        <v>-2006</v>
      </c>
      <c r="E330" s="3473">
        <v>24.46</v>
      </c>
      <c r="F330" s="3472">
        <v>2.6</v>
      </c>
      <c r="G330" s="3474" t="s">
        <v>3408</v>
      </c>
      <c r="H330" s="3470">
        <f t="shared" si="10"/>
        <v>7994</v>
      </c>
    </row>
    <row r="331" spans="1:8" ht="83.25" thickBot="1">
      <c r="A331" s="3470">
        <f t="shared" si="11"/>
        <v>330</v>
      </c>
      <c r="B331" s="3471">
        <v>653</v>
      </c>
      <c r="C331" s="3472" t="s">
        <v>3734</v>
      </c>
      <c r="D331" s="3475">
        <v>-2007</v>
      </c>
      <c r="E331" s="3473">
        <v>24.46</v>
      </c>
      <c r="F331" s="3472">
        <v>2.6</v>
      </c>
      <c r="G331" s="3474" t="s">
        <v>3408</v>
      </c>
      <c r="H331" s="3470">
        <f t="shared" si="10"/>
        <v>7993</v>
      </c>
    </row>
    <row r="332" spans="1:8" ht="83.25" thickBot="1">
      <c r="A332" s="3470">
        <f t="shared" si="11"/>
        <v>331</v>
      </c>
      <c r="B332" s="3471">
        <v>654</v>
      </c>
      <c r="C332" s="3472" t="s">
        <v>3734</v>
      </c>
      <c r="D332" s="3475">
        <v>-2008</v>
      </c>
      <c r="E332" s="3473">
        <v>24.46</v>
      </c>
      <c r="F332" s="3472">
        <v>2.6</v>
      </c>
      <c r="G332" s="3474" t="s">
        <v>3408</v>
      </c>
      <c r="H332" s="3470">
        <f t="shared" si="10"/>
        <v>7992</v>
      </c>
    </row>
    <row r="333" spans="1:8" ht="83.25" thickBot="1">
      <c r="A333" s="3470">
        <f t="shared" si="11"/>
        <v>332</v>
      </c>
      <c r="B333" s="3471">
        <v>655</v>
      </c>
      <c r="C333" s="3472" t="s">
        <v>3734</v>
      </c>
      <c r="D333" s="3475">
        <v>-2009</v>
      </c>
      <c r="E333" s="3473">
        <v>24.46</v>
      </c>
      <c r="F333" s="3472">
        <v>2.6</v>
      </c>
      <c r="G333" s="3474" t="s">
        <v>3408</v>
      </c>
      <c r="H333" s="3470">
        <f t="shared" si="10"/>
        <v>7991</v>
      </c>
    </row>
    <row r="334" spans="1:8" s="3536" customFormat="1" ht="83.25" thickBot="1">
      <c r="A334" s="3536">
        <f t="shared" si="11"/>
        <v>333</v>
      </c>
      <c r="B334" s="3537">
        <v>656</v>
      </c>
      <c r="C334" s="3538" t="s">
        <v>3734</v>
      </c>
      <c r="D334" s="3539">
        <v>-201</v>
      </c>
      <c r="E334" s="3540">
        <v>4462.28</v>
      </c>
      <c r="F334" s="3538">
        <v>474.66</v>
      </c>
      <c r="G334" s="3541" t="s">
        <v>3408</v>
      </c>
      <c r="H334" s="3536">
        <f t="shared" si="10"/>
        <v>9799</v>
      </c>
    </row>
    <row r="335" spans="1:8" s="3487" customFormat="1" ht="83.25" thickBot="1">
      <c r="A335" s="3487">
        <f t="shared" si="11"/>
        <v>334</v>
      </c>
      <c r="B335" s="3488">
        <v>657</v>
      </c>
      <c r="C335" s="3489" t="s">
        <v>3738</v>
      </c>
      <c r="D335" s="3490">
        <f>-2-1</f>
        <v>-3</v>
      </c>
      <c r="E335" s="3491">
        <v>73.37</v>
      </c>
      <c r="F335" s="3489">
        <v>7.8</v>
      </c>
      <c r="G335" s="3492" t="s">
        <v>3408</v>
      </c>
      <c r="H335" s="3487">
        <f t="shared" si="10"/>
        <v>9997</v>
      </c>
    </row>
    <row r="336" spans="1:8" ht="83.25" thickBot="1">
      <c r="A336" s="3470">
        <f t="shared" si="11"/>
        <v>335</v>
      </c>
      <c r="B336" s="3471">
        <v>658</v>
      </c>
      <c r="C336" s="3472" t="s">
        <v>3734</v>
      </c>
      <c r="D336" s="3475">
        <v>-2010</v>
      </c>
      <c r="E336" s="3473">
        <v>24.46</v>
      </c>
      <c r="F336" s="3472">
        <v>2.6</v>
      </c>
      <c r="G336" s="3474" t="s">
        <v>3408</v>
      </c>
      <c r="H336" s="3470">
        <f t="shared" si="10"/>
        <v>7990</v>
      </c>
    </row>
    <row r="337" spans="1:8" ht="83.25" thickBot="1">
      <c r="A337" s="3470">
        <f t="shared" si="11"/>
        <v>336</v>
      </c>
      <c r="B337" s="3471">
        <v>659</v>
      </c>
      <c r="C337" s="3472" t="s">
        <v>3734</v>
      </c>
      <c r="D337" s="3475">
        <v>-2011</v>
      </c>
      <c r="E337" s="3473">
        <v>24.46</v>
      </c>
      <c r="F337" s="3472">
        <v>2.6</v>
      </c>
      <c r="G337" s="3474" t="s">
        <v>3408</v>
      </c>
      <c r="H337" s="3470">
        <f t="shared" si="10"/>
        <v>7989</v>
      </c>
    </row>
    <row r="338" spans="1:8" ht="83.25" thickBot="1">
      <c r="A338" s="3470">
        <f t="shared" si="11"/>
        <v>337</v>
      </c>
      <c r="B338" s="3471">
        <v>660</v>
      </c>
      <c r="C338" s="3472" t="s">
        <v>3734</v>
      </c>
      <c r="D338" s="3475">
        <v>-2012</v>
      </c>
      <c r="E338" s="3473">
        <v>24.46</v>
      </c>
      <c r="F338" s="3472">
        <v>2.6</v>
      </c>
      <c r="G338" s="3474" t="s">
        <v>3408</v>
      </c>
      <c r="H338" s="3470">
        <f t="shared" si="10"/>
        <v>7988</v>
      </c>
    </row>
    <row r="339" spans="1:8" ht="83.25" thickBot="1">
      <c r="A339" s="3470">
        <f t="shared" si="11"/>
        <v>338</v>
      </c>
      <c r="B339" s="3471">
        <v>661</v>
      </c>
      <c r="C339" s="3472" t="s">
        <v>3734</v>
      </c>
      <c r="D339" s="3475">
        <v>-2013</v>
      </c>
      <c r="E339" s="3473">
        <v>37.700000000000003</v>
      </c>
      <c r="F339" s="3472">
        <v>4.01</v>
      </c>
      <c r="G339" s="3474" t="s">
        <v>3408</v>
      </c>
      <c r="H339" s="3470">
        <f t="shared" si="10"/>
        <v>7987</v>
      </c>
    </row>
    <row r="340" spans="1:8" ht="83.25" thickBot="1">
      <c r="A340" s="3470">
        <f t="shared" si="11"/>
        <v>339</v>
      </c>
      <c r="B340" s="3471">
        <v>662</v>
      </c>
      <c r="C340" s="3472" t="s">
        <v>3734</v>
      </c>
      <c r="D340" s="3475">
        <v>-2014</v>
      </c>
      <c r="E340" s="3473">
        <v>24.46</v>
      </c>
      <c r="F340" s="3472">
        <v>2.6</v>
      </c>
      <c r="G340" s="3474" t="s">
        <v>3408</v>
      </c>
      <c r="H340" s="3470">
        <f t="shared" si="10"/>
        <v>7986</v>
      </c>
    </row>
    <row r="341" spans="1:8" ht="83.25" thickBot="1">
      <c r="A341" s="3470">
        <f t="shared" si="11"/>
        <v>340</v>
      </c>
      <c r="B341" s="3471">
        <v>663</v>
      </c>
      <c r="C341" s="3472" t="s">
        <v>3734</v>
      </c>
      <c r="D341" s="3475">
        <v>-2015</v>
      </c>
      <c r="E341" s="3473">
        <v>24.46</v>
      </c>
      <c r="F341" s="3472">
        <v>2.6</v>
      </c>
      <c r="G341" s="3474" t="s">
        <v>3408</v>
      </c>
      <c r="H341" s="3470">
        <f t="shared" si="10"/>
        <v>7985</v>
      </c>
    </row>
    <row r="342" spans="1:8" ht="83.25" thickBot="1">
      <c r="A342" s="3470">
        <f t="shared" si="11"/>
        <v>341</v>
      </c>
      <c r="B342" s="3471">
        <v>664</v>
      </c>
      <c r="C342" s="3472" t="s">
        <v>3734</v>
      </c>
      <c r="D342" s="3475">
        <v>-2016</v>
      </c>
      <c r="E342" s="3473">
        <v>24.46</v>
      </c>
      <c r="F342" s="3472">
        <v>2.6</v>
      </c>
      <c r="G342" s="3474" t="s">
        <v>3408</v>
      </c>
      <c r="H342" s="3470">
        <f t="shared" si="10"/>
        <v>7984</v>
      </c>
    </row>
    <row r="343" spans="1:8" ht="83.25" thickBot="1">
      <c r="A343" s="3470">
        <f t="shared" si="11"/>
        <v>342</v>
      </c>
      <c r="B343" s="3471">
        <v>665</v>
      </c>
      <c r="C343" s="3472" t="s">
        <v>3734</v>
      </c>
      <c r="D343" s="3475">
        <v>-2017</v>
      </c>
      <c r="E343" s="3473">
        <v>24.46</v>
      </c>
      <c r="F343" s="3472">
        <v>2.6</v>
      </c>
      <c r="G343" s="3474" t="s">
        <v>3408</v>
      </c>
      <c r="H343" s="3470">
        <f t="shared" si="10"/>
        <v>7983</v>
      </c>
    </row>
    <row r="344" spans="1:8" ht="83.25" thickBot="1">
      <c r="A344" s="3470">
        <f t="shared" si="11"/>
        <v>343</v>
      </c>
      <c r="B344" s="3471">
        <v>666</v>
      </c>
      <c r="C344" s="3472" t="s">
        <v>3734</v>
      </c>
      <c r="D344" s="3475">
        <v>-2018</v>
      </c>
      <c r="E344" s="3473">
        <v>24.46</v>
      </c>
      <c r="F344" s="3472">
        <v>2.6</v>
      </c>
      <c r="G344" s="3474" t="s">
        <v>3408</v>
      </c>
      <c r="H344" s="3470">
        <f t="shared" si="10"/>
        <v>7982</v>
      </c>
    </row>
    <row r="345" spans="1:8" ht="83.25" thickBot="1">
      <c r="A345" s="3470">
        <f t="shared" si="11"/>
        <v>344</v>
      </c>
      <c r="B345" s="3483">
        <v>667</v>
      </c>
      <c r="C345" s="3484" t="s">
        <v>3734</v>
      </c>
      <c r="D345" s="3485">
        <v>-2019</v>
      </c>
      <c r="E345" s="3486">
        <v>24.46</v>
      </c>
      <c r="F345" s="3484">
        <v>2.6</v>
      </c>
      <c r="G345" s="3469" t="s">
        <v>3408</v>
      </c>
      <c r="H345" s="3470">
        <f t="shared" si="10"/>
        <v>7981</v>
      </c>
    </row>
    <row r="346" spans="1:8" s="3487" customFormat="1" ht="83.25" thickBot="1">
      <c r="A346" s="3487">
        <f t="shared" si="11"/>
        <v>345</v>
      </c>
      <c r="B346" s="3488">
        <v>668</v>
      </c>
      <c r="C346" s="3489" t="s">
        <v>3738</v>
      </c>
      <c r="D346" s="3490">
        <f>-2-2</f>
        <v>-4</v>
      </c>
      <c r="E346" s="3491">
        <v>73.37</v>
      </c>
      <c r="F346" s="3489">
        <v>7.8</v>
      </c>
      <c r="G346" s="3492" t="s">
        <v>3408</v>
      </c>
      <c r="H346" s="3487">
        <f t="shared" si="10"/>
        <v>9996</v>
      </c>
    </row>
    <row r="347" spans="1:8" ht="83.25" thickBot="1">
      <c r="A347" s="3470">
        <f t="shared" si="11"/>
        <v>346</v>
      </c>
      <c r="B347" s="3471">
        <v>669</v>
      </c>
      <c r="C347" s="3472" t="s">
        <v>3734</v>
      </c>
      <c r="D347" s="3475">
        <v>-2020</v>
      </c>
      <c r="E347" s="3473">
        <v>24.46</v>
      </c>
      <c r="F347" s="3472">
        <v>2.6</v>
      </c>
      <c r="G347" s="3474" t="s">
        <v>3408</v>
      </c>
      <c r="H347" s="3470">
        <f t="shared" si="10"/>
        <v>7980</v>
      </c>
    </row>
    <row r="348" spans="1:8" ht="83.25" thickBot="1">
      <c r="A348" s="3470">
        <f t="shared" si="11"/>
        <v>347</v>
      </c>
      <c r="B348" s="3471">
        <v>670</v>
      </c>
      <c r="C348" s="3472" t="s">
        <v>3734</v>
      </c>
      <c r="D348" s="3475">
        <v>-2021</v>
      </c>
      <c r="E348" s="3473">
        <v>24.46</v>
      </c>
      <c r="F348" s="3472">
        <v>2.6</v>
      </c>
      <c r="G348" s="3474" t="s">
        <v>3408</v>
      </c>
      <c r="H348" s="3470">
        <f t="shared" si="10"/>
        <v>7979</v>
      </c>
    </row>
    <row r="349" spans="1:8" ht="83.25" thickBot="1">
      <c r="A349" s="3470">
        <f t="shared" si="11"/>
        <v>348</v>
      </c>
      <c r="B349" s="3471">
        <v>671</v>
      </c>
      <c r="C349" s="3472" t="s">
        <v>3734</v>
      </c>
      <c r="D349" s="3475">
        <v>-2022</v>
      </c>
      <c r="E349" s="3473">
        <v>24.46</v>
      </c>
      <c r="F349" s="3472">
        <v>2.6</v>
      </c>
      <c r="G349" s="3474" t="s">
        <v>3408</v>
      </c>
      <c r="H349" s="3470">
        <f t="shared" si="10"/>
        <v>7978</v>
      </c>
    </row>
    <row r="350" spans="1:8" ht="83.25" thickBot="1">
      <c r="A350" s="3470">
        <f t="shared" si="11"/>
        <v>349</v>
      </c>
      <c r="B350" s="3471">
        <v>672</v>
      </c>
      <c r="C350" s="3472" t="s">
        <v>3734</v>
      </c>
      <c r="D350" s="3475">
        <v>-2023</v>
      </c>
      <c r="E350" s="3473">
        <v>24.46</v>
      </c>
      <c r="F350" s="3472">
        <v>2.6</v>
      </c>
      <c r="G350" s="3474" t="s">
        <v>3408</v>
      </c>
      <c r="H350" s="3470">
        <f t="shared" si="10"/>
        <v>7977</v>
      </c>
    </row>
    <row r="351" spans="1:8" ht="83.25" thickBot="1">
      <c r="A351" s="3470">
        <f t="shared" si="11"/>
        <v>350</v>
      </c>
      <c r="B351" s="3471">
        <v>673</v>
      </c>
      <c r="C351" s="3472" t="s">
        <v>3734</v>
      </c>
      <c r="D351" s="3475">
        <v>-2024</v>
      </c>
      <c r="E351" s="3473">
        <v>24.46</v>
      </c>
      <c r="F351" s="3472">
        <v>2.6</v>
      </c>
      <c r="G351" s="3474" t="s">
        <v>3408</v>
      </c>
      <c r="H351" s="3470">
        <f t="shared" si="10"/>
        <v>7976</v>
      </c>
    </row>
    <row r="352" spans="1:8" ht="83.25" thickBot="1">
      <c r="A352" s="3470">
        <f t="shared" si="11"/>
        <v>351</v>
      </c>
      <c r="B352" s="3471">
        <v>674</v>
      </c>
      <c r="C352" s="3472" t="s">
        <v>3734</v>
      </c>
      <c r="D352" s="3475">
        <v>-2025</v>
      </c>
      <c r="E352" s="3473">
        <v>24.46</v>
      </c>
      <c r="F352" s="3472">
        <v>2.6</v>
      </c>
      <c r="G352" s="3474" t="s">
        <v>3408</v>
      </c>
      <c r="H352" s="3470">
        <f t="shared" si="10"/>
        <v>7975</v>
      </c>
    </row>
    <row r="353" spans="1:8" ht="83.25" thickBot="1">
      <c r="A353" s="3470">
        <f t="shared" si="11"/>
        <v>352</v>
      </c>
      <c r="B353" s="3471">
        <v>675</v>
      </c>
      <c r="C353" s="3472" t="s">
        <v>3734</v>
      </c>
      <c r="D353" s="3475">
        <v>-2026</v>
      </c>
      <c r="E353" s="3473">
        <v>48.91</v>
      </c>
      <c r="F353" s="3472">
        <v>5.2</v>
      </c>
      <c r="G353" s="3474" t="s">
        <v>3408</v>
      </c>
      <c r="H353" s="3470">
        <f t="shared" si="10"/>
        <v>7974</v>
      </c>
    </row>
    <row r="354" spans="1:8" ht="83.25" thickBot="1">
      <c r="A354" s="3470">
        <f t="shared" si="11"/>
        <v>353</v>
      </c>
      <c r="B354" s="3471">
        <v>676</v>
      </c>
      <c r="C354" s="3472" t="s">
        <v>3734</v>
      </c>
      <c r="D354" s="3475">
        <v>-2027</v>
      </c>
      <c r="E354" s="3473">
        <v>48.91</v>
      </c>
      <c r="F354" s="3472">
        <v>5.2</v>
      </c>
      <c r="G354" s="3474" t="s">
        <v>3408</v>
      </c>
      <c r="H354" s="3470">
        <f t="shared" si="10"/>
        <v>7973</v>
      </c>
    </row>
    <row r="355" spans="1:8" ht="83.25" thickBot="1">
      <c r="A355" s="3470">
        <f t="shared" si="11"/>
        <v>354</v>
      </c>
      <c r="B355" s="3471">
        <v>677</v>
      </c>
      <c r="C355" s="3472" t="s">
        <v>3734</v>
      </c>
      <c r="D355" s="3475">
        <v>-2028</v>
      </c>
      <c r="E355" s="3473">
        <v>24.46</v>
      </c>
      <c r="F355" s="3472">
        <v>2.6</v>
      </c>
      <c r="G355" s="3474" t="s">
        <v>3408</v>
      </c>
      <c r="H355" s="3470">
        <f t="shared" si="10"/>
        <v>7972</v>
      </c>
    </row>
    <row r="356" spans="1:8" ht="83.25" thickBot="1">
      <c r="A356" s="3470">
        <f t="shared" si="11"/>
        <v>355</v>
      </c>
      <c r="B356" s="3471">
        <v>678</v>
      </c>
      <c r="C356" s="3472" t="s">
        <v>3734</v>
      </c>
      <c r="D356" s="3475">
        <v>-2029</v>
      </c>
      <c r="E356" s="3473">
        <v>48.91</v>
      </c>
      <c r="F356" s="3472">
        <v>5.2</v>
      </c>
      <c r="G356" s="3474" t="s">
        <v>3408</v>
      </c>
      <c r="H356" s="3470">
        <f t="shared" si="10"/>
        <v>7971</v>
      </c>
    </row>
    <row r="357" spans="1:8" s="3493" customFormat="1" ht="83.25" thickBot="1">
      <c r="A357" s="3493">
        <f t="shared" si="11"/>
        <v>356</v>
      </c>
      <c r="B357" s="3494">
        <v>679</v>
      </c>
      <c r="C357" s="3495" t="s">
        <v>3738</v>
      </c>
      <c r="D357" s="3496">
        <f>-2-3</f>
        <v>-5</v>
      </c>
      <c r="E357" s="3497">
        <v>73.37</v>
      </c>
      <c r="F357" s="3495">
        <v>7.8</v>
      </c>
      <c r="G357" s="3498" t="s">
        <v>3408</v>
      </c>
      <c r="H357" s="3493">
        <f t="shared" si="10"/>
        <v>9995</v>
      </c>
    </row>
    <row r="358" spans="1:8" ht="83.25" thickBot="1">
      <c r="A358" s="3470">
        <f t="shared" si="11"/>
        <v>357</v>
      </c>
      <c r="B358" s="3471">
        <v>680</v>
      </c>
      <c r="C358" s="3472" t="s">
        <v>3734</v>
      </c>
      <c r="D358" s="3475">
        <v>-2030</v>
      </c>
      <c r="E358" s="3473">
        <v>48.91</v>
      </c>
      <c r="F358" s="3472">
        <v>5.2</v>
      </c>
      <c r="G358" s="3474" t="s">
        <v>3408</v>
      </c>
      <c r="H358" s="3470">
        <f t="shared" si="10"/>
        <v>7970</v>
      </c>
    </row>
    <row r="359" spans="1:8" ht="83.25" thickBot="1">
      <c r="A359" s="3470">
        <f t="shared" si="11"/>
        <v>358</v>
      </c>
      <c r="B359" s="3471">
        <v>681</v>
      </c>
      <c r="C359" s="3472" t="s">
        <v>3734</v>
      </c>
      <c r="D359" s="3475">
        <v>-2031</v>
      </c>
      <c r="E359" s="3473">
        <v>24.46</v>
      </c>
      <c r="F359" s="3472">
        <v>2.6</v>
      </c>
      <c r="G359" s="3474" t="s">
        <v>3408</v>
      </c>
      <c r="H359" s="3470">
        <f t="shared" si="10"/>
        <v>7969</v>
      </c>
    </row>
    <row r="360" spans="1:8" ht="83.25" thickBot="1">
      <c r="A360" s="3470">
        <f t="shared" si="11"/>
        <v>359</v>
      </c>
      <c r="B360" s="3471">
        <v>682</v>
      </c>
      <c r="C360" s="3472" t="s">
        <v>3734</v>
      </c>
      <c r="D360" s="3475">
        <v>-2032</v>
      </c>
      <c r="E360" s="3473">
        <v>24.46</v>
      </c>
      <c r="F360" s="3472">
        <v>2.6</v>
      </c>
      <c r="G360" s="3474" t="s">
        <v>3408</v>
      </c>
      <c r="H360" s="3470">
        <f t="shared" si="10"/>
        <v>7968</v>
      </c>
    </row>
    <row r="361" spans="1:8" ht="83.25" thickBot="1">
      <c r="A361" s="3470">
        <f t="shared" si="11"/>
        <v>360</v>
      </c>
      <c r="B361" s="3471">
        <v>683</v>
      </c>
      <c r="C361" s="3472" t="s">
        <v>3734</v>
      </c>
      <c r="D361" s="3475">
        <v>-2033</v>
      </c>
      <c r="E361" s="3473">
        <v>24.46</v>
      </c>
      <c r="F361" s="3472">
        <v>2.6</v>
      </c>
      <c r="G361" s="3474" t="s">
        <v>3408</v>
      </c>
      <c r="H361" s="3470">
        <f t="shared" si="10"/>
        <v>7967</v>
      </c>
    </row>
    <row r="362" spans="1:8" ht="83.25" thickBot="1">
      <c r="A362" s="3470">
        <f t="shared" si="11"/>
        <v>361</v>
      </c>
      <c r="B362" s="3471">
        <v>684</v>
      </c>
      <c r="C362" s="3472" t="s">
        <v>3734</v>
      </c>
      <c r="D362" s="3475">
        <v>-2034</v>
      </c>
      <c r="E362" s="3473">
        <v>48.91</v>
      </c>
      <c r="F362" s="3472">
        <v>5.2</v>
      </c>
      <c r="G362" s="3474" t="s">
        <v>3408</v>
      </c>
      <c r="H362" s="3470">
        <f t="shared" si="10"/>
        <v>7966</v>
      </c>
    </row>
    <row r="363" spans="1:8" ht="83.25" thickBot="1">
      <c r="A363" s="3470">
        <f t="shared" si="11"/>
        <v>362</v>
      </c>
      <c r="B363" s="3483">
        <v>685</v>
      </c>
      <c r="C363" s="3484" t="s">
        <v>3734</v>
      </c>
      <c r="D363" s="3485">
        <v>-2035</v>
      </c>
      <c r="E363" s="3486">
        <v>48.91</v>
      </c>
      <c r="F363" s="3484">
        <v>5.2</v>
      </c>
      <c r="G363" s="3469" t="s">
        <v>3408</v>
      </c>
      <c r="H363" s="3470">
        <f t="shared" si="10"/>
        <v>7965</v>
      </c>
    </row>
    <row r="364" spans="1:8" ht="83.25" thickBot="1">
      <c r="A364" s="3470">
        <f t="shared" si="11"/>
        <v>363</v>
      </c>
      <c r="B364" s="3471">
        <v>686</v>
      </c>
      <c r="C364" s="3472" t="s">
        <v>3734</v>
      </c>
      <c r="D364" s="3475">
        <v>-2036</v>
      </c>
      <c r="E364" s="3473">
        <v>24.46</v>
      </c>
      <c r="F364" s="3472">
        <v>2.6</v>
      </c>
      <c r="G364" s="3474" t="s">
        <v>3408</v>
      </c>
      <c r="H364" s="3470">
        <f t="shared" si="10"/>
        <v>7964</v>
      </c>
    </row>
    <row r="365" spans="1:8" ht="83.25" thickBot="1">
      <c r="A365" s="3470">
        <f t="shared" si="11"/>
        <v>364</v>
      </c>
      <c r="B365" s="3471">
        <v>687</v>
      </c>
      <c r="C365" s="3472" t="s">
        <v>3734</v>
      </c>
      <c r="D365" s="3475">
        <v>-2037</v>
      </c>
      <c r="E365" s="3473">
        <v>24.46</v>
      </c>
      <c r="F365" s="3472">
        <v>2.6</v>
      </c>
      <c r="G365" s="3474" t="s">
        <v>3408</v>
      </c>
      <c r="H365" s="3470">
        <f t="shared" si="10"/>
        <v>7963</v>
      </c>
    </row>
    <row r="366" spans="1:8" ht="83.25" thickBot="1">
      <c r="A366" s="3470">
        <f t="shared" si="11"/>
        <v>365</v>
      </c>
      <c r="B366" s="3471">
        <v>688</v>
      </c>
      <c r="C366" s="3472" t="s">
        <v>3734</v>
      </c>
      <c r="D366" s="3475">
        <v>-2038</v>
      </c>
      <c r="E366" s="3473">
        <v>24.46</v>
      </c>
      <c r="F366" s="3472">
        <v>2.6</v>
      </c>
      <c r="G366" s="3474" t="s">
        <v>3408</v>
      </c>
      <c r="H366" s="3470">
        <f t="shared" si="10"/>
        <v>7962</v>
      </c>
    </row>
    <row r="367" spans="1:8" ht="83.25" thickBot="1">
      <c r="A367" s="3470">
        <f t="shared" si="11"/>
        <v>366</v>
      </c>
      <c r="B367" s="3471">
        <v>689</v>
      </c>
      <c r="C367" s="3472" t="s">
        <v>3734</v>
      </c>
      <c r="D367" s="3475">
        <v>-2039</v>
      </c>
      <c r="E367" s="3473">
        <v>34.590000000000003</v>
      </c>
      <c r="F367" s="3472">
        <v>3.68</v>
      </c>
      <c r="G367" s="3474" t="s">
        <v>3408</v>
      </c>
      <c r="H367" s="3470">
        <f t="shared" si="10"/>
        <v>7961</v>
      </c>
    </row>
    <row r="368" spans="1:8" s="3493" customFormat="1" ht="83.25" thickBot="1">
      <c r="A368" s="3493">
        <f t="shared" si="11"/>
        <v>367</v>
      </c>
      <c r="B368" s="3494">
        <v>690</v>
      </c>
      <c r="C368" s="3495" t="s">
        <v>3738</v>
      </c>
      <c r="D368" s="3496">
        <f>-2-4</f>
        <v>-6</v>
      </c>
      <c r="E368" s="3497">
        <v>195.65</v>
      </c>
      <c r="F368" s="3495">
        <v>20.81</v>
      </c>
      <c r="G368" s="3498" t="s">
        <v>3408</v>
      </c>
      <c r="H368" s="3493">
        <f t="shared" si="10"/>
        <v>9994</v>
      </c>
    </row>
    <row r="369" spans="1:8" ht="83.25" thickBot="1">
      <c r="A369" s="3470">
        <f t="shared" si="11"/>
        <v>368</v>
      </c>
      <c r="B369" s="3471">
        <v>691</v>
      </c>
      <c r="C369" s="3472" t="s">
        <v>3734</v>
      </c>
      <c r="D369" s="3475">
        <v>-2040</v>
      </c>
      <c r="E369" s="3473">
        <v>24.46</v>
      </c>
      <c r="F369" s="3472">
        <v>2.6</v>
      </c>
      <c r="G369" s="3474" t="s">
        <v>3408</v>
      </c>
      <c r="H369" s="3470">
        <f t="shared" si="10"/>
        <v>7960</v>
      </c>
    </row>
    <row r="370" spans="1:8" ht="83.25" thickBot="1">
      <c r="A370" s="3470">
        <f t="shared" si="11"/>
        <v>369</v>
      </c>
      <c r="B370" s="3471">
        <v>692</v>
      </c>
      <c r="C370" s="3472" t="s">
        <v>3734</v>
      </c>
      <c r="D370" s="3475">
        <v>-2041</v>
      </c>
      <c r="E370" s="3473">
        <v>24.46</v>
      </c>
      <c r="F370" s="3472">
        <v>2.6</v>
      </c>
      <c r="G370" s="3474" t="s">
        <v>3408</v>
      </c>
      <c r="H370" s="3470">
        <f t="shared" si="10"/>
        <v>7959</v>
      </c>
    </row>
    <row r="371" spans="1:8" ht="83.25" thickBot="1">
      <c r="A371" s="3470">
        <f t="shared" si="11"/>
        <v>370</v>
      </c>
      <c r="B371" s="3471">
        <v>693</v>
      </c>
      <c r="C371" s="3472" t="s">
        <v>3734</v>
      </c>
      <c r="D371" s="3475">
        <v>-2042</v>
      </c>
      <c r="E371" s="3473">
        <v>37.700000000000003</v>
      </c>
      <c r="F371" s="3472">
        <v>4.01</v>
      </c>
      <c r="G371" s="3474" t="s">
        <v>3408</v>
      </c>
      <c r="H371" s="3470">
        <f t="shared" si="10"/>
        <v>7958</v>
      </c>
    </row>
    <row r="372" spans="1:8" ht="83.25" thickBot="1">
      <c r="A372" s="3470">
        <f t="shared" si="11"/>
        <v>371</v>
      </c>
      <c r="B372" s="3471">
        <v>694</v>
      </c>
      <c r="C372" s="3472" t="s">
        <v>3734</v>
      </c>
      <c r="D372" s="3475">
        <v>-2043</v>
      </c>
      <c r="E372" s="3473">
        <v>24.46</v>
      </c>
      <c r="F372" s="3472">
        <v>2.6</v>
      </c>
      <c r="G372" s="3474" t="s">
        <v>3408</v>
      </c>
      <c r="H372" s="3470">
        <f t="shared" si="10"/>
        <v>7957</v>
      </c>
    </row>
    <row r="373" spans="1:8" ht="83.25" thickBot="1">
      <c r="A373" s="3470">
        <f t="shared" si="11"/>
        <v>372</v>
      </c>
      <c r="B373" s="3471">
        <v>695</v>
      </c>
      <c r="C373" s="3472" t="s">
        <v>3734</v>
      </c>
      <c r="D373" s="3475">
        <v>-2044</v>
      </c>
      <c r="E373" s="3473">
        <v>37.700000000000003</v>
      </c>
      <c r="F373" s="3472">
        <v>4.01</v>
      </c>
      <c r="G373" s="3474" t="s">
        <v>3408</v>
      </c>
      <c r="H373" s="3470">
        <f t="shared" si="10"/>
        <v>7956</v>
      </c>
    </row>
    <row r="374" spans="1:8" ht="83.25" thickBot="1">
      <c r="A374" s="3470">
        <f t="shared" si="11"/>
        <v>373</v>
      </c>
      <c r="B374" s="3471">
        <v>696</v>
      </c>
      <c r="C374" s="3472" t="s">
        <v>3734</v>
      </c>
      <c r="D374" s="3475">
        <v>-2045</v>
      </c>
      <c r="E374" s="3473">
        <v>24.46</v>
      </c>
      <c r="F374" s="3472">
        <v>2.6</v>
      </c>
      <c r="G374" s="3474" t="s">
        <v>3408</v>
      </c>
      <c r="H374" s="3470">
        <f t="shared" si="10"/>
        <v>7955</v>
      </c>
    </row>
    <row r="375" spans="1:8" ht="83.25" thickBot="1">
      <c r="A375" s="3470">
        <f t="shared" si="11"/>
        <v>374</v>
      </c>
      <c r="B375" s="3471">
        <v>697</v>
      </c>
      <c r="C375" s="3472" t="s">
        <v>3734</v>
      </c>
      <c r="D375" s="3475">
        <v>-2046</v>
      </c>
      <c r="E375" s="3473">
        <v>24.46</v>
      </c>
      <c r="F375" s="3472">
        <v>2.6</v>
      </c>
      <c r="G375" s="3474" t="s">
        <v>3408</v>
      </c>
      <c r="H375" s="3470">
        <f t="shared" si="10"/>
        <v>7954</v>
      </c>
    </row>
    <row r="376" spans="1:8" ht="83.25" thickBot="1">
      <c r="A376" s="3470">
        <f t="shared" si="11"/>
        <v>375</v>
      </c>
      <c r="B376" s="3471">
        <v>698</v>
      </c>
      <c r="C376" s="3472" t="s">
        <v>3734</v>
      </c>
      <c r="D376" s="3475">
        <v>-2047</v>
      </c>
      <c r="E376" s="3473">
        <v>24.46</v>
      </c>
      <c r="F376" s="3472">
        <v>2.6</v>
      </c>
      <c r="G376" s="3474" t="s">
        <v>3408</v>
      </c>
      <c r="H376" s="3470">
        <f t="shared" si="10"/>
        <v>7953</v>
      </c>
    </row>
    <row r="377" spans="1:8" ht="83.25" thickBot="1">
      <c r="A377" s="3470">
        <f t="shared" si="11"/>
        <v>376</v>
      </c>
      <c r="B377" s="3471">
        <v>699</v>
      </c>
      <c r="C377" s="3472" t="s">
        <v>3734</v>
      </c>
      <c r="D377" s="3475">
        <v>-2048</v>
      </c>
      <c r="E377" s="3473">
        <v>24.46</v>
      </c>
      <c r="F377" s="3472">
        <v>2.6</v>
      </c>
      <c r="G377" s="3474" t="s">
        <v>3408</v>
      </c>
      <c r="H377" s="3470">
        <f t="shared" si="10"/>
        <v>7952</v>
      </c>
    </row>
    <row r="378" spans="1:8" ht="83.25" thickBot="1">
      <c r="A378" s="3470">
        <f t="shared" si="11"/>
        <v>377</v>
      </c>
      <c r="B378" s="3471">
        <v>700</v>
      </c>
      <c r="C378" s="3472" t="s">
        <v>3734</v>
      </c>
      <c r="D378" s="3475">
        <v>-2049</v>
      </c>
      <c r="E378" s="3473">
        <v>24.46</v>
      </c>
      <c r="F378" s="3472">
        <v>2.6</v>
      </c>
      <c r="G378" s="3474" t="s">
        <v>3408</v>
      </c>
      <c r="H378" s="3470">
        <f t="shared" si="10"/>
        <v>7951</v>
      </c>
    </row>
    <row r="379" spans="1:8" ht="83.25" thickBot="1">
      <c r="A379" s="3470">
        <f t="shared" si="11"/>
        <v>378</v>
      </c>
      <c r="B379" s="3471">
        <v>701</v>
      </c>
      <c r="C379" s="3472" t="s">
        <v>3734</v>
      </c>
      <c r="D379" s="3475">
        <f>-2-5</f>
        <v>-7</v>
      </c>
      <c r="E379" s="3473">
        <v>146.74</v>
      </c>
      <c r="F379" s="3472">
        <v>15.61</v>
      </c>
      <c r="G379" s="3474" t="s">
        <v>3408</v>
      </c>
      <c r="H379" s="3470">
        <f t="shared" si="10"/>
        <v>9993</v>
      </c>
    </row>
    <row r="380" spans="1:8" ht="83.25" thickBot="1">
      <c r="A380" s="3470">
        <f t="shared" si="11"/>
        <v>379</v>
      </c>
      <c r="B380" s="3471">
        <v>702</v>
      </c>
      <c r="C380" s="3472" t="s">
        <v>3734</v>
      </c>
      <c r="D380" s="3475">
        <v>-2050</v>
      </c>
      <c r="E380" s="3473">
        <v>24.46</v>
      </c>
      <c r="F380" s="3472">
        <v>2.6</v>
      </c>
      <c r="G380" s="3474" t="s">
        <v>3408</v>
      </c>
      <c r="H380" s="3470">
        <f t="shared" si="10"/>
        <v>7950</v>
      </c>
    </row>
    <row r="381" spans="1:8" ht="83.25" thickBot="1">
      <c r="A381" s="3470">
        <f t="shared" si="11"/>
        <v>380</v>
      </c>
      <c r="B381" s="3483">
        <v>703</v>
      </c>
      <c r="C381" s="3484" t="s">
        <v>3734</v>
      </c>
      <c r="D381" s="3485">
        <v>-2051</v>
      </c>
      <c r="E381" s="3486">
        <v>24.46</v>
      </c>
      <c r="F381" s="3484">
        <v>2.6</v>
      </c>
      <c r="G381" s="3469" t="s">
        <v>3408</v>
      </c>
      <c r="H381" s="3470">
        <f t="shared" si="10"/>
        <v>7949</v>
      </c>
    </row>
    <row r="382" spans="1:8" ht="83.25" thickBot="1">
      <c r="A382" s="3470">
        <f t="shared" si="11"/>
        <v>381</v>
      </c>
      <c r="B382" s="3471">
        <v>704</v>
      </c>
      <c r="C382" s="3472" t="s">
        <v>3734</v>
      </c>
      <c r="D382" s="3475">
        <v>-2052</v>
      </c>
      <c r="E382" s="3473">
        <v>37.700000000000003</v>
      </c>
      <c r="F382" s="3472">
        <v>4.01</v>
      </c>
      <c r="G382" s="3474" t="s">
        <v>3408</v>
      </c>
      <c r="H382" s="3470">
        <f t="shared" si="10"/>
        <v>7948</v>
      </c>
    </row>
    <row r="383" spans="1:8" ht="83.25" thickBot="1">
      <c r="A383" s="3470">
        <f t="shared" si="11"/>
        <v>382</v>
      </c>
      <c r="B383" s="3471">
        <v>705</v>
      </c>
      <c r="C383" s="3472" t="s">
        <v>3734</v>
      </c>
      <c r="D383" s="3475">
        <v>-2053</v>
      </c>
      <c r="E383" s="3473">
        <v>24.46</v>
      </c>
      <c r="F383" s="3472">
        <v>2.6</v>
      </c>
      <c r="G383" s="3474" t="s">
        <v>3408</v>
      </c>
      <c r="H383" s="3470">
        <f t="shared" si="10"/>
        <v>7947</v>
      </c>
    </row>
    <row r="384" spans="1:8" ht="83.25" thickBot="1">
      <c r="A384" s="3470">
        <f t="shared" si="11"/>
        <v>383</v>
      </c>
      <c r="B384" s="3471">
        <v>706</v>
      </c>
      <c r="C384" s="3472" t="s">
        <v>3734</v>
      </c>
      <c r="D384" s="3475">
        <v>-2054</v>
      </c>
      <c r="E384" s="3473">
        <v>24.46</v>
      </c>
      <c r="F384" s="3472">
        <v>2.6</v>
      </c>
      <c r="G384" s="3474" t="s">
        <v>3408</v>
      </c>
      <c r="H384" s="3470">
        <f t="shared" si="10"/>
        <v>7946</v>
      </c>
    </row>
    <row r="385" spans="1:8" ht="83.25" thickBot="1">
      <c r="A385" s="3470">
        <f t="shared" si="11"/>
        <v>384</v>
      </c>
      <c r="B385" s="3471">
        <v>707</v>
      </c>
      <c r="C385" s="3472" t="s">
        <v>3734</v>
      </c>
      <c r="D385" s="3475">
        <v>-2055</v>
      </c>
      <c r="E385" s="3473">
        <v>24.46</v>
      </c>
      <c r="F385" s="3472">
        <v>2.6</v>
      </c>
      <c r="G385" s="3474" t="s">
        <v>3408</v>
      </c>
      <c r="H385" s="3470">
        <f t="shared" si="10"/>
        <v>7945</v>
      </c>
    </row>
    <row r="386" spans="1:8" ht="83.25" thickBot="1">
      <c r="A386" s="3470">
        <f t="shared" si="11"/>
        <v>385</v>
      </c>
      <c r="B386" s="3471">
        <v>708</v>
      </c>
      <c r="C386" s="3472" t="s">
        <v>3734</v>
      </c>
      <c r="D386" s="3475">
        <v>-2056</v>
      </c>
      <c r="E386" s="3473">
        <v>24.46</v>
      </c>
      <c r="F386" s="3472">
        <v>2.6</v>
      </c>
      <c r="G386" s="3474" t="s">
        <v>3408</v>
      </c>
      <c r="H386" s="3470">
        <f t="shared" si="10"/>
        <v>7944</v>
      </c>
    </row>
    <row r="387" spans="1:8" ht="83.25" thickBot="1">
      <c r="A387" s="3470">
        <f t="shared" si="11"/>
        <v>386</v>
      </c>
      <c r="B387" s="3471">
        <v>709</v>
      </c>
      <c r="C387" s="3472" t="s">
        <v>3734</v>
      </c>
      <c r="D387" s="3475">
        <v>-2057</v>
      </c>
      <c r="E387" s="3473">
        <v>24.46</v>
      </c>
      <c r="F387" s="3472">
        <v>2.6</v>
      </c>
      <c r="G387" s="3474" t="s">
        <v>3408</v>
      </c>
      <c r="H387" s="3470">
        <f t="shared" ref="H387:H413" si="12">10000+D387</f>
        <v>7943</v>
      </c>
    </row>
    <row r="388" spans="1:8" ht="83.25" thickBot="1">
      <c r="A388" s="3470">
        <f t="shared" ref="A388:A413" si="13">A387+1</f>
        <v>387</v>
      </c>
      <c r="B388" s="3471">
        <v>710</v>
      </c>
      <c r="C388" s="3472" t="s">
        <v>3734</v>
      </c>
      <c r="D388" s="3475">
        <v>-2058</v>
      </c>
      <c r="E388" s="3473">
        <v>24.46</v>
      </c>
      <c r="F388" s="3472">
        <v>2.6</v>
      </c>
      <c r="G388" s="3474" t="s">
        <v>3408</v>
      </c>
      <c r="H388" s="3470">
        <f t="shared" si="12"/>
        <v>7942</v>
      </c>
    </row>
    <row r="389" spans="1:8" ht="83.25" thickBot="1">
      <c r="A389" s="3470">
        <f t="shared" si="13"/>
        <v>388</v>
      </c>
      <c r="B389" s="3471">
        <v>711</v>
      </c>
      <c r="C389" s="3472" t="s">
        <v>3734</v>
      </c>
      <c r="D389" s="3475">
        <v>-2059</v>
      </c>
      <c r="E389" s="3473">
        <v>24.46</v>
      </c>
      <c r="F389" s="3472">
        <v>2.6</v>
      </c>
      <c r="G389" s="3474" t="s">
        <v>3408</v>
      </c>
      <c r="H389" s="3470">
        <f t="shared" si="12"/>
        <v>7941</v>
      </c>
    </row>
    <row r="390" spans="1:8" ht="83.25" thickBot="1">
      <c r="A390" s="3470">
        <f t="shared" si="13"/>
        <v>389</v>
      </c>
      <c r="B390" s="3471">
        <v>712</v>
      </c>
      <c r="C390" s="3472" t="s">
        <v>3734</v>
      </c>
      <c r="D390" s="3475">
        <f>-2-6</f>
        <v>-8</v>
      </c>
      <c r="E390" s="3473">
        <v>146.74</v>
      </c>
      <c r="F390" s="3472">
        <v>15.61</v>
      </c>
      <c r="G390" s="3474" t="s">
        <v>3408</v>
      </c>
      <c r="H390" s="3470">
        <f t="shared" si="12"/>
        <v>9992</v>
      </c>
    </row>
    <row r="391" spans="1:8" ht="83.25" thickBot="1">
      <c r="A391" s="3470">
        <f t="shared" si="13"/>
        <v>390</v>
      </c>
      <c r="B391" s="3471">
        <v>713</v>
      </c>
      <c r="C391" s="3472" t="s">
        <v>3734</v>
      </c>
      <c r="D391" s="3475">
        <v>-2060</v>
      </c>
      <c r="E391" s="3473">
        <v>24.46</v>
      </c>
      <c r="F391" s="3472">
        <v>2.6</v>
      </c>
      <c r="G391" s="3474" t="s">
        <v>3408</v>
      </c>
      <c r="H391" s="3470">
        <f t="shared" si="12"/>
        <v>7940</v>
      </c>
    </row>
    <row r="392" spans="1:8" ht="83.25" thickBot="1">
      <c r="A392" s="3470">
        <f t="shared" si="13"/>
        <v>391</v>
      </c>
      <c r="B392" s="3471">
        <v>714</v>
      </c>
      <c r="C392" s="3472" t="s">
        <v>3734</v>
      </c>
      <c r="D392" s="3475">
        <v>-2061</v>
      </c>
      <c r="E392" s="3473">
        <v>24.46</v>
      </c>
      <c r="F392" s="3472">
        <v>2.6</v>
      </c>
      <c r="G392" s="3474" t="s">
        <v>3408</v>
      </c>
      <c r="H392" s="3470">
        <f t="shared" si="12"/>
        <v>7939</v>
      </c>
    </row>
    <row r="393" spans="1:8" ht="83.25" thickBot="1">
      <c r="A393" s="3470">
        <f t="shared" si="13"/>
        <v>392</v>
      </c>
      <c r="B393" s="3471">
        <v>715</v>
      </c>
      <c r="C393" s="3472" t="s">
        <v>3734</v>
      </c>
      <c r="D393" s="3475">
        <v>-2062</v>
      </c>
      <c r="E393" s="3473">
        <v>24.46</v>
      </c>
      <c r="F393" s="3472">
        <v>2.6</v>
      </c>
      <c r="G393" s="3474" t="s">
        <v>3408</v>
      </c>
      <c r="H393" s="3470">
        <f t="shared" si="12"/>
        <v>7938</v>
      </c>
    </row>
    <row r="394" spans="1:8" ht="83.25" thickBot="1">
      <c r="A394" s="3470">
        <f t="shared" si="13"/>
        <v>393</v>
      </c>
      <c r="B394" s="3471">
        <v>716</v>
      </c>
      <c r="C394" s="3472" t="s">
        <v>3734</v>
      </c>
      <c r="D394" s="3475">
        <v>-2063</v>
      </c>
      <c r="E394" s="3473">
        <v>24.46</v>
      </c>
      <c r="F394" s="3472">
        <v>2.6</v>
      </c>
      <c r="G394" s="3474" t="s">
        <v>3408</v>
      </c>
      <c r="H394" s="3470">
        <f t="shared" si="12"/>
        <v>7937</v>
      </c>
    </row>
    <row r="395" spans="1:8" ht="83.25" thickBot="1">
      <c r="A395" s="3470">
        <f t="shared" si="13"/>
        <v>394</v>
      </c>
      <c r="B395" s="3471">
        <v>717</v>
      </c>
      <c r="C395" s="3472" t="s">
        <v>3734</v>
      </c>
      <c r="D395" s="3475">
        <v>-2064</v>
      </c>
      <c r="E395" s="3473">
        <v>24.46</v>
      </c>
      <c r="F395" s="3472">
        <v>2.6</v>
      </c>
      <c r="G395" s="3474" t="s">
        <v>3408</v>
      </c>
      <c r="H395" s="3470">
        <f t="shared" si="12"/>
        <v>7936</v>
      </c>
    </row>
    <row r="396" spans="1:8" ht="83.25" thickBot="1">
      <c r="A396" s="3470">
        <f t="shared" si="13"/>
        <v>395</v>
      </c>
      <c r="B396" s="3471">
        <v>718</v>
      </c>
      <c r="C396" s="3472" t="s">
        <v>3734</v>
      </c>
      <c r="D396" s="3475">
        <v>-2065</v>
      </c>
      <c r="E396" s="3473">
        <v>24.46</v>
      </c>
      <c r="F396" s="3472">
        <v>2.6</v>
      </c>
      <c r="G396" s="3474" t="s">
        <v>3408</v>
      </c>
      <c r="H396" s="3470">
        <f t="shared" si="12"/>
        <v>7935</v>
      </c>
    </row>
    <row r="397" spans="1:8" ht="83.25" thickBot="1">
      <c r="A397" s="3470">
        <f t="shared" si="13"/>
        <v>396</v>
      </c>
      <c r="B397" s="3471">
        <v>719</v>
      </c>
      <c r="C397" s="3472" t="s">
        <v>3734</v>
      </c>
      <c r="D397" s="3475">
        <v>-2066</v>
      </c>
      <c r="E397" s="3473">
        <v>24.46</v>
      </c>
      <c r="F397" s="3472">
        <v>2.6</v>
      </c>
      <c r="G397" s="3474" t="s">
        <v>3408</v>
      </c>
      <c r="H397" s="3470">
        <f t="shared" si="12"/>
        <v>7934</v>
      </c>
    </row>
    <row r="398" spans="1:8" ht="83.25" thickBot="1">
      <c r="A398" s="3470">
        <f t="shared" si="13"/>
        <v>397</v>
      </c>
      <c r="B398" s="3471">
        <v>720</v>
      </c>
      <c r="C398" s="3472" t="s">
        <v>3734</v>
      </c>
      <c r="D398" s="3475">
        <v>-2067</v>
      </c>
      <c r="E398" s="3473">
        <v>24.46</v>
      </c>
      <c r="F398" s="3472">
        <v>2.6</v>
      </c>
      <c r="G398" s="3474" t="s">
        <v>3408</v>
      </c>
      <c r="H398" s="3470">
        <f t="shared" si="12"/>
        <v>7933</v>
      </c>
    </row>
    <row r="399" spans="1:8" ht="83.25" thickBot="1">
      <c r="A399" s="3470">
        <f t="shared" si="13"/>
        <v>398</v>
      </c>
      <c r="B399" s="3483">
        <v>721</v>
      </c>
      <c r="C399" s="3484" t="s">
        <v>3734</v>
      </c>
      <c r="D399" s="3485">
        <v>-2068</v>
      </c>
      <c r="E399" s="3486">
        <v>24.46</v>
      </c>
      <c r="F399" s="3484">
        <v>2.6</v>
      </c>
      <c r="G399" s="3469" t="s">
        <v>3408</v>
      </c>
      <c r="H399" s="3470">
        <f t="shared" si="12"/>
        <v>7932</v>
      </c>
    </row>
    <row r="400" spans="1:8" ht="83.25" thickBot="1">
      <c r="A400" s="3470">
        <f t="shared" si="13"/>
        <v>399</v>
      </c>
      <c r="B400" s="3471">
        <v>722</v>
      </c>
      <c r="C400" s="3472" t="s">
        <v>3734</v>
      </c>
      <c r="D400" s="3475">
        <v>-2069</v>
      </c>
      <c r="E400" s="3473">
        <v>24.46</v>
      </c>
      <c r="F400" s="3472">
        <v>2.6</v>
      </c>
      <c r="G400" s="3474" t="s">
        <v>3408</v>
      </c>
      <c r="H400" s="3470">
        <f t="shared" si="12"/>
        <v>7931</v>
      </c>
    </row>
    <row r="401" spans="1:8" ht="83.25" thickBot="1">
      <c r="A401" s="3470">
        <f t="shared" si="13"/>
        <v>400</v>
      </c>
      <c r="B401" s="3471">
        <v>723</v>
      </c>
      <c r="C401" s="3472" t="s">
        <v>3734</v>
      </c>
      <c r="D401" s="3475">
        <f>-2-7</f>
        <v>-9</v>
      </c>
      <c r="E401" s="3473">
        <v>195.65</v>
      </c>
      <c r="F401" s="3472">
        <v>20.81</v>
      </c>
      <c r="G401" s="3474" t="s">
        <v>3408</v>
      </c>
      <c r="H401" s="3470">
        <f t="shared" si="12"/>
        <v>9991</v>
      </c>
    </row>
    <row r="402" spans="1:8" ht="83.25" thickBot="1">
      <c r="A402" s="3470">
        <f t="shared" si="13"/>
        <v>401</v>
      </c>
      <c r="B402" s="3471">
        <v>724</v>
      </c>
      <c r="C402" s="3472" t="s">
        <v>3734</v>
      </c>
      <c r="D402" s="3475">
        <v>-2070</v>
      </c>
      <c r="E402" s="3473">
        <v>24.46</v>
      </c>
      <c r="F402" s="3472">
        <v>2.6</v>
      </c>
      <c r="G402" s="3474" t="s">
        <v>3408</v>
      </c>
      <c r="H402" s="3470">
        <f t="shared" si="12"/>
        <v>7930</v>
      </c>
    </row>
    <row r="403" spans="1:8" ht="83.25" thickBot="1">
      <c r="A403" s="3470">
        <f t="shared" si="13"/>
        <v>402</v>
      </c>
      <c r="B403" s="3471">
        <v>725</v>
      </c>
      <c r="C403" s="3472" t="s">
        <v>3734</v>
      </c>
      <c r="D403" s="3475">
        <v>-2071</v>
      </c>
      <c r="E403" s="3473">
        <v>48.91</v>
      </c>
      <c r="F403" s="3472">
        <v>5.2</v>
      </c>
      <c r="G403" s="3474" t="s">
        <v>3408</v>
      </c>
      <c r="H403" s="3470">
        <f t="shared" si="12"/>
        <v>7929</v>
      </c>
    </row>
    <row r="404" spans="1:8" ht="83.25" thickBot="1">
      <c r="A404" s="3470">
        <f t="shared" si="13"/>
        <v>403</v>
      </c>
      <c r="B404" s="3471">
        <v>726</v>
      </c>
      <c r="C404" s="3472" t="s">
        <v>3734</v>
      </c>
      <c r="D404" s="3475">
        <v>-2072</v>
      </c>
      <c r="E404" s="3473">
        <v>24.46</v>
      </c>
      <c r="F404" s="3472">
        <v>2.6</v>
      </c>
      <c r="G404" s="3474" t="s">
        <v>3408</v>
      </c>
      <c r="H404" s="3470">
        <f t="shared" si="12"/>
        <v>7928</v>
      </c>
    </row>
    <row r="405" spans="1:8" ht="83.25" thickBot="1">
      <c r="A405" s="3470">
        <f t="shared" si="13"/>
        <v>404</v>
      </c>
      <c r="B405" s="3471">
        <v>727</v>
      </c>
      <c r="C405" s="3472" t="s">
        <v>3734</v>
      </c>
      <c r="D405" s="3475">
        <v>-2073</v>
      </c>
      <c r="E405" s="3473">
        <v>24.46</v>
      </c>
      <c r="F405" s="3472">
        <v>2.6</v>
      </c>
      <c r="G405" s="3474" t="s">
        <v>3408</v>
      </c>
      <c r="H405" s="3470">
        <f t="shared" si="12"/>
        <v>7927</v>
      </c>
    </row>
    <row r="406" spans="1:8" ht="83.25" thickBot="1">
      <c r="A406" s="3470">
        <f t="shared" si="13"/>
        <v>405</v>
      </c>
      <c r="B406" s="3471">
        <v>728</v>
      </c>
      <c r="C406" s="3472" t="s">
        <v>3734</v>
      </c>
      <c r="D406" s="3475">
        <v>-2074</v>
      </c>
      <c r="E406" s="3473">
        <v>24.46</v>
      </c>
      <c r="F406" s="3472">
        <v>2.6</v>
      </c>
      <c r="G406" s="3474" t="s">
        <v>3408</v>
      </c>
      <c r="H406" s="3470">
        <f t="shared" si="12"/>
        <v>7926</v>
      </c>
    </row>
    <row r="407" spans="1:8" ht="83.25" thickBot="1">
      <c r="A407" s="3470">
        <f t="shared" si="13"/>
        <v>406</v>
      </c>
      <c r="B407" s="3471">
        <v>729</v>
      </c>
      <c r="C407" s="3472" t="s">
        <v>3734</v>
      </c>
      <c r="D407" s="3475">
        <v>-2075</v>
      </c>
      <c r="E407" s="3473">
        <v>24.46</v>
      </c>
      <c r="F407" s="3472">
        <v>2.6</v>
      </c>
      <c r="G407" s="3474" t="s">
        <v>3408</v>
      </c>
      <c r="H407" s="3470">
        <f t="shared" si="12"/>
        <v>7925</v>
      </c>
    </row>
    <row r="408" spans="1:8" ht="83.25" thickBot="1">
      <c r="A408" s="3470">
        <f t="shared" si="13"/>
        <v>407</v>
      </c>
      <c r="B408" s="3471">
        <v>730</v>
      </c>
      <c r="C408" s="3472" t="s">
        <v>3734</v>
      </c>
      <c r="D408" s="3475">
        <v>-2076</v>
      </c>
      <c r="E408" s="3473">
        <v>24.46</v>
      </c>
      <c r="F408" s="3472">
        <v>2.6</v>
      </c>
      <c r="G408" s="3474" t="s">
        <v>3408</v>
      </c>
      <c r="H408" s="3470">
        <f t="shared" si="12"/>
        <v>7924</v>
      </c>
    </row>
    <row r="409" spans="1:8" ht="83.25" thickBot="1">
      <c r="A409" s="3470">
        <f t="shared" si="13"/>
        <v>408</v>
      </c>
      <c r="B409" s="3471">
        <v>731</v>
      </c>
      <c r="C409" s="3472" t="s">
        <v>3734</v>
      </c>
      <c r="D409" s="3475">
        <f>-2-8</f>
        <v>-10</v>
      </c>
      <c r="E409" s="3473">
        <v>73.37</v>
      </c>
      <c r="F409" s="3472">
        <v>7.8</v>
      </c>
      <c r="G409" s="3474" t="s">
        <v>3408</v>
      </c>
      <c r="H409" s="3470">
        <f t="shared" si="12"/>
        <v>9990</v>
      </c>
    </row>
    <row r="410" spans="1:8" ht="83.25" thickBot="1">
      <c r="A410" s="3470">
        <f t="shared" si="13"/>
        <v>409</v>
      </c>
      <c r="B410" s="3471">
        <v>732</v>
      </c>
      <c r="C410" s="3472" t="s">
        <v>3734</v>
      </c>
      <c r="D410" s="3475">
        <f>-2-9</f>
        <v>-11</v>
      </c>
      <c r="E410" s="3473">
        <v>146.74</v>
      </c>
      <c r="F410" s="3472">
        <v>15.61</v>
      </c>
      <c r="G410" s="3474" t="s">
        <v>3408</v>
      </c>
      <c r="H410" s="3470">
        <f t="shared" si="12"/>
        <v>9989</v>
      </c>
    </row>
    <row r="411" spans="1:8" ht="83.25" thickBot="1">
      <c r="A411" s="3470">
        <f t="shared" si="13"/>
        <v>410</v>
      </c>
      <c r="B411" s="3471">
        <v>733</v>
      </c>
      <c r="C411" s="3472" t="s">
        <v>3734</v>
      </c>
      <c r="D411" s="3475">
        <f>-2-10</f>
        <v>-12</v>
      </c>
      <c r="E411" s="3473">
        <v>73.37</v>
      </c>
      <c r="F411" s="3472">
        <v>7.8</v>
      </c>
      <c r="G411" s="3474" t="s">
        <v>3408</v>
      </c>
      <c r="H411" s="3470">
        <f t="shared" si="12"/>
        <v>9988</v>
      </c>
    </row>
    <row r="412" spans="1:8" ht="83.25" thickBot="1">
      <c r="A412" s="3470">
        <f t="shared" si="13"/>
        <v>411</v>
      </c>
      <c r="B412" s="3471">
        <v>734</v>
      </c>
      <c r="C412" s="3472" t="s">
        <v>3734</v>
      </c>
      <c r="D412" s="3475">
        <f>-2-11</f>
        <v>-13</v>
      </c>
      <c r="E412" s="3473">
        <v>73.37</v>
      </c>
      <c r="F412" s="3472">
        <v>7.8</v>
      </c>
      <c r="G412" s="3474" t="s">
        <v>3408</v>
      </c>
      <c r="H412" s="3470">
        <f t="shared" si="12"/>
        <v>9987</v>
      </c>
    </row>
    <row r="413" spans="1:8" s="3536" customFormat="1" ht="83.25" thickBot="1">
      <c r="A413" s="3536">
        <f t="shared" si="13"/>
        <v>412</v>
      </c>
      <c r="B413" s="3537">
        <v>735</v>
      </c>
      <c r="C413" s="3538" t="s">
        <v>3734</v>
      </c>
      <c r="D413" s="3539">
        <v>-101</v>
      </c>
      <c r="E413" s="3540">
        <v>12382.5</v>
      </c>
      <c r="F413" s="3538">
        <v>1317.15</v>
      </c>
      <c r="G413" s="3541" t="s">
        <v>3408</v>
      </c>
      <c r="H413" s="3536">
        <f t="shared" si="12"/>
        <v>9899</v>
      </c>
    </row>
    <row r="414" spans="1:8">
      <c r="E414" s="3470">
        <f>SUM(E2:E413)</f>
        <v>28370.149999999965</v>
      </c>
      <c r="F414" s="3470">
        <f>SUM(F2:F413)</f>
        <v>3017.04</v>
      </c>
    </row>
    <row r="415" spans="1:8">
      <c r="E415" s="3499" t="s">
        <v>3739</v>
      </c>
    </row>
    <row r="416" spans="1:8">
      <c r="E416" s="3470" t="s">
        <v>3739</v>
      </c>
    </row>
    <row r="417" spans="5:5">
      <c r="E417" s="3470" t="s">
        <v>3740</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B1" zoomScale="80" zoomScaleNormal="100" zoomScaleSheetLayoutView="80" workbookViewId="0">
      <selection activeCell="E41" sqref="E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23" t="s">
        <v>1129</v>
      </c>
      <c r="B2" s="3623"/>
      <c r="C2" s="3623"/>
      <c r="D2" s="796" t="s">
        <v>1105</v>
      </c>
      <c r="E2" s="1637" t="s">
        <v>1106</v>
      </c>
      <c r="F2" s="2653"/>
      <c r="G2" s="2644"/>
      <c r="H2" s="2645"/>
      <c r="I2" s="2323" t="s">
        <v>1130</v>
      </c>
      <c r="J2" s="2653"/>
      <c r="K2" s="2653"/>
      <c r="L2" s="2653"/>
      <c r="M2" s="2653"/>
      <c r="N2" s="2655"/>
      <c r="O2" s="2653"/>
      <c r="P2" s="2653"/>
    </row>
    <row r="3" spans="1:16" ht="15.75" thickBot="1">
      <c r="A3" s="3624" t="s">
        <v>1103</v>
      </c>
      <c r="B3" s="3624"/>
      <c r="C3" s="3624"/>
      <c r="D3" s="43">
        <f>'数据-基础表'!AY6</f>
        <v>13594.730000000014</v>
      </c>
      <c r="E3" s="43">
        <f>'数据-基础表'!AZ5</f>
        <v>127815.41999999985</v>
      </c>
      <c r="F3" s="2653"/>
      <c r="G3" s="1144"/>
      <c r="H3" s="1026" t="s">
        <v>1104</v>
      </c>
      <c r="I3" s="855">
        <f>ROUND('数据-基础表'!B3/'数据-基础表'!A3,2)</f>
        <v>7.69</v>
      </c>
      <c r="J3" s="2653"/>
      <c r="K3" s="2653"/>
      <c r="L3" s="2653"/>
      <c r="M3" s="2653"/>
      <c r="N3" s="2655"/>
      <c r="O3" s="2653"/>
      <c r="P3" s="2653"/>
    </row>
    <row r="4" spans="1:16" ht="15">
      <c r="A4" s="3625"/>
      <c r="B4" s="3626"/>
      <c r="C4" s="3627"/>
      <c r="D4" s="1639" t="s">
        <v>1105</v>
      </c>
      <c r="E4" s="1640" t="s">
        <v>1106</v>
      </c>
      <c r="F4" s="2653"/>
      <c r="G4" s="2646" t="s">
        <v>1131</v>
      </c>
      <c r="H4" s="1026" t="s">
        <v>1111</v>
      </c>
      <c r="I4" s="855">
        <f>ROUND(SUMIF('数据-基础表'!I9:AS9,"地上",'数据-基础表'!I5:AS5)/'数据-基础表'!A3,2)</f>
        <v>5.98</v>
      </c>
      <c r="J4" s="2653"/>
      <c r="K4" s="2653"/>
      <c r="L4" s="2653"/>
      <c r="M4" s="2653"/>
      <c r="N4" s="2655"/>
      <c r="O4" s="2653"/>
      <c r="P4" s="2653"/>
    </row>
    <row r="5" spans="1:16">
      <c r="A5" s="44" t="s">
        <v>1107</v>
      </c>
      <c r="B5" s="3628" t="s">
        <v>1108</v>
      </c>
      <c r="C5" s="3628"/>
      <c r="D5" s="45">
        <f>ROUND($D$3*E5/$E$3,2)</f>
        <v>0</v>
      </c>
      <c r="E5" s="46">
        <f>SUMIF('数据-基础表'!$11:$11,"住宅",'数据-基础表'!$5:$5)</f>
        <v>0</v>
      </c>
      <c r="F5" s="2653"/>
      <c r="G5" s="1144"/>
      <c r="H5" s="1026" t="s">
        <v>1104</v>
      </c>
      <c r="I5" s="855">
        <f>ROUND(E31/D31,2)</f>
        <v>9.4</v>
      </c>
      <c r="J5" s="2653"/>
      <c r="K5" s="2653"/>
      <c r="L5" s="2653"/>
      <c r="M5" s="2653"/>
      <c r="N5" s="2653"/>
      <c r="O5" s="2653"/>
      <c r="P5" s="2653"/>
    </row>
    <row r="6" spans="1:16" ht="15" thickBot="1">
      <c r="A6" s="1642"/>
      <c r="B6" s="3628" t="s">
        <v>1109</v>
      </c>
      <c r="C6" s="3628"/>
      <c r="D6" s="45">
        <f>ROUND($D$3*E6/$E$3,2)</f>
        <v>13594.73</v>
      </c>
      <c r="E6" s="46">
        <f>E3-E5</f>
        <v>127815.41999999985</v>
      </c>
      <c r="F6" s="2653"/>
      <c r="G6" s="2647" t="s">
        <v>1110</v>
      </c>
      <c r="H6" s="1145" t="s">
        <v>1111</v>
      </c>
      <c r="I6" s="2648">
        <f>ROUND(F31/D31,2)</f>
        <v>7.31</v>
      </c>
      <c r="J6" s="2653"/>
      <c r="K6" s="2653"/>
      <c r="L6" s="2653"/>
      <c r="M6" s="2653"/>
      <c r="N6" s="2653"/>
      <c r="O6" s="2653"/>
      <c r="P6" s="2653"/>
    </row>
    <row r="7" spans="1:16" ht="15.75" thickBot="1">
      <c r="A7" s="3620"/>
      <c r="B7" s="3621"/>
      <c r="C7" s="3622"/>
      <c r="D7" s="1639" t="s">
        <v>1105</v>
      </c>
      <c r="E7" s="1643" t="s">
        <v>1112</v>
      </c>
      <c r="F7" s="2653"/>
      <c r="G7" s="2649" t="s">
        <v>1113</v>
      </c>
      <c r="H7" s="2650"/>
      <c r="I7" s="2651">
        <v>5.99</v>
      </c>
      <c r="J7" s="2653"/>
      <c r="K7" s="2653"/>
      <c r="L7" s="2653"/>
      <c r="M7" s="2653"/>
      <c r="N7" s="2653"/>
      <c r="O7" s="2653"/>
      <c r="P7" s="2653"/>
    </row>
    <row r="8" spans="1:16">
      <c r="A8" s="44" t="s">
        <v>1114</v>
      </c>
      <c r="B8" s="47" t="s">
        <v>1115</v>
      </c>
      <c r="C8" s="45" t="s">
        <v>1116</v>
      </c>
      <c r="D8" s="45">
        <f t="shared" ref="D8:D15" si="0">ROUND($D$3*E8/$E$3,2)</f>
        <v>10577.22</v>
      </c>
      <c r="E8" s="48">
        <f>SUMIF('数据-基础表'!BB10:BK10,"地上",'数据-基础表'!BB5:BK5)</f>
        <v>99445.269999999888</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1791.65</v>
      </c>
      <c r="E10" s="48">
        <f>SUMPRODUCT(('数据-基础表'!BB10:BK10="地下")*('数据-基础表'!BB11:BK11="商业")*('数据-基础表'!BB5:BK5))</f>
        <v>16844.78</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1225.8599999999999</v>
      </c>
      <c r="E13" s="48">
        <f>SUMPRODUCT(('数据-基础表'!BB10:BK10="地下")*('数据-基础表'!BB11:BK11="车库")*('数据-基础表'!BB5:BK5))</f>
        <v>11525.369999999966</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13594.73</v>
      </c>
      <c r="E16" s="50">
        <f>SUM(E8:E15)</f>
        <v>127815.41999999985</v>
      </c>
      <c r="F16" s="2653"/>
      <c r="G16" s="2654"/>
      <c r="H16" s="1646" t="s">
        <v>1133</v>
      </c>
      <c r="I16" s="1647"/>
      <c r="J16" s="1138"/>
      <c r="K16" s="3617" t="s">
        <v>1133</v>
      </c>
      <c r="L16" s="3618"/>
      <c r="M16" s="3618"/>
      <c r="N16" s="3618"/>
      <c r="O16" s="3618"/>
      <c r="P16" s="3619"/>
    </row>
    <row r="17" spans="1:19" ht="15">
      <c r="A17" s="1648" t="s">
        <v>1134</v>
      </c>
      <c r="B17" s="1649" t="s">
        <v>1135</v>
      </c>
      <c r="C17" s="1650" t="s">
        <v>1136</v>
      </c>
      <c r="D17" s="1651" t="s">
        <v>1124</v>
      </c>
      <c r="E17" s="1652" t="s">
        <v>1125</v>
      </c>
      <c r="F17" s="1653"/>
      <c r="G17" s="1654"/>
      <c r="H17" s="1655" t="s">
        <v>1137</v>
      </c>
      <c r="I17" s="1656" t="s">
        <v>1122</v>
      </c>
      <c r="J17" s="1138"/>
      <c r="K17" s="3614" t="s">
        <v>1138</v>
      </c>
      <c r="L17" s="3615"/>
      <c r="M17" s="3616"/>
      <c r="N17" s="3614" t="s">
        <v>1139</v>
      </c>
      <c r="O17" s="3615"/>
      <c r="P17" s="3616"/>
      <c r="R17" s="1638" t="s">
        <v>1140</v>
      </c>
      <c r="S17" s="56"/>
    </row>
    <row r="18" spans="1:19" ht="15">
      <c r="A18" s="1644"/>
      <c r="B18" s="1657"/>
      <c r="C18" s="1658"/>
      <c r="D18" s="1659"/>
      <c r="E18" s="1660" t="s">
        <v>1141</v>
      </c>
      <c r="F18" s="1661" t="s">
        <v>1142</v>
      </c>
      <c r="G18" s="1662" t="s">
        <v>1143</v>
      </c>
      <c r="H18" s="1041" t="s">
        <v>1144</v>
      </c>
      <c r="I18" s="1663" t="s">
        <v>1145</v>
      </c>
      <c r="J18" s="1138"/>
      <c r="K18" s="1041" t="s">
        <v>1146</v>
      </c>
      <c r="L18" s="1664" t="s">
        <v>1147</v>
      </c>
      <c r="M18" s="855" t="s">
        <v>1148</v>
      </c>
      <c r="N18" s="1041" t="s">
        <v>1146</v>
      </c>
      <c r="O18" s="1664" t="s">
        <v>1147</v>
      </c>
      <c r="P18" s="855" t="s">
        <v>1148</v>
      </c>
      <c r="R18" s="1026" t="s">
        <v>1149</v>
      </c>
      <c r="S18" s="1026" t="s">
        <v>1150</v>
      </c>
    </row>
    <row r="19" spans="1:19">
      <c r="A19" s="1665"/>
      <c r="B19" s="47" t="s">
        <v>1123</v>
      </c>
      <c r="C19" s="3411" t="s">
        <v>3747</v>
      </c>
      <c r="D19" s="45">
        <f>ROUND($D$3*E19/$E$3,2)</f>
        <v>5423.27</v>
      </c>
      <c r="E19" s="53">
        <f t="shared" ref="E19:E26" si="1">SUM(F19:G19)</f>
        <v>50988.659999999887</v>
      </c>
      <c r="F19" s="2789">
        <f>'数据-基础表'!I5</f>
        <v>50988.659999999887</v>
      </c>
      <c r="G19" s="2790"/>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6"/>
      <c r="O19" s="1667"/>
      <c r="P19" s="1149">
        <f>N19+O19</f>
        <v>0</v>
      </c>
      <c r="R19" s="1026">
        <f t="shared" ref="R19:S26" si="5">D19+H19</f>
        <v>5423.27</v>
      </c>
      <c r="S19" s="1027">
        <f t="shared" si="5"/>
        <v>50988.659999999887</v>
      </c>
    </row>
    <row r="20" spans="1:19">
      <c r="A20" s="1668"/>
      <c r="B20" s="47" t="s">
        <v>1151</v>
      </c>
      <c r="C20" s="3411" t="s">
        <v>3748</v>
      </c>
      <c r="D20" s="45">
        <f t="shared" ref="D20:D26" si="6">ROUND($D$3*E20/$E$3,2)</f>
        <v>6945.6</v>
      </c>
      <c r="E20" s="53">
        <f t="shared" si="1"/>
        <v>65301.39</v>
      </c>
      <c r="F20" s="2789">
        <f>'数据-基础表'!K5</f>
        <v>48456.61</v>
      </c>
      <c r="G20" s="2790">
        <f>'数据-基础表'!M5</f>
        <v>16844.78</v>
      </c>
      <c r="H20" s="670">
        <f t="shared" ref="H20:H26" si="7">ROUND($D$3*I20/$E$3,2)</f>
        <v>0</v>
      </c>
      <c r="I20" s="48">
        <f t="shared" si="2"/>
        <v>0</v>
      </c>
      <c r="J20" s="1138"/>
      <c r="K20" s="1137">
        <f t="shared" si="3"/>
        <v>0</v>
      </c>
      <c r="L20" s="1026">
        <f t="shared" si="4"/>
        <v>0</v>
      </c>
      <c r="M20" s="1149">
        <f t="shared" ref="M20:M26" si="8">K20+L20</f>
        <v>0</v>
      </c>
      <c r="N20" s="1666"/>
      <c r="O20" s="1667"/>
      <c r="P20" s="1149">
        <f t="shared" ref="P20:P26" si="9">N20+O20</f>
        <v>0</v>
      </c>
      <c r="R20" s="1026">
        <f t="shared" si="5"/>
        <v>6945.6</v>
      </c>
      <c r="S20" s="1027">
        <f t="shared" si="5"/>
        <v>65301.39</v>
      </c>
    </row>
    <row r="21" spans="1:19">
      <c r="A21" s="1668"/>
      <c r="B21" s="47" t="s">
        <v>1151</v>
      </c>
      <c r="C21" s="3411" t="s">
        <v>3750</v>
      </c>
      <c r="D21" s="45">
        <f t="shared" si="6"/>
        <v>1225.8599999999999</v>
      </c>
      <c r="E21" s="53">
        <f t="shared" si="1"/>
        <v>11525.369999999966</v>
      </c>
      <c r="F21" s="2789"/>
      <c r="G21" s="2790">
        <f>'数据-基础表'!O5</f>
        <v>11525.369999999966</v>
      </c>
      <c r="H21" s="670">
        <f t="shared" si="7"/>
        <v>0</v>
      </c>
      <c r="I21" s="48">
        <f t="shared" si="2"/>
        <v>0</v>
      </c>
      <c r="J21" s="1138"/>
      <c r="K21" s="1137">
        <f t="shared" si="3"/>
        <v>0</v>
      </c>
      <c r="L21" s="1026">
        <f t="shared" si="4"/>
        <v>0</v>
      </c>
      <c r="M21" s="1149">
        <f t="shared" si="8"/>
        <v>0</v>
      </c>
      <c r="N21" s="1666"/>
      <c r="O21" s="1667"/>
      <c r="P21" s="1149">
        <f t="shared" si="9"/>
        <v>0</v>
      </c>
      <c r="R21" s="1026">
        <f t="shared" si="5"/>
        <v>1225.8599999999999</v>
      </c>
      <c r="S21" s="1027">
        <f t="shared" si="5"/>
        <v>11525.369999999966</v>
      </c>
    </row>
    <row r="22" spans="1:19">
      <c r="A22" s="1668"/>
      <c r="B22" s="47" t="s">
        <v>1151</v>
      </c>
      <c r="C22" s="3412"/>
      <c r="D22" s="45">
        <f t="shared" si="6"/>
        <v>0</v>
      </c>
      <c r="E22" s="53">
        <f t="shared" si="1"/>
        <v>0</v>
      </c>
      <c r="F22" s="2791"/>
      <c r="G22" s="2792"/>
      <c r="H22" s="670">
        <f t="shared" si="7"/>
        <v>0</v>
      </c>
      <c r="I22" s="48">
        <f t="shared" si="2"/>
        <v>0</v>
      </c>
      <c r="J22" s="1138"/>
      <c r="K22" s="1137">
        <f t="shared" si="3"/>
        <v>0</v>
      </c>
      <c r="L22" s="1026">
        <f t="shared" si="4"/>
        <v>0</v>
      </c>
      <c r="M22" s="1149">
        <f t="shared" si="8"/>
        <v>0</v>
      </c>
      <c r="N22" s="1666"/>
      <c r="O22" s="1667"/>
      <c r="P22" s="1149">
        <f t="shared" si="9"/>
        <v>0</v>
      </c>
      <c r="R22" s="1026">
        <f t="shared" si="5"/>
        <v>0</v>
      </c>
      <c r="S22" s="1027">
        <f t="shared" si="5"/>
        <v>0</v>
      </c>
    </row>
    <row r="23" spans="1:19">
      <c r="A23" s="1668"/>
      <c r="B23" s="47" t="s">
        <v>1151</v>
      </c>
      <c r="C23" s="3412"/>
      <c r="D23" s="45">
        <f>ROUND($D$3*E23/$E$3,2)</f>
        <v>0</v>
      </c>
      <c r="E23" s="53">
        <f>SUM(F23:G23)</f>
        <v>0</v>
      </c>
      <c r="F23" s="2791"/>
      <c r="G23" s="2792"/>
      <c r="H23" s="670">
        <f>ROUND($D$3*I23/$E$3,2)</f>
        <v>0</v>
      </c>
      <c r="I23" s="48">
        <f t="shared" si="2"/>
        <v>0</v>
      </c>
      <c r="J23" s="1138"/>
      <c r="K23" s="1137">
        <f t="shared" si="3"/>
        <v>0</v>
      </c>
      <c r="L23" s="1026">
        <f t="shared" si="4"/>
        <v>0</v>
      </c>
      <c r="M23" s="1149">
        <f t="shared" si="8"/>
        <v>0</v>
      </c>
      <c r="N23" s="1666"/>
      <c r="O23" s="1667"/>
      <c r="P23" s="1149">
        <f t="shared" si="9"/>
        <v>0</v>
      </c>
      <c r="R23" s="1026">
        <f t="shared" si="5"/>
        <v>0</v>
      </c>
      <c r="S23" s="1027">
        <f t="shared" si="5"/>
        <v>0</v>
      </c>
    </row>
    <row r="24" spans="1:19">
      <c r="A24" s="1668"/>
      <c r="B24" s="47" t="s">
        <v>1151</v>
      </c>
      <c r="C24" s="3412"/>
      <c r="D24" s="45">
        <f>ROUND($D$3*E24/$E$3,2)</f>
        <v>0</v>
      </c>
      <c r="E24" s="53">
        <f>SUM(F24:G24)</f>
        <v>0</v>
      </c>
      <c r="F24" s="2791"/>
      <c r="G24" s="2792"/>
      <c r="H24" s="670">
        <f>ROUND($D$3*I24/$E$3,2)</f>
        <v>0</v>
      </c>
      <c r="I24" s="48">
        <f t="shared" si="2"/>
        <v>0</v>
      </c>
      <c r="J24" s="1138"/>
      <c r="K24" s="1137">
        <f t="shared" si="3"/>
        <v>0</v>
      </c>
      <c r="L24" s="1026">
        <f t="shared" si="4"/>
        <v>0</v>
      </c>
      <c r="M24" s="1149">
        <f t="shared" si="8"/>
        <v>0</v>
      </c>
      <c r="N24" s="1666"/>
      <c r="O24" s="1667"/>
      <c r="P24" s="1149">
        <f t="shared" si="9"/>
        <v>0</v>
      </c>
      <c r="R24" s="1026">
        <f t="shared" si="5"/>
        <v>0</v>
      </c>
      <c r="S24" s="1027">
        <f t="shared" si="5"/>
        <v>0</v>
      </c>
    </row>
    <row r="25" spans="1:19">
      <c r="A25" s="1668"/>
      <c r="B25" s="47" t="s">
        <v>1151</v>
      </c>
      <c r="C25" s="3412"/>
      <c r="D25" s="45">
        <f t="shared" si="6"/>
        <v>0</v>
      </c>
      <c r="E25" s="53">
        <f t="shared" si="1"/>
        <v>0</v>
      </c>
      <c r="F25" s="2791"/>
      <c r="G25" s="2792"/>
      <c r="H25" s="44">
        <f t="shared" si="7"/>
        <v>0</v>
      </c>
      <c r="I25" s="48">
        <f t="shared" si="2"/>
        <v>0</v>
      </c>
      <c r="J25" s="1138"/>
      <c r="K25" s="1137">
        <f t="shared" si="3"/>
        <v>0</v>
      </c>
      <c r="L25" s="1026">
        <f t="shared" si="4"/>
        <v>0</v>
      </c>
      <c r="M25" s="1149">
        <f t="shared" si="8"/>
        <v>0</v>
      </c>
      <c r="N25" s="1666"/>
      <c r="O25" s="1667"/>
      <c r="P25" s="1149">
        <f t="shared" si="9"/>
        <v>0</v>
      </c>
      <c r="R25" s="1026">
        <f t="shared" si="5"/>
        <v>0</v>
      </c>
      <c r="S25" s="1027">
        <f t="shared" si="5"/>
        <v>0</v>
      </c>
    </row>
    <row r="26" spans="1:19">
      <c r="A26" s="1668"/>
      <c r="B26" s="47" t="s">
        <v>1151</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6">
        <f t="shared" si="5"/>
        <v>0</v>
      </c>
      <c r="S26" s="1027">
        <f t="shared" si="5"/>
        <v>0</v>
      </c>
    </row>
    <row r="27" spans="1:19" ht="15.75" thickBot="1">
      <c r="A27" s="1668"/>
      <c r="B27" s="45"/>
      <c r="C27" s="1671" t="s">
        <v>1152</v>
      </c>
      <c r="D27" s="1139">
        <f>SUM(D19:D26)</f>
        <v>13594.730000000001</v>
      </c>
      <c r="E27" s="1140">
        <f>IF(SUM(E19:E26)='数据-基础表'!BA5,SUM(E19:E26),IF(F27="地上面积有误","面积有误","地下面积有误"))</f>
        <v>127815.41999999985</v>
      </c>
      <c r="F27" s="1139">
        <f>IF(SUM(F19:F26)=E8,SUM(F19:F26),"地上面积有误")</f>
        <v>99445.269999999888</v>
      </c>
      <c r="G27" s="1141">
        <f>SUM(G19:G26)</f>
        <v>28370.149999999965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13594.730000000001</v>
      </c>
      <c r="S27" s="1026">
        <f>IF(SUM(S19:S26)=$E$3,SUM(S19:S26),SUM(S19:S26)&amp;"误差"&amp;ROUND(SUM(S19:S26)-E3,2))</f>
        <v>127815.41999999985</v>
      </c>
    </row>
    <row r="28" spans="1:19">
      <c r="A28" s="1668"/>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5" t="s">
        <v>1156</v>
      </c>
      <c r="D31" s="676">
        <f>D27+D30</f>
        <v>13594.730000000001</v>
      </c>
      <c r="E31" s="676">
        <f>E27+E30</f>
        <v>127815.41999999985</v>
      </c>
      <c r="F31" s="677">
        <f>F27+F30</f>
        <v>99445.269999999888</v>
      </c>
      <c r="G31" s="678">
        <f>G27+G30</f>
        <v>28370.149999999965</v>
      </c>
      <c r="H31" s="2653"/>
      <c r="I31" s="2653"/>
      <c r="J31" s="2653"/>
      <c r="K31" s="2653"/>
      <c r="L31" s="2653"/>
      <c r="M31" s="2653"/>
      <c r="N31" s="2653"/>
      <c r="O31" s="2653"/>
      <c r="P31" s="2653"/>
    </row>
    <row r="32" spans="1:19">
      <c r="A32" s="1641"/>
      <c r="B32" s="1641" t="s">
        <v>1157</v>
      </c>
      <c r="C32" s="1641"/>
      <c r="D32" s="1641"/>
      <c r="E32" s="1053">
        <f>SUMIF(C19:C26,"*住宅*",E19:E26)</f>
        <v>0</v>
      </c>
      <c r="F32" s="1641"/>
      <c r="G32" s="1641"/>
      <c r="H32" s="2653"/>
      <c r="I32" s="2653"/>
      <c r="J32" s="2653"/>
      <c r="K32" s="2653"/>
      <c r="L32" s="2653"/>
      <c r="M32" s="2653"/>
      <c r="N32" s="2653"/>
      <c r="O32" s="2653"/>
      <c r="P32" s="2653"/>
    </row>
    <row r="33" spans="4:7">
      <c r="D33" s="1676"/>
    </row>
    <row r="36" spans="4:7">
      <c r="E36" s="1636">
        <v>44219.78</v>
      </c>
    </row>
    <row r="37" spans="4:7">
      <c r="G37" s="1636">
        <v>3015.87</v>
      </c>
    </row>
    <row r="38" spans="4:7">
      <c r="E38" s="1636">
        <f>F19-E36</f>
        <v>6768.8799999998882</v>
      </c>
      <c r="G38" s="1636">
        <f>G37+D3</f>
        <v>16610.600000000013</v>
      </c>
    </row>
    <row r="39" spans="4:7">
      <c r="E39" s="1636">
        <v>6862.11</v>
      </c>
    </row>
    <row r="40" spans="4:7">
      <c r="E40" s="1636">
        <f>E39-E38</f>
        <v>93.230000000111431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1159</v>
      </c>
      <c r="B2" s="1045">
        <f>项目基本情况!D3</f>
        <v>45587</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7" t="s">
        <v>1170</v>
      </c>
      <c r="F5" s="1697" t="s">
        <v>1171</v>
      </c>
      <c r="G5" s="1047" t="s">
        <v>1172</v>
      </c>
      <c r="H5" s="1047" t="s">
        <v>1173</v>
      </c>
      <c r="I5" s="1047" t="s">
        <v>1174</v>
      </c>
      <c r="J5" s="1698" t="s">
        <v>1175</v>
      </c>
      <c r="K5" s="1699" t="s">
        <v>1176</v>
      </c>
      <c r="L5" s="1700" t="s">
        <v>1177</v>
      </c>
      <c r="M5" s="1701" t="s">
        <v>1178</v>
      </c>
      <c r="N5" s="1702" t="s">
        <v>3774</v>
      </c>
      <c r="O5" s="1700" t="s">
        <v>1179</v>
      </c>
      <c r="P5" s="1703" t="s">
        <v>1180</v>
      </c>
      <c r="Q5" s="61" t="s">
        <v>1181</v>
      </c>
      <c r="R5" s="1704" t="s">
        <v>1182</v>
      </c>
      <c r="S5" s="1705" t="s">
        <v>1183</v>
      </c>
      <c r="T5" s="1706" t="s">
        <v>1184</v>
      </c>
      <c r="U5" s="1046" t="s">
        <v>1185</v>
      </c>
      <c r="V5" s="1047" t="s">
        <v>1186</v>
      </c>
      <c r="W5" s="1047" t="s">
        <v>1187</v>
      </c>
      <c r="X5" s="63"/>
      <c r="Y5" s="62" t="s">
        <v>1188</v>
      </c>
      <c r="Z5" s="1707" t="s">
        <v>1185</v>
      </c>
      <c r="AA5" s="1047" t="s">
        <v>1186</v>
      </c>
      <c r="AB5" s="1047" t="s">
        <v>1187</v>
      </c>
      <c r="AC5" s="63"/>
      <c r="AD5" s="63" t="s">
        <v>1188</v>
      </c>
      <c r="AE5" s="1046" t="s">
        <v>1189</v>
      </c>
      <c r="AF5" s="1047" t="s">
        <v>1190</v>
      </c>
      <c r="AG5" s="62" t="s">
        <v>1191</v>
      </c>
      <c r="AH5" s="1046" t="s">
        <v>1192</v>
      </c>
      <c r="AI5" s="1707" t="s">
        <v>1193</v>
      </c>
      <c r="AJ5" s="1707" t="s">
        <v>1194</v>
      </c>
      <c r="AK5" s="1047" t="s">
        <v>1195</v>
      </c>
      <c r="AL5" s="1047" t="s">
        <v>1196</v>
      </c>
      <c r="AM5" s="62" t="s">
        <v>1197</v>
      </c>
      <c r="AN5" s="1708" t="s">
        <v>1198</v>
      </c>
      <c r="AO5" s="1560" t="s">
        <v>1199</v>
      </c>
      <c r="AP5" s="1028"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商务公寓</v>
      </c>
      <c r="B6" s="1711" t="str">
        <f>IF(A6=0,"","经营性")</f>
        <v>经营性</v>
      </c>
      <c r="C6" s="1712" t="s">
        <v>21</v>
      </c>
      <c r="D6" s="858">
        <f>SUMIF(项目基本情况!C$12:I$12,C6,项目基本情况!C$14:I$14)</f>
        <v>50</v>
      </c>
      <c r="E6" s="857">
        <f>IF(B6="","",SUMIF(项目基本情况!C$12:I$12,C6,项目基本情况!C$13:I$13))</f>
        <v>59479</v>
      </c>
      <c r="F6" s="64">
        <f>SUMIF(项目基本情况!C$12:I$12,C6,项目基本情况!C$15:I$15)</f>
        <v>38.06</v>
      </c>
      <c r="G6" s="65">
        <f>IF(ISERROR(ROUND(POWER(1+H6,D6-F6)*(POWER(1+H6,F6)-1)/(POWER(1+H6,D6)-1),3)),0,ROUND(POWER(1+H6,D6-F6)*(POWER(1+H6,F6)-1)/(POWER(1+H6,D6)-1),3))</f>
        <v>0.92400000000000004</v>
      </c>
      <c r="H6" s="732">
        <v>0.05</v>
      </c>
      <c r="I6" s="732">
        <v>0.06</v>
      </c>
      <c r="J6" s="66">
        <v>8.5000000000000006E-2</v>
      </c>
      <c r="K6" s="1030">
        <f>SUMIF('数据-汇总表'!C$19:C$33,A6,'数据-汇总表'!E$19:E$33)</f>
        <v>50988.659999999887</v>
      </c>
      <c r="L6" s="733">
        <v>4500</v>
      </c>
      <c r="M6" s="67">
        <f t="shared" ref="M6:M14" si="0">ROUND(K6*L6/10000,0)</f>
        <v>22945</v>
      </c>
      <c r="N6" s="3532">
        <v>0.55000000000000004</v>
      </c>
      <c r="O6" s="67">
        <f>IF($N$5="成新度","——",ROUND(M6*N6,0))</f>
        <v>12620</v>
      </c>
      <c r="P6" s="68">
        <f>IF($N$5="成新度","——",M6-O6)</f>
        <v>10325</v>
      </c>
      <c r="Q6" s="734">
        <v>0.15</v>
      </c>
      <c r="R6" s="69">
        <f ca="1">SUMIF('数据-汇总表'!C$19:C$33,A6,'数据-汇总表'!R$19:R$27)</f>
        <v>5423.27</v>
      </c>
      <c r="S6" s="51">
        <f>IF('数据-汇总表'!$I$17="按面积比例",SUMIF('数据-汇总表'!C$19:C$33,A6,'数据-汇总表'!K$19:K$33),SUMIF('数据-汇总表'!C$19:C$33,A6,'数据-汇总表'!N$19:N$33))</f>
        <v>0</v>
      </c>
      <c r="T6" s="1171">
        <f>ROUND($L$14*S6/10000,0)</f>
        <v>0</v>
      </c>
      <c r="U6" s="3422">
        <v>4.25</v>
      </c>
      <c r="V6" s="70">
        <v>0</v>
      </c>
      <c r="W6" s="70">
        <v>0.1</v>
      </c>
      <c r="X6" s="1040"/>
      <c r="Y6" s="71">
        <v>1</v>
      </c>
      <c r="Z6" s="72"/>
      <c r="AA6" s="66"/>
      <c r="AB6" s="66"/>
      <c r="AC6" s="1040"/>
      <c r="AD6" s="73"/>
      <c r="AE6" s="1041">
        <f ca="1">IF(AN6="",0,SUMIF(INDIRECT("'"&amp;AN6&amp;"'"&amp;"!E:E"),$AE$5,INDIRECT("'"&amp;AN6&amp;"'"&amp;"!F:F")))</f>
        <v>36.760000000000005</v>
      </c>
      <c r="AF6" s="1346"/>
      <c r="AG6" s="138">
        <f>IF(AF6="",0,AE6-AF6)</f>
        <v>0</v>
      </c>
      <c r="AH6" s="74"/>
      <c r="AI6" s="76">
        <v>365</v>
      </c>
      <c r="AJ6" s="77"/>
      <c r="AK6" s="78">
        <v>5.0000000000000001E-3</v>
      </c>
      <c r="AL6" s="79">
        <v>1E-3</v>
      </c>
      <c r="AM6" s="80">
        <v>0.01</v>
      </c>
      <c r="AN6" s="1713" t="s">
        <v>3787</v>
      </c>
      <c r="AO6" s="52">
        <f ca="1">SUMIF(INDIRECT("'"&amp;AN6&amp;"'"&amp;"!A:A"),"总价",INDIRECT("'"&amp;AN6&amp;"'"&amp;"!B:B"))</f>
        <v>83374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8">
        <f>SUMIF(项目基本情况!C$12:I$12,C7,项目基本情况!C$14:I$14)</f>
        <v>40</v>
      </c>
      <c r="E7" s="857">
        <f>IF(B7="","",SUMIF(项目基本情况!C$12:I$12,C7,项目基本情况!C$13:I$13))</f>
        <v>55827</v>
      </c>
      <c r="F7" s="64">
        <f>SUMIF(项目基本情况!C$12:I$12,C7,项目基本情况!C$15:I$15)</f>
        <v>28.05</v>
      </c>
      <c r="G7" s="65">
        <f t="shared" ref="G7:G11" si="2">IF(ISERROR(ROUND(POWER(1+H7,D7-F7)*(POWER(1+H7,F7)-1)/(POWER(1+H7,D7)-1),3)),0,ROUND(POWER(1+H7,D7-F7)*(POWER(1+H7,F7)-1)/(POWER(1+H7,D7)-1),3))</f>
        <v>0.88100000000000001</v>
      </c>
      <c r="H7" s="732">
        <v>5.5E-2</v>
      </c>
      <c r="I7" s="732">
        <v>6.5000000000000002E-2</v>
      </c>
      <c r="J7" s="66">
        <f>J6</f>
        <v>8.5000000000000006E-2</v>
      </c>
      <c r="K7" s="1030">
        <f>SUMIF('数据-汇总表'!C$19:C$33,A7,'数据-汇总表'!E$19:E$33)</f>
        <v>65301.39</v>
      </c>
      <c r="L7" s="733">
        <v>4000</v>
      </c>
      <c r="M7" s="67">
        <f t="shared" si="0"/>
        <v>26121</v>
      </c>
      <c r="N7" s="3532">
        <f>N6</f>
        <v>0.55000000000000004</v>
      </c>
      <c r="O7" s="67">
        <f t="shared" ref="O7:O14" si="3">IF($N$5="成新度","——",ROUND(M7*N7,0))</f>
        <v>14367</v>
      </c>
      <c r="P7" s="68">
        <f t="shared" ref="P7:P14" si="4">IF($N$5="成新度","——",M7-O7)</f>
        <v>11754</v>
      </c>
      <c r="Q7" s="734">
        <v>0.15</v>
      </c>
      <c r="R7" s="69">
        <f ca="1">SUMIF('数据-汇总表'!C$19:C$33,A7,'数据-汇总表'!R$19:R$27)</f>
        <v>6945.6</v>
      </c>
      <c r="S7" s="51">
        <f>IF('数据-汇总表'!$I$17="按面积比例",SUMIF('数据-汇总表'!C$19:C$33,A7,'数据-汇总表'!K$19:K$33),SUMIF('数据-汇总表'!C$19:C$33,A7,'数据-汇总表'!N$19:N$33))</f>
        <v>0</v>
      </c>
      <c r="T7" s="1171">
        <f t="shared" ref="T7:T13" si="5">ROUND($L$14*S7/10000,0)</f>
        <v>0</v>
      </c>
      <c r="U7" s="3422">
        <v>6</v>
      </c>
      <c r="V7" s="70">
        <f>V6</f>
        <v>0</v>
      </c>
      <c r="W7" s="70">
        <f>W6</f>
        <v>0.1</v>
      </c>
      <c r="X7" s="1040"/>
      <c r="Y7" s="71">
        <f>Y6</f>
        <v>1</v>
      </c>
      <c r="Z7" s="72"/>
      <c r="AA7" s="66"/>
      <c r="AB7" s="66"/>
      <c r="AC7" s="1040"/>
      <c r="AD7" s="73"/>
      <c r="AE7" s="1041">
        <f t="shared" ref="AE7:AE13" ca="1" si="6">IF(AN7="",0,SUMIF(INDIRECT("'"&amp;AN7&amp;"'"&amp;"!E:E"),$AE$5,INDIRECT("'"&amp;AN7&amp;"'"&amp;"!F:F")))</f>
        <v>26.75</v>
      </c>
      <c r="AF7" s="1346"/>
      <c r="AG7" s="138">
        <f t="shared" ref="AG7:AG13" si="7">IF(AF7="",0,AE7-AF7)</f>
        <v>0</v>
      </c>
      <c r="AH7" s="74"/>
      <c r="AI7" s="76">
        <v>365</v>
      </c>
      <c r="AJ7" s="77"/>
      <c r="AK7" s="78">
        <v>5.0000000000000001E-3</v>
      </c>
      <c r="AL7" s="79">
        <v>1E-3</v>
      </c>
      <c r="AM7" s="80">
        <v>0.01</v>
      </c>
      <c r="AN7" s="1713" t="s">
        <v>3789</v>
      </c>
      <c r="AO7" s="52">
        <f t="shared" ref="AO7:AO13" ca="1" si="8">SUMIF(INDIRECT("'"&amp;AN7&amp;"'"&amp;"!A:A"),"总价",INDIRECT("'"&amp;AN7&amp;"'"&amp;"!B:B"))</f>
        <v>130078</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3324</v>
      </c>
      <c r="D8" s="858">
        <f>SUMIF(项目基本情况!C$12:I$12,C8,项目基本情况!C$14:I$14)</f>
        <v>50</v>
      </c>
      <c r="E8" s="857">
        <f>IF(B8="","",SUMIF(项目基本情况!C$12:I$12,C8,项目基本情况!C$13:I$13))</f>
        <v>59479</v>
      </c>
      <c r="F8" s="64">
        <f>SUMIF(项目基本情况!C$12:I$12,C8,项目基本情况!C$15:I$15)</f>
        <v>38.06</v>
      </c>
      <c r="G8" s="65">
        <f t="shared" si="2"/>
        <v>0.91400000000000003</v>
      </c>
      <c r="H8" s="732">
        <v>4.4999999999999998E-2</v>
      </c>
      <c r="I8" s="732">
        <v>0.05</v>
      </c>
      <c r="J8" s="66">
        <f>J6</f>
        <v>8.5000000000000006E-2</v>
      </c>
      <c r="K8" s="1030">
        <f>SUMIF('数据-汇总表'!C$19:C$33,A8,'数据-汇总表'!E$19:E$33)</f>
        <v>11525.369999999966</v>
      </c>
      <c r="L8" s="733">
        <v>3500</v>
      </c>
      <c r="M8" s="67">
        <f>ROUND(K8*L8/10000,0)</f>
        <v>4034</v>
      </c>
      <c r="N8" s="3532">
        <f>N6</f>
        <v>0.55000000000000004</v>
      </c>
      <c r="O8" s="67">
        <f t="shared" si="3"/>
        <v>2219</v>
      </c>
      <c r="P8" s="68">
        <f t="shared" si="4"/>
        <v>1815</v>
      </c>
      <c r="Q8" s="734">
        <v>0.05</v>
      </c>
      <c r="R8" s="69">
        <f ca="1">SUMIF('数据-汇总表'!C$19:C$33,A8,'数据-汇总表'!R$19:R$27)</f>
        <v>1225.8599999999999</v>
      </c>
      <c r="S8" s="51">
        <f>IF('数据-汇总表'!$I$17="按面积比例",SUMIF('数据-汇总表'!C$19:C$33,A8,'数据-汇总表'!K$19:K$33),SUMIF('数据-汇总表'!C$19:C$33,A8,'数据-汇总表'!N$19:N$33))</f>
        <v>0</v>
      </c>
      <c r="T8" s="1171">
        <f t="shared" si="5"/>
        <v>0</v>
      </c>
      <c r="U8" s="3423">
        <v>600</v>
      </c>
      <c r="V8" s="735">
        <f>V6</f>
        <v>0</v>
      </c>
      <c r="W8" s="735">
        <v>0.15</v>
      </c>
      <c r="X8" s="1040"/>
      <c r="Y8" s="71">
        <f>Y6</f>
        <v>1</v>
      </c>
      <c r="Z8" s="72"/>
      <c r="AA8" s="66"/>
      <c r="AB8" s="66"/>
      <c r="AC8" s="1040"/>
      <c r="AD8" s="73"/>
      <c r="AE8" s="1041">
        <f t="shared" ca="1" si="6"/>
        <v>36.760000000000005</v>
      </c>
      <c r="AF8" s="1346"/>
      <c r="AG8" s="138">
        <f t="shared" si="7"/>
        <v>0</v>
      </c>
      <c r="AH8" s="736">
        <f>AH23</f>
        <v>412</v>
      </c>
      <c r="AI8" s="76">
        <v>12</v>
      </c>
      <c r="AJ8" s="77"/>
      <c r="AK8" s="737">
        <v>2E-3</v>
      </c>
      <c r="AL8" s="738">
        <v>1E-3</v>
      </c>
      <c r="AM8" s="739">
        <v>5.0000000000000001E-3</v>
      </c>
      <c r="AN8" s="1713" t="s">
        <v>3791</v>
      </c>
      <c r="AO8" s="52">
        <f t="shared" ca="1" si="8"/>
        <v>4735</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1"/>
      <c r="U14" s="670"/>
      <c r="V14" s="1035"/>
      <c r="W14" s="1035"/>
      <c r="X14" s="1036"/>
      <c r="Y14" s="1037"/>
      <c r="Z14" s="1038"/>
      <c r="AA14" s="1039"/>
      <c r="AB14" s="1039"/>
      <c r="AC14" s="1040"/>
      <c r="AD14" s="1036"/>
      <c r="AE14" s="1041"/>
      <c r="AF14" s="52"/>
      <c r="AG14" s="138"/>
      <c r="AH14" s="1041"/>
      <c r="AI14" s="1355"/>
      <c r="AJ14" s="704"/>
      <c r="AK14" s="1042"/>
      <c r="AL14" s="1043"/>
      <c r="AM14" s="1044"/>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5"/>
      <c r="AJ15" s="704"/>
      <c r="AK15" s="1042"/>
      <c r="AL15" s="1043"/>
      <c r="AM15" s="1044"/>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3"/>
      <c r="D16" s="1718"/>
      <c r="E16" s="88"/>
      <c r="F16" s="88"/>
      <c r="G16" s="89">
        <f>ROUND(SUMPRODUCT(G6:G13,K6:K13)/SUMPRODUCT((G6:G13&gt;0)*(K6:K13)),3)</f>
        <v>0.90100000000000002</v>
      </c>
      <c r="H16" s="90">
        <f>ROUND(SUMPRODUCT(H6:H13,K6:K13)/SUMPRODUCT((H6:H13&gt;0)*(K6:K13)),3)</f>
        <v>5.1999999999999998E-2</v>
      </c>
      <c r="I16" s="91"/>
      <c r="J16" s="91"/>
      <c r="K16" s="92">
        <f>SUM(K6:K15)</f>
        <v>127815.41999999985</v>
      </c>
      <c r="L16" s="93">
        <f>ROUND(M16*10000/SUM(K6:K14),0)</f>
        <v>4154</v>
      </c>
      <c r="M16" s="93">
        <f>SUM(M6:M14)</f>
        <v>53100</v>
      </c>
      <c r="N16" s="94">
        <f>ROUND(SUMPRODUCT(M6:M14,N6:N14)/M16,3)</f>
        <v>0.55000000000000004</v>
      </c>
      <c r="O16" s="93">
        <f>SUM(O6:O14)</f>
        <v>29206</v>
      </c>
      <c r="P16" s="93">
        <f>SUM(P6:P14)</f>
        <v>23894</v>
      </c>
      <c r="Q16" s="95">
        <f>ROUND(SUMPRODUCT(Q6:Q13,K6:K13)/SUMPRODUCT((Q6:Q13&gt;0)*(K6:K13)),2)</f>
        <v>0.14000000000000001</v>
      </c>
      <c r="R16" s="1034">
        <f ca="1">SUM(R6:R13)</f>
        <v>13594.730000000001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3531" t="s">
        <v>4028</v>
      </c>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1209</v>
      </c>
      <c r="B19" s="103">
        <v>0</v>
      </c>
      <c r="C19" s="2793" t="s">
        <v>2294</v>
      </c>
      <c r="D19" s="2670"/>
      <c r="E19" s="2667"/>
      <c r="F19" s="2667"/>
      <c r="G19" s="2667"/>
      <c r="H19" s="2667"/>
      <c r="I19" s="2667"/>
      <c r="J19" s="2667"/>
      <c r="K19" s="2666"/>
      <c r="L19" s="2666"/>
      <c r="M19" s="2665"/>
      <c r="N19" s="2665"/>
      <c r="O19" s="2665"/>
      <c r="P19" s="2665"/>
      <c r="Q19" s="2665"/>
      <c r="R19" s="2665"/>
      <c r="S19" s="2665"/>
      <c r="T19" s="2665"/>
      <c r="U19" s="2665"/>
      <c r="V19" s="3504" t="s">
        <v>3775</v>
      </c>
      <c r="W19" s="3504" t="s">
        <v>3776</v>
      </c>
      <c r="X19" s="3504" t="s">
        <v>3777</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1210</v>
      </c>
      <c r="B20" s="104">
        <v>3</v>
      </c>
      <c r="C20" s="2794" t="s">
        <v>2292</v>
      </c>
      <c r="D20" s="2670"/>
      <c r="E20" s="2667"/>
      <c r="F20" s="2667"/>
      <c r="G20" s="2667"/>
      <c r="H20" s="2667"/>
      <c r="I20" s="3506" t="s">
        <v>3764</v>
      </c>
      <c r="J20" s="3507"/>
      <c r="K20" s="3507"/>
      <c r="L20" s="3507"/>
      <c r="M20" s="2665"/>
      <c r="N20" s="2665" t="s">
        <v>3399</v>
      </c>
      <c r="O20" s="2665" t="s">
        <v>3751</v>
      </c>
      <c r="P20" s="2665" t="s">
        <v>3752</v>
      </c>
      <c r="Q20" s="2665">
        <f>ROUND(P22+P23+5%+10%,2)</f>
        <v>0.65</v>
      </c>
      <c r="R20" s="2665"/>
      <c r="S20" s="2665"/>
      <c r="T20" s="2665"/>
      <c r="U20" s="2665">
        <v>1</v>
      </c>
      <c r="V20" s="2665">
        <f>'数据-汇总表'!F20/4</f>
        <v>12114.1525</v>
      </c>
      <c r="W20" s="2665">
        <v>9.5</v>
      </c>
      <c r="X20" s="2665">
        <v>1</v>
      </c>
      <c r="Y20" s="2665">
        <f>V20*W20</f>
        <v>115084.44875</v>
      </c>
      <c r="Z20" s="2665"/>
      <c r="AA20" s="2665"/>
      <c r="AB20" s="2665"/>
      <c r="AC20" s="2665"/>
      <c r="AD20" s="2665"/>
      <c r="AE20" s="2665"/>
      <c r="AF20" s="2665"/>
      <c r="AG20" s="2665"/>
      <c r="AH20" s="2665" t="s">
        <v>3782</v>
      </c>
      <c r="AI20" s="3504" t="s">
        <v>3778</v>
      </c>
      <c r="AJ20" s="2665"/>
      <c r="AK20" s="2665"/>
      <c r="AL20" s="2665"/>
      <c r="AM20" s="2665"/>
      <c r="AN20" s="2665"/>
      <c r="AO20" s="2665"/>
      <c r="AP20" s="2665"/>
      <c r="AQ20" s="2665"/>
      <c r="AR20" s="2665"/>
    </row>
    <row r="21" spans="1:67" ht="14.25">
      <c r="A21" s="1722" t="s">
        <v>1211</v>
      </c>
      <c r="B21" s="104">
        <f>ROUND(B20*N16,1)</f>
        <v>1.7</v>
      </c>
      <c r="C21" s="2667"/>
      <c r="D21" s="2670"/>
      <c r="E21" s="2667"/>
      <c r="F21" s="2667"/>
      <c r="G21" s="2667"/>
      <c r="H21" s="2667"/>
      <c r="I21" s="3508"/>
      <c r="J21" s="3509" t="s">
        <v>3402</v>
      </c>
      <c r="K21" s="3509" t="s">
        <v>3765</v>
      </c>
      <c r="L21" s="3509" t="s">
        <v>3766</v>
      </c>
      <c r="M21" s="2665"/>
      <c r="N21" s="2665" t="s">
        <v>3753</v>
      </c>
      <c r="O21" s="2665" t="s">
        <v>3754</v>
      </c>
      <c r="P21" s="3503">
        <v>0.5</v>
      </c>
      <c r="Q21" s="2665"/>
      <c r="R21" s="2665"/>
      <c r="S21" s="2665"/>
      <c r="T21" s="2665"/>
      <c r="U21" s="2665">
        <v>2</v>
      </c>
      <c r="V21" s="2665">
        <f>V20</f>
        <v>12114.1525</v>
      </c>
      <c r="W21" s="2665">
        <f>W20*X21</f>
        <v>5.7</v>
      </c>
      <c r="X21" s="2665">
        <v>0.6</v>
      </c>
      <c r="Y21" s="2665">
        <f t="shared" ref="Y21:Y24" si="12">V21*W21</f>
        <v>69050.669250000006</v>
      </c>
      <c r="Z21" s="2665"/>
      <c r="AA21" s="2665"/>
      <c r="AB21" s="2665"/>
      <c r="AC21" s="2665"/>
      <c r="AD21" s="2665"/>
      <c r="AE21" s="2665"/>
      <c r="AF21" s="2665"/>
      <c r="AG21" s="3504" t="s">
        <v>3779</v>
      </c>
      <c r="AH21" s="2665">
        <v>11</v>
      </c>
      <c r="AI21" s="2665">
        <v>800</v>
      </c>
      <c r="AJ21" s="2665">
        <f>AI21*AH21</f>
        <v>8800</v>
      </c>
      <c r="AK21" s="2665"/>
      <c r="AL21" s="2665"/>
      <c r="AM21" s="2665"/>
      <c r="AN21" s="2665"/>
      <c r="AO21" s="2665"/>
      <c r="AP21" s="2665"/>
      <c r="AQ21" s="2665"/>
      <c r="AR21" s="2665"/>
    </row>
    <row r="22" spans="1:67" ht="14.25">
      <c r="A22" s="1721" t="s">
        <v>1212</v>
      </c>
      <c r="B22" s="105">
        <f>B19+B20</f>
        <v>3</v>
      </c>
      <c r="C22" s="2667"/>
      <c r="D22" s="2670"/>
      <c r="E22" s="2667"/>
      <c r="F22" s="2667"/>
      <c r="G22" s="2667"/>
      <c r="H22" s="2667"/>
      <c r="I22" s="3510" t="s">
        <v>3767</v>
      </c>
      <c r="J22" s="3511">
        <f>J23</f>
        <v>127815.41999999985</v>
      </c>
      <c r="K22" s="3511">
        <f>ROUND(L22*10000/J22,0)</f>
        <v>5166</v>
      </c>
      <c r="L22" s="3511">
        <f>L23+L26+L27+L28</f>
        <v>66029</v>
      </c>
      <c r="M22" s="2665"/>
      <c r="N22" s="2665" t="s">
        <v>3755</v>
      </c>
      <c r="O22" s="2665" t="s">
        <v>3756</v>
      </c>
      <c r="P22" s="3503">
        <v>0.2</v>
      </c>
      <c r="Q22" s="3504" t="s">
        <v>3763</v>
      </c>
      <c r="R22" s="2665"/>
      <c r="S22" s="2665"/>
      <c r="T22" s="2665"/>
      <c r="U22" s="2665">
        <v>3</v>
      </c>
      <c r="V22" s="2665">
        <f>V21</f>
        <v>12114.1525</v>
      </c>
      <c r="W22" s="2665">
        <f>W20*X22</f>
        <v>5.2250000000000005</v>
      </c>
      <c r="X22" s="2665">
        <v>0.55000000000000004</v>
      </c>
      <c r="Y22" s="2665">
        <f t="shared" si="12"/>
        <v>63296.446812500006</v>
      </c>
      <c r="Z22" s="2665"/>
      <c r="AA22" s="2665"/>
      <c r="AB22" s="2665"/>
      <c r="AC22" s="2665"/>
      <c r="AD22" s="2665"/>
      <c r="AE22" s="2665"/>
      <c r="AF22" s="2665"/>
      <c r="AG22" s="3504" t="s">
        <v>3780</v>
      </c>
      <c r="AH22" s="2665">
        <v>401</v>
      </c>
      <c r="AI22" s="2665">
        <v>600</v>
      </c>
      <c r="AJ22" s="2665">
        <f>AI22*AH22</f>
        <v>240600</v>
      </c>
      <c r="AK22" s="2665"/>
      <c r="AL22" s="2665"/>
      <c r="AM22" s="2665"/>
      <c r="AN22" s="2665"/>
      <c r="AO22" s="2665"/>
      <c r="AP22" s="2665"/>
      <c r="AQ22" s="2665"/>
      <c r="AR22" s="2665"/>
    </row>
    <row r="23" spans="1:67" ht="14.25">
      <c r="A23" s="1722" t="s">
        <v>1213</v>
      </c>
      <c r="B23" s="105">
        <f>B19+B21</f>
        <v>1.7</v>
      </c>
      <c r="C23" s="2667"/>
      <c r="D23" s="2670"/>
      <c r="E23" s="2667"/>
      <c r="F23" s="2667"/>
      <c r="G23" s="2667"/>
      <c r="H23" s="2667"/>
      <c r="I23" s="3510" t="s">
        <v>3768</v>
      </c>
      <c r="J23" s="3511">
        <f>J24+J25</f>
        <v>127815.41999999985</v>
      </c>
      <c r="K23" s="3511">
        <f>ROUND(L23*10000/J23,0)</f>
        <v>2277</v>
      </c>
      <c r="L23" s="3511">
        <f>SUM(L24:L25)</f>
        <v>29102</v>
      </c>
      <c r="M23" s="2665"/>
      <c r="N23" s="2665" t="s">
        <v>3757</v>
      </c>
      <c r="O23" s="2665" t="s">
        <v>3758</v>
      </c>
      <c r="P23" s="3503">
        <v>0.3</v>
      </c>
      <c r="Q23" s="3505">
        <v>0.9</v>
      </c>
      <c r="R23" s="2665"/>
      <c r="S23" s="2665"/>
      <c r="T23" s="2665"/>
      <c r="U23" s="2665">
        <v>4</v>
      </c>
      <c r="V23" s="2665">
        <f>V22</f>
        <v>12114.1525</v>
      </c>
      <c r="W23" s="2665">
        <f>W20*X23</f>
        <v>4.75</v>
      </c>
      <c r="X23" s="2665">
        <v>0.5</v>
      </c>
      <c r="Y23" s="2665">
        <f t="shared" si="12"/>
        <v>57542.224374999998</v>
      </c>
      <c r="Z23" s="2665"/>
      <c r="AA23" s="2665"/>
      <c r="AB23" s="2665"/>
      <c r="AC23" s="2665"/>
      <c r="AD23" s="2665"/>
      <c r="AE23" s="2665"/>
      <c r="AF23" s="2665"/>
      <c r="AG23" s="3504" t="s">
        <v>3781</v>
      </c>
      <c r="AH23" s="2665">
        <v>412</v>
      </c>
      <c r="AI23" s="2665">
        <f>AJ23/AH23</f>
        <v>605.33980582524271</v>
      </c>
      <c r="AJ23" s="2665">
        <f>AJ22+AJ21</f>
        <v>249400</v>
      </c>
      <c r="AK23" s="2665"/>
      <c r="AL23" s="2665"/>
      <c r="AM23" s="2665"/>
      <c r="AN23" s="2665"/>
      <c r="AO23" s="2665"/>
      <c r="AP23" s="2665"/>
      <c r="AQ23" s="2665"/>
      <c r="AR23" s="2665"/>
    </row>
    <row r="24" spans="1:67" ht="15" thickBot="1">
      <c r="A24" s="1723" t="s">
        <v>1214</v>
      </c>
      <c r="B24" s="106">
        <f>B20-B21</f>
        <v>1.3</v>
      </c>
      <c r="C24" s="2667"/>
      <c r="D24" s="2670"/>
      <c r="E24" s="2667"/>
      <c r="F24" s="2667"/>
      <c r="G24" s="2667"/>
      <c r="H24" s="2667"/>
      <c r="I24" s="3509" t="s">
        <v>3744</v>
      </c>
      <c r="J24" s="3508">
        <f>'数据-汇总表'!F31</f>
        <v>99445.269999999888</v>
      </c>
      <c r="K24" s="3508">
        <v>1500</v>
      </c>
      <c r="L24" s="3508">
        <f t="shared" ref="L24:L29" si="13">ROUND(K24*J24/10000,0)</f>
        <v>14917</v>
      </c>
      <c r="M24" s="2665"/>
      <c r="N24" s="2665" t="s">
        <v>3759</v>
      </c>
      <c r="O24" s="2665" t="s">
        <v>3760</v>
      </c>
      <c r="P24" s="3503">
        <v>0.3</v>
      </c>
      <c r="Q24" s="2665"/>
      <c r="R24" s="2665"/>
      <c r="S24" s="2665"/>
      <c r="T24" s="2665"/>
      <c r="U24" s="2665">
        <v>-1</v>
      </c>
      <c r="V24" s="2665">
        <f>'数据-汇总表'!G20</f>
        <v>16844.78</v>
      </c>
      <c r="W24" s="2665">
        <f>W20*X24</f>
        <v>4.75</v>
      </c>
      <c r="X24" s="2665">
        <v>0.5</v>
      </c>
      <c r="Y24" s="2665">
        <f t="shared" si="12"/>
        <v>80012.704999999987</v>
      </c>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3509" t="s">
        <v>3745</v>
      </c>
      <c r="J25" s="3508">
        <f>'数据-汇总表'!G31</f>
        <v>28370.149999999965</v>
      </c>
      <c r="K25" s="3508">
        <v>5000</v>
      </c>
      <c r="L25" s="3508">
        <f t="shared" si="13"/>
        <v>14185</v>
      </c>
      <c r="M25" s="2665"/>
      <c r="N25" s="2665" t="s">
        <v>3761</v>
      </c>
      <c r="O25" s="2665" t="s">
        <v>3762</v>
      </c>
      <c r="P25" s="3503">
        <v>0.19999999999999996</v>
      </c>
      <c r="Q25" s="3505">
        <v>0.5</v>
      </c>
      <c r="R25" s="2665"/>
      <c r="S25" s="2665"/>
      <c r="T25" s="2665"/>
      <c r="U25" s="2665"/>
      <c r="V25" s="2665">
        <f>SUM(V20:V24)</f>
        <v>65301.39</v>
      </c>
      <c r="W25" s="2665">
        <f>Y25/V25</f>
        <v>5.8955329157235399</v>
      </c>
      <c r="X25" s="2665"/>
      <c r="Y25" s="2665">
        <f t="shared" ref="Y25" si="14">SUM(Y20:Y24)</f>
        <v>384986.49418749998</v>
      </c>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1215</v>
      </c>
      <c r="B26" s="1724" t="s">
        <v>1216</v>
      </c>
      <c r="C26" s="2671" t="s">
        <v>1217</v>
      </c>
      <c r="D26" s="2670"/>
      <c r="E26" s="2667"/>
      <c r="F26" s="2667"/>
      <c r="G26" s="2667"/>
      <c r="H26" s="2667"/>
      <c r="I26" s="3510" t="s">
        <v>3772</v>
      </c>
      <c r="J26" s="3511">
        <f>J24</f>
        <v>99445.269999999888</v>
      </c>
      <c r="K26" s="3511">
        <v>1000</v>
      </c>
      <c r="L26" s="3508">
        <f t="shared" si="13"/>
        <v>9945</v>
      </c>
      <c r="M26" s="2665"/>
      <c r="N26" s="2665"/>
      <c r="O26" s="2665"/>
      <c r="P26" s="3503">
        <v>1</v>
      </c>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1218</v>
      </c>
      <c r="B27" s="107"/>
      <c r="C27" s="2795" t="s">
        <v>2296</v>
      </c>
      <c r="D27" s="2673"/>
      <c r="E27" s="2655"/>
      <c r="F27" s="2655"/>
      <c r="G27" s="2667"/>
      <c r="H27" s="2667"/>
      <c r="I27" s="3510" t="s">
        <v>3773</v>
      </c>
      <c r="J27" s="3511">
        <f>J25</f>
        <v>28370.149999999965</v>
      </c>
      <c r="K27" s="3511">
        <v>500</v>
      </c>
      <c r="L27" s="3508">
        <f t="shared" si="13"/>
        <v>1419</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1219</v>
      </c>
      <c r="B28" s="110">
        <v>200</v>
      </c>
      <c r="C28" s="2674"/>
      <c r="D28" s="2673"/>
      <c r="E28" s="2655"/>
      <c r="F28" s="2655"/>
      <c r="G28" s="2667"/>
      <c r="H28" s="2667"/>
      <c r="I28" s="3510" t="s">
        <v>3769</v>
      </c>
      <c r="J28" s="3511">
        <f>J23</f>
        <v>127815.41999999985</v>
      </c>
      <c r="K28" s="3511">
        <v>2000</v>
      </c>
      <c r="L28" s="3508">
        <f t="shared" si="13"/>
        <v>25563</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1220</v>
      </c>
      <c r="B29" s="112">
        <f ca="1">成本法!C10</f>
        <v>2556</v>
      </c>
      <c r="C29" s="2796" t="s">
        <v>2285</v>
      </c>
      <c r="D29" s="2673"/>
      <c r="E29" s="2655"/>
      <c r="F29" s="2655"/>
      <c r="G29" s="2667"/>
      <c r="H29" s="2667"/>
      <c r="I29" s="3510" t="s">
        <v>3770</v>
      </c>
      <c r="J29" s="3511">
        <f>8470.36+136</f>
        <v>8606.36</v>
      </c>
      <c r="K29" s="3511">
        <f>K25</f>
        <v>5000</v>
      </c>
      <c r="L29" s="3508">
        <f t="shared" si="13"/>
        <v>4303</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1221</v>
      </c>
      <c r="B30" s="671">
        <v>200</v>
      </c>
      <c r="C30" s="2674"/>
      <c r="D30" s="2673"/>
      <c r="E30" s="2655"/>
      <c r="F30" s="2655"/>
      <c r="G30" s="2667"/>
      <c r="H30" s="2667"/>
      <c r="I30" s="3510"/>
      <c r="J30" s="3512"/>
      <c r="K30" s="3508"/>
      <c r="L30" s="3508"/>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1222</v>
      </c>
      <c r="B31" s="111">
        <f>B30-B32</f>
        <v>200</v>
      </c>
      <c r="C31" s="2672"/>
      <c r="D31" s="2673"/>
      <c r="E31" s="2655"/>
      <c r="F31" s="2655"/>
      <c r="G31" s="2667"/>
      <c r="H31" s="2667"/>
      <c r="I31" s="3509" t="s">
        <v>3771</v>
      </c>
      <c r="J31" s="3508">
        <f>J23</f>
        <v>127815.41999999985</v>
      </c>
      <c r="K31" s="3511">
        <f>ROUND(L31*10000/J31,0)</f>
        <v>5503</v>
      </c>
      <c r="L31" s="3508">
        <f>SUM(L22+L29)</f>
        <v>70332</v>
      </c>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1224</v>
      </c>
      <c r="B33" s="673">
        <v>0.05</v>
      </c>
      <c r="C33" s="2797" t="s">
        <v>3367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1225</v>
      </c>
      <c r="B34" s="113">
        <v>0</v>
      </c>
      <c r="C34" s="2797" t="s">
        <v>2286</v>
      </c>
      <c r="D34" s="2678" t="s">
        <v>2293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1226</v>
      </c>
      <c r="B35" s="110">
        <f>B30</f>
        <v>200</v>
      </c>
      <c r="C35" s="2797" t="s">
        <v>2287</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1227</v>
      </c>
      <c r="B36" s="114">
        <v>1.4999999999999999E-2</v>
      </c>
      <c r="C36" s="2797" t="s">
        <v>3368</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1228</v>
      </c>
      <c r="B37" s="115">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1229</v>
      </c>
      <c r="B38" s="113">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4029</v>
      </c>
      <c r="B40" s="3534">
        <f ca="1">IF(A40="利息：取LPR",存贷款利率!G1,存贷款利率!G1+C40)</f>
        <v>3.1E-2</v>
      </c>
      <c r="C40" s="2808">
        <v>3.5000000000000001E-3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1231</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1233</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1234</v>
      </c>
      <c r="B44" s="119">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1235</v>
      </c>
      <c r="B45" s="117">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1236</v>
      </c>
      <c r="B46" s="117">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1237</v>
      </c>
      <c r="B47" s="120">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1238</v>
      </c>
      <c r="B48" s="121">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1239</v>
      </c>
      <c r="B49" s="117">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1242</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1243</v>
      </c>
      <c r="B53" s="1736" t="s">
        <v>29</v>
      </c>
      <c r="C53" s="2655" t="s">
        <v>1244</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1250</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4"/>
  </cols>
  <sheetData>
    <row r="1" spans="1:29" s="2453" customFormat="1" ht="18.75" thickBot="1">
      <c r="A1" s="3629" t="s">
        <v>2277</v>
      </c>
      <c r="B1" s="3630"/>
      <c r="C1" s="3630"/>
      <c r="D1" s="3630"/>
      <c r="E1" s="3630"/>
      <c r="F1" s="3630"/>
      <c r="G1" s="363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526" t="s">
        <v>3991</v>
      </c>
      <c r="D3" s="2460"/>
      <c r="E3" s="2438" t="s">
        <v>2275</v>
      </c>
      <c r="F3" s="2461" t="s">
        <v>2248</v>
      </c>
      <c r="G3" s="2462" t="s">
        <v>2276</v>
      </c>
      <c r="H3" s="799"/>
      <c r="I3" s="799"/>
      <c r="J3" s="799"/>
      <c r="K3" s="799"/>
      <c r="L3" s="799"/>
      <c r="M3" s="799"/>
      <c r="N3" s="799"/>
      <c r="O3" s="799"/>
      <c r="P3" s="799"/>
      <c r="Q3" s="799"/>
      <c r="R3" s="799"/>
    </row>
    <row r="4" spans="1:29" ht="36">
      <c r="A4" s="2438"/>
      <c r="B4" s="323" t="s">
        <v>2249</v>
      </c>
      <c r="C4" s="3527" t="s">
        <v>3992</v>
      </c>
      <c r="D4" s="2460"/>
      <c r="E4" s="2463"/>
      <c r="F4" s="1371" t="s">
        <v>2250</v>
      </c>
      <c r="G4" s="2464" t="s">
        <v>2251</v>
      </c>
      <c r="H4" s="799"/>
      <c r="I4" s="799"/>
      <c r="J4" s="799"/>
      <c r="K4" s="799"/>
      <c r="L4" s="799"/>
      <c r="M4" s="799"/>
      <c r="N4" s="799"/>
      <c r="O4" s="799"/>
      <c r="P4" s="799"/>
      <c r="Q4" s="799"/>
      <c r="R4" s="799"/>
    </row>
    <row r="5" spans="1:29" ht="24">
      <c r="A5" s="2438"/>
      <c r="B5" s="323" t="s">
        <v>2252</v>
      </c>
      <c r="C5" s="3527" t="s">
        <v>3993</v>
      </c>
      <c r="D5" s="2460"/>
      <c r="E5" s="2463"/>
      <c r="F5" s="323" t="s">
        <v>2253</v>
      </c>
      <c r="G5" s="2464" t="s">
        <v>2254</v>
      </c>
      <c r="H5" s="799"/>
      <c r="I5" s="799"/>
      <c r="J5" s="799"/>
      <c r="K5" s="799"/>
      <c r="L5" s="799"/>
      <c r="M5" s="799"/>
      <c r="N5" s="799"/>
      <c r="O5" s="799"/>
      <c r="P5" s="799"/>
      <c r="Q5" s="799"/>
      <c r="R5" s="799"/>
    </row>
    <row r="6" spans="1:29">
      <c r="A6" s="2438"/>
      <c r="B6" s="323" t="s">
        <v>2255</v>
      </c>
      <c r="C6" s="3528" t="s">
        <v>3995</v>
      </c>
      <c r="D6" s="2460"/>
      <c r="E6" s="2463"/>
      <c r="F6" s="323" t="s">
        <v>2256</v>
      </c>
      <c r="G6" s="2464" t="s">
        <v>2257</v>
      </c>
      <c r="H6" s="799"/>
      <c r="I6" s="799"/>
      <c r="J6" s="799"/>
      <c r="K6" s="799"/>
      <c r="L6" s="799"/>
      <c r="M6" s="799"/>
      <c r="N6" s="799"/>
      <c r="O6" s="799"/>
      <c r="P6" s="799"/>
      <c r="Q6" s="799"/>
      <c r="R6" s="799"/>
    </row>
    <row r="7" spans="1:29" ht="24.75" thickBot="1">
      <c r="A7" s="2438"/>
      <c r="B7" s="323" t="s">
        <v>2253</v>
      </c>
      <c r="C7" s="3528" t="s">
        <v>3996</v>
      </c>
      <c r="D7" s="2465"/>
      <c r="E7" s="2466"/>
      <c r="F7" s="2467" t="s">
        <v>2258</v>
      </c>
      <c r="G7" s="2468" t="s">
        <v>2259</v>
      </c>
      <c r="H7" s="799"/>
      <c r="I7" s="799"/>
      <c r="J7" s="799"/>
      <c r="K7" s="799"/>
      <c r="L7" s="799"/>
      <c r="M7" s="799"/>
      <c r="N7" s="799"/>
      <c r="O7" s="799"/>
      <c r="P7" s="799"/>
      <c r="Q7" s="799"/>
      <c r="R7" s="799"/>
    </row>
    <row r="8" spans="1:29">
      <c r="A8" s="2438"/>
      <c r="B8" s="323" t="s">
        <v>2256</v>
      </c>
      <c r="C8" s="3528" t="s">
        <v>3998</v>
      </c>
      <c r="D8" s="2465"/>
      <c r="E8" s="2465"/>
      <c r="F8" s="2469"/>
      <c r="G8" s="2469"/>
      <c r="H8" s="799"/>
      <c r="I8" s="799"/>
      <c r="J8" s="799"/>
      <c r="K8" s="799"/>
      <c r="L8" s="799"/>
      <c r="M8" s="799"/>
      <c r="N8" s="799"/>
      <c r="O8" s="799"/>
      <c r="P8" s="799"/>
      <c r="Q8" s="799"/>
      <c r="R8" s="799"/>
    </row>
    <row r="9" spans="1:29">
      <c r="A9" s="2438"/>
      <c r="B9" s="323" t="s">
        <v>2260</v>
      </c>
      <c r="C9" s="3527" t="s">
        <v>3991</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较好</v>
      </c>
      <c r="D15" s="2460"/>
      <c r="E15" s="2441" t="s">
        <v>2265</v>
      </c>
      <c r="F15" s="2491" t="s">
        <v>2266</v>
      </c>
      <c r="G15" s="2493" t="str">
        <f>G3</f>
        <v>估价对象位于XX开发区，园区建设成熟度XX，产业集聚程度XX</v>
      </c>
    </row>
    <row r="16" spans="1:29" ht="38.25">
      <c r="A16" s="2442"/>
      <c r="B16" s="2494" t="s">
        <v>2249</v>
      </c>
      <c r="C16" s="2495" t="str">
        <f>C4</f>
        <v>较好</v>
      </c>
      <c r="D16" s="2460"/>
      <c r="E16" s="2443"/>
      <c r="F16" s="2496" t="s">
        <v>2250</v>
      </c>
      <c r="G16" s="2497" t="str">
        <f>G4</f>
        <v>估价对象周边道路状况、公共交通通达情况、停车便捷程度，综合评价交通便捷度较好</v>
      </c>
    </row>
    <row r="17" spans="1:18">
      <c r="A17" s="2442"/>
      <c r="B17" s="2494" t="s">
        <v>2252</v>
      </c>
      <c r="C17" s="2495" t="str">
        <f>C5</f>
        <v>较好</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2498"/>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39"/>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39"/>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18" sqref="O1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127815.41999999985</v>
      </c>
      <c r="C1" s="2680"/>
      <c r="D1" s="2680"/>
      <c r="E1" s="2680"/>
      <c r="F1" s="2680"/>
      <c r="G1" s="2681"/>
      <c r="H1" s="2682"/>
      <c r="I1" s="2682"/>
      <c r="J1" s="2682"/>
      <c r="K1" s="2682"/>
    </row>
    <row r="2" spans="1:11" ht="16.5">
      <c r="A2" s="2506" t="s">
        <v>653</v>
      </c>
      <c r="B2" s="2506">
        <f>SUM(C14:C23)</f>
        <v>13594.730000000014</v>
      </c>
      <c r="C2" s="2680"/>
      <c r="D2" s="2680"/>
      <c r="E2" s="2680"/>
      <c r="F2" s="2680"/>
      <c r="G2" s="2681"/>
      <c r="H2" s="2682"/>
      <c r="I2" s="2682"/>
      <c r="J2" s="2682"/>
      <c r="K2" s="2682"/>
    </row>
    <row r="3" spans="1:11" ht="16.5">
      <c r="A3" s="2506" t="s">
        <v>662</v>
      </c>
      <c r="B3" s="2508">
        <f>项目基本情况!D3</f>
        <v>45587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196457</v>
      </c>
      <c r="C5" s="2506">
        <f ca="1">IF(B5=D14,结果表!H102,ROUND(B5*10000/$B$1,0))</f>
        <v>15370</v>
      </c>
      <c r="D5" s="2506">
        <f ca="1">ROUND(B5*10000/$B$2,0)</f>
        <v>144510</v>
      </c>
      <c r="E5" s="2680"/>
      <c r="F5" s="2681"/>
      <c r="G5" s="2681"/>
      <c r="H5" s="2682"/>
      <c r="I5" s="2682"/>
      <c r="J5" s="2682"/>
      <c r="K5" s="2682"/>
    </row>
    <row r="6" spans="1:11" ht="16.5">
      <c r="A6" s="2506" t="s">
        <v>656</v>
      </c>
      <c r="B6" s="2506">
        <f ca="1">SUM(G14:G23)</f>
        <v>196457</v>
      </c>
      <c r="C6" s="2506">
        <f ca="1">IF(B6=G14,结果表!H108,ROUND(B6*10000/$B$1,0))</f>
        <v>15370</v>
      </c>
      <c r="D6" s="2506">
        <f ca="1">ROUND(B6*10000/$B$2,0)</f>
        <v>144510</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127815.41999999985</v>
      </c>
      <c r="C14" s="2512">
        <f>'数据-汇总表'!D3</f>
        <v>13594.730000000014</v>
      </c>
      <c r="D14" s="2512">
        <f ca="1">结果表!H118</f>
        <v>196457</v>
      </c>
      <c r="E14" s="2512">
        <f ca="1">ROUND(D14*10000/B14,0)</f>
        <v>15370</v>
      </c>
      <c r="F14" s="2512">
        <f ca="1">ROUND(D14*10000/C14,0)</f>
        <v>144510</v>
      </c>
      <c r="G14" s="2512">
        <f ca="1">D14</f>
        <v>196457</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2" t="str">
        <f>项目基本情况!B1</f>
        <v>北京市通州区运河核心区Ⅷ-13地块F3其它类多功能用地项目商务金融（办公（商务型公寓）、商业及地下车库）用地出让国有建设用地使用权及在建建筑物房地产抵押价值预评估</v>
      </c>
      <c r="C37" s="3542"/>
      <c r="D37" s="3542"/>
      <c r="E37" s="3542"/>
      <c r="F37" s="3542"/>
      <c r="G37" s="3542"/>
      <c r="H37" s="3542"/>
      <c r="I37" s="3542"/>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SheetLayoutView="90" zoomScalePageLayoutView="80" workbookViewId="0">
      <selection activeCell="J22" sqref="J22"/>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1260</v>
      </c>
      <c r="B1" s="1745"/>
      <c r="C1" s="1746"/>
      <c r="D1" s="1745"/>
      <c r="E1" s="1745"/>
      <c r="F1" s="1747" t="s">
        <v>1261</v>
      </c>
      <c r="G1" s="1559" t="s">
        <v>3390</v>
      </c>
      <c r="H1" s="1748" t="str">
        <f>IF(G1="现房","——","估价对象范围")</f>
        <v>估价对象范围</v>
      </c>
      <c r="I1" s="1749" t="s">
        <v>4015</v>
      </c>
    </row>
    <row r="2" spans="1:12" ht="21.75" customHeight="1" thickBot="1">
      <c r="A2" s="3665" t="str">
        <f>项目基本情况!S2</f>
        <v>北京市通州区运河核心区Ⅷ-13地块F3其它类多功能用地项目商务金融（办公（商务型公寓）、商业及地下车库）用地出让国有建设用地使用权及在建建筑物房地产</v>
      </c>
      <c r="B2" s="3666"/>
      <c r="C2" s="3666"/>
      <c r="D2" s="3666"/>
      <c r="E2" s="3666"/>
      <c r="F2" s="3666"/>
      <c r="G2" s="3666"/>
      <c r="H2" s="3666"/>
      <c r="I2" s="3667"/>
    </row>
    <row r="3" spans="1:12" ht="12.75">
      <c r="A3" s="3669" t="s">
        <v>1262</v>
      </c>
      <c r="B3" s="3670"/>
      <c r="C3" s="3670"/>
      <c r="D3" s="3670"/>
      <c r="E3" s="3670"/>
      <c r="F3" s="3670"/>
      <c r="G3" s="3670"/>
      <c r="H3" s="3670"/>
      <c r="I3" s="3670"/>
    </row>
    <row r="4" spans="1:12" ht="14.25">
      <c r="A4" s="1752" t="s">
        <v>1263</v>
      </c>
      <c r="B4" s="1753" t="s">
        <v>1264</v>
      </c>
      <c r="C4" s="1754" t="s">
        <v>4013</v>
      </c>
      <c r="D4" s="1754" t="s">
        <v>4014</v>
      </c>
      <c r="E4" s="3671" t="s">
        <v>1265</v>
      </c>
      <c r="F4" s="3672"/>
      <c r="G4" s="3672"/>
      <c r="H4" s="3672"/>
      <c r="I4" s="367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45" t="s">
        <v>1266</v>
      </c>
      <c r="B5" s="3632">
        <v>25</v>
      </c>
      <c r="C5" s="3648"/>
      <c r="D5" s="3668"/>
      <c r="E5" s="131" t="s">
        <v>1267</v>
      </c>
      <c r="F5" s="1755"/>
      <c r="G5" s="1755"/>
      <c r="H5" s="1755"/>
      <c r="I5" s="1371"/>
    </row>
    <row r="6" spans="1:12" ht="12.75">
      <c r="A6" s="3645"/>
      <c r="B6" s="3632"/>
      <c r="C6" s="3649"/>
      <c r="D6" s="3668"/>
      <c r="E6" s="131" t="s">
        <v>1268</v>
      </c>
      <c r="F6" s="1755"/>
      <c r="G6" s="1755"/>
      <c r="H6" s="1755"/>
      <c r="I6" s="1371"/>
    </row>
    <row r="7" spans="1:12" ht="12.75">
      <c r="A7" s="3645"/>
      <c r="B7" s="3632"/>
      <c r="C7" s="3650"/>
      <c r="D7" s="3668"/>
      <c r="E7" s="131" t="s">
        <v>1269</v>
      </c>
      <c r="F7" s="1755"/>
      <c r="G7" s="1755"/>
      <c r="H7" s="1755"/>
      <c r="I7" s="1371"/>
    </row>
    <row r="8" spans="1:12" ht="12.75">
      <c r="A8" s="3645" t="s">
        <v>1270</v>
      </c>
      <c r="B8" s="3632">
        <v>15</v>
      </c>
      <c r="C8" s="3648"/>
      <c r="D8" s="3668"/>
      <c r="E8" s="131" t="s">
        <v>1271</v>
      </c>
      <c r="F8" s="1755"/>
      <c r="G8" s="1755"/>
      <c r="H8" s="1755"/>
      <c r="I8" s="1371"/>
    </row>
    <row r="9" spans="1:12" ht="12.75">
      <c r="A9" s="3645"/>
      <c r="B9" s="3632"/>
      <c r="C9" s="3650"/>
      <c r="D9" s="3668"/>
      <c r="E9" s="131" t="s">
        <v>1272</v>
      </c>
      <c r="F9" s="1755"/>
      <c r="G9" s="1755"/>
      <c r="H9" s="1755"/>
      <c r="I9" s="1371"/>
    </row>
    <row r="10" spans="1:12" ht="12.75">
      <c r="A10" s="3645" t="s">
        <v>1273</v>
      </c>
      <c r="B10" s="3632">
        <v>15</v>
      </c>
      <c r="C10" s="3648"/>
      <c r="D10" s="3668"/>
      <c r="E10" s="131" t="s">
        <v>1274</v>
      </c>
      <c r="F10" s="1755"/>
      <c r="G10" s="1755"/>
      <c r="H10" s="1755"/>
      <c r="I10" s="1371"/>
    </row>
    <row r="11" spans="1:12" ht="12.75">
      <c r="A11" s="3645"/>
      <c r="B11" s="3632"/>
      <c r="C11" s="3650"/>
      <c r="D11" s="3668"/>
      <c r="E11" s="131" t="s">
        <v>1275</v>
      </c>
      <c r="F11" s="1755"/>
      <c r="G11" s="1755"/>
      <c r="H11" s="1755"/>
      <c r="I11" s="1371"/>
    </row>
    <row r="12" spans="1:12" ht="12.75">
      <c r="A12" s="3645" t="s">
        <v>1276</v>
      </c>
      <c r="B12" s="3632">
        <v>15</v>
      </c>
      <c r="C12" s="3648"/>
      <c r="D12" s="3668"/>
      <c r="E12" s="131" t="s">
        <v>1277</v>
      </c>
      <c r="F12" s="1755"/>
      <c r="G12" s="1755"/>
      <c r="H12" s="1755"/>
      <c r="I12" s="1371"/>
    </row>
    <row r="13" spans="1:12" ht="12.75">
      <c r="A13" s="3645"/>
      <c r="B13" s="3632"/>
      <c r="C13" s="3650"/>
      <c r="D13" s="3668"/>
      <c r="E13" s="131" t="s">
        <v>1278</v>
      </c>
      <c r="F13" s="1755"/>
      <c r="G13" s="1755"/>
      <c r="H13" s="1755"/>
      <c r="I13" s="1371"/>
    </row>
    <row r="14" spans="1:12" ht="12.75">
      <c r="A14" s="3645" t="s">
        <v>1279</v>
      </c>
      <c r="B14" s="3632">
        <v>30</v>
      </c>
      <c r="C14" s="3648">
        <v>5</v>
      </c>
      <c r="D14" s="3668">
        <v>5</v>
      </c>
      <c r="E14" s="131" t="s">
        <v>1280</v>
      </c>
      <c r="F14" s="1755"/>
      <c r="G14" s="1755"/>
      <c r="H14" s="1755"/>
      <c r="I14" s="1371"/>
    </row>
    <row r="15" spans="1:12" ht="12.75">
      <c r="A15" s="3645"/>
      <c r="B15" s="3632"/>
      <c r="C15" s="3649"/>
      <c r="D15" s="3668"/>
      <c r="E15" s="131" t="s">
        <v>1281</v>
      </c>
      <c r="F15" s="1755"/>
      <c r="G15" s="1755"/>
      <c r="H15" s="1755"/>
      <c r="I15" s="1371"/>
    </row>
    <row r="16" spans="1:12" ht="12.75">
      <c r="A16" s="3645"/>
      <c r="B16" s="3632"/>
      <c r="C16" s="3650"/>
      <c r="D16" s="3668"/>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55" t="s">
        <v>2129</v>
      </c>
      <c r="F18" s="3656"/>
      <c r="G18" s="3656"/>
      <c r="H18" s="3656"/>
      <c r="I18" s="3656"/>
      <c r="J18" s="725" t="s">
        <v>4019</v>
      </c>
      <c r="K18" s="302" t="s">
        <v>1287</v>
      </c>
      <c r="L18" s="302">
        <f>IF(C1="",'数据-汇总表'!E3,SUMIF(项目类型,C1,'数据-汇总表'!E17:E26)+SUMIF(项目类型,C1,'数据-汇总表'!I17:I26))</f>
        <v>127815.41999999985</v>
      </c>
      <c r="M18" s="302">
        <f>IF(C1="",'数据-汇总表'!E3,SUMIF(项目类型,C1,'数据-汇总表'!E17:E26))</f>
        <v>127815.41999999985</v>
      </c>
    </row>
    <row r="19" spans="1:36" ht="15">
      <c r="A19" s="1759" t="s">
        <v>1288</v>
      </c>
      <c r="B19" s="1760" t="s">
        <v>1289</v>
      </c>
      <c r="C19" s="134">
        <f ca="1">SUMIF(INDIRECT("'"&amp;C4&amp;"'"&amp;"!A:A"),结果表!B19,INDIRECT("'"&amp;C4&amp;"'"&amp;"!B:B"))</f>
        <v>240227</v>
      </c>
      <c r="D19" s="135">
        <f ca="1">SUMIF(INDIRECT("'"&amp;D4&amp;"'"&amp;"!A:A"),结果表!B19,INDIRECT("'"&amp;D4&amp;"'"&amp;"!B:B"))</f>
        <v>152686</v>
      </c>
      <c r="E19" s="1759" t="s">
        <v>1290</v>
      </c>
      <c r="F19" s="1760" t="s">
        <v>1289</v>
      </c>
      <c r="G19" s="3533">
        <f ca="1">ROUND(C19*$C$18+D19*$D$18,0)</f>
        <v>196457</v>
      </c>
      <c r="H19" s="1761" t="s">
        <v>1291</v>
      </c>
      <c r="I19" s="129"/>
      <c r="J19" s="725">
        <v>177904</v>
      </c>
      <c r="K19" s="302" t="s">
        <v>1292</v>
      </c>
      <c r="L19" s="302">
        <f>IF(C1="",'数据-汇总表'!D3,SUMIF(项目类型,C1,'数据-汇总表'!D17:D26)+SUMIF(项目类型,C1,'数据-汇总表'!H17:H27))</f>
        <v>13594.730000000014</v>
      </c>
      <c r="M19" s="302">
        <f>IF(C1="",'数据-汇总表'!D3,SUMIF(项目类型,C1,'数据-汇总表'!D17:D26))</f>
        <v>13594.730000000014</v>
      </c>
    </row>
    <row r="20" spans="1:36" ht="15">
      <c r="A20" s="1762"/>
      <c r="B20" s="1026" t="s">
        <v>1293</v>
      </c>
      <c r="C20" s="137">
        <f ca="1">SUMIF(INDIRECT("'"&amp;C4&amp;"'"&amp;"!A:A"),结果表!B20,INDIRECT("'"&amp;C4&amp;"'"&amp;"!B:B"))</f>
        <v>18795</v>
      </c>
      <c r="D20" s="138">
        <f ca="1">SUMIF(INDIRECT("'"&amp;D4&amp;"'"&amp;"!A:A"),结果表!B20,INDIRECT("'"&amp;D4&amp;"'"&amp;"!B:B"))</f>
        <v>11946</v>
      </c>
      <c r="E20" s="1762"/>
      <c r="F20" s="1026" t="s">
        <v>1293</v>
      </c>
      <c r="G20" s="139">
        <f ca="1">ROUND(C20*$C$18+D20*$D$18,0)</f>
        <v>15371</v>
      </c>
      <c r="H20" s="808" t="s">
        <v>1294</v>
      </c>
      <c r="I20" s="129"/>
    </row>
    <row r="21" spans="1:36" ht="15" customHeight="1" thickBot="1">
      <c r="A21" s="828"/>
      <c r="B21" s="1763" t="s">
        <v>1295</v>
      </c>
      <c r="C21" s="719">
        <f ca="1">ROUND(C19*10000/L19,0)</f>
        <v>176706</v>
      </c>
      <c r="D21" s="720">
        <f ca="1">ROUND(D19*10000/L19,0)</f>
        <v>112313</v>
      </c>
      <c r="E21" s="828"/>
      <c r="F21" s="1763" t="s">
        <v>1295</v>
      </c>
      <c r="G21" s="140">
        <f ca="1">ROUND(G19*10000/L19,0)</f>
        <v>144510</v>
      </c>
      <c r="H21" s="1764" t="s">
        <v>1294</v>
      </c>
      <c r="I21" s="129"/>
    </row>
    <row r="22" spans="1:36" ht="15" thickBot="1">
      <c r="A22" s="1686" t="s">
        <v>1296</v>
      </c>
      <c r="B22" s="1765"/>
      <c r="C22" s="1766"/>
      <c r="D22" s="721">
        <f ca="1">IF(C19&lt;D19,D19/C19-1,C19/D19-1)</f>
        <v>0.57334005737264704</v>
      </c>
      <c r="E22" s="129"/>
      <c r="F22" s="129"/>
      <c r="G22" s="129"/>
      <c r="H22" s="129"/>
      <c r="I22" s="129"/>
    </row>
    <row r="23" spans="1:36" ht="13.5" thickBot="1">
      <c r="A23" s="1745"/>
      <c r="B23" s="1745"/>
      <c r="C23" s="1745"/>
      <c r="D23" s="1745"/>
      <c r="E23" s="129"/>
      <c r="F23" s="129"/>
      <c r="G23" s="129"/>
      <c r="H23" s="129"/>
      <c r="I23" s="129"/>
    </row>
    <row r="24" spans="1:36" ht="14.25">
      <c r="A24" s="3639" t="s">
        <v>1297</v>
      </c>
      <c r="B24" s="1760" t="s">
        <v>1289</v>
      </c>
      <c r="C24" s="136">
        <f>IF(B30=0,0,D30)</f>
        <v>0</v>
      </c>
      <c r="D24" s="1767"/>
      <c r="E24" s="129"/>
      <c r="F24" s="129"/>
      <c r="G24" s="129"/>
      <c r="H24" s="129"/>
      <c r="I24" s="129"/>
    </row>
    <row r="25" spans="1:36" ht="14.25">
      <c r="A25" s="3640"/>
      <c r="B25" s="1026"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f ca="1">G19*10000/'数据-汇总表'!F31</f>
        <v>19755.28851196243</v>
      </c>
      <c r="D27" s="143">
        <f ca="1">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196457</v>
      </c>
      <c r="D32" s="1773" t="s">
        <v>4016</v>
      </c>
      <c r="E32" s="129"/>
      <c r="F32" s="129"/>
      <c r="G32" s="129"/>
      <c r="H32" s="129"/>
      <c r="I32" s="129"/>
    </row>
    <row r="33" spans="1:15" ht="15">
      <c r="A33" s="786" t="s">
        <v>1304</v>
      </c>
      <c r="B33" s="1774"/>
      <c r="C33" s="1775" t="s">
        <v>4017</v>
      </c>
      <c r="D33" s="1776" t="s">
        <v>4013</v>
      </c>
      <c r="E33" s="1777" t="s">
        <v>1305</v>
      </c>
      <c r="F33" s="1778" t="str">
        <f>IF(D32="楼面单价","取值（单价）","取值（总价）")</f>
        <v>取值（总价）</v>
      </c>
      <c r="G33" s="129"/>
      <c r="H33" s="129"/>
      <c r="I33" s="129"/>
    </row>
    <row r="34" spans="1:15" ht="15">
      <c r="A34" s="1779"/>
      <c r="B34" s="1780" t="s">
        <v>1306</v>
      </c>
      <c r="C34" s="148">
        <f ca="1">IF(C33="自定义",F34,C32-C35)</f>
        <v>162273</v>
      </c>
      <c r="D34" s="861">
        <f ca="1">IF(C33="自定义",ROUND(C34/C32,3),IF(C33="收益比率",SUMIF(INDIRECT("'"&amp;D33&amp;"'"&amp;"!b:b"),"土地收益比率",INDIRECT("'"&amp;D33&amp;"'"&amp;"!c:c")),SUMIF(INDIRECT("'"&amp;D33&amp;"'"&amp;"!b:b"),"土地成本比率",INDIRECT("'"&amp;D33&amp;"'"&amp;"!c:c"))))</f>
        <v>0.82600000000000007</v>
      </c>
      <c r="E34" s="1781" t="s">
        <v>1307</v>
      </c>
      <c r="F34" s="1328"/>
      <c r="G34" s="129"/>
      <c r="H34" s="129"/>
      <c r="I34" s="129"/>
    </row>
    <row r="35" spans="1:15" ht="15.75" thickBot="1">
      <c r="A35" s="1782"/>
      <c r="B35" s="1783" t="s">
        <v>1308</v>
      </c>
      <c r="C35" s="1169">
        <f ca="1">IF(C33="自定义",F35,ROUND(C32*D35,0))</f>
        <v>34184</v>
      </c>
      <c r="D35" s="1170">
        <f ca="1">IF(C33="自定义",ROUND(C35/C32,3),IF(C33="收益比率",SUMIF(INDIRECT("'"&amp;D33&amp;"'"&amp;"!b:b"),"建筑物收益比率",INDIRECT("'"&amp;D33&amp;"'"&amp;"!c:c")),SUMIF(INDIRECT("'"&amp;D33&amp;"'"&amp;"!b:b"),"建筑物成本比率",INDIRECT("'"&amp;D33&amp;"'"&amp;"!c:c"))))</f>
        <v>0.17399999999999999</v>
      </c>
      <c r="E35" s="1784" t="s">
        <v>1309</v>
      </c>
      <c r="F35" s="154"/>
      <c r="G35" s="129"/>
      <c r="H35" s="129"/>
      <c r="I35" s="129"/>
    </row>
    <row r="36" spans="1:15" ht="15.75" thickBot="1">
      <c r="A36" s="3659" t="s">
        <v>1310</v>
      </c>
      <c r="B36" s="1785" t="s">
        <v>1311</v>
      </c>
      <c r="C36" s="145"/>
      <c r="D36" s="1786" t="s">
        <v>4018</v>
      </c>
      <c r="E36" s="1787"/>
      <c r="F36" s="1788"/>
      <c r="G36" s="129"/>
      <c r="H36" s="129"/>
      <c r="I36" s="129"/>
    </row>
    <row r="37" spans="1:15" ht="15.75" thickBot="1">
      <c r="A37" s="3660"/>
      <c r="B37" s="1672" t="s">
        <v>1312</v>
      </c>
      <c r="C37" s="147"/>
      <c r="D37" s="1138"/>
      <c r="E37" s="1138"/>
      <c r="F37" s="1788"/>
      <c r="G37" s="129"/>
      <c r="H37" s="129"/>
      <c r="I37" s="129"/>
    </row>
    <row r="38" spans="1:15" ht="15.75" thickBot="1">
      <c r="A38" s="3661"/>
      <c r="B38" s="1789" t="s">
        <v>1313</v>
      </c>
      <c r="C38" s="674"/>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636" t="s">
        <v>1324</v>
      </c>
      <c r="B45" s="3637"/>
      <c r="C45" s="3638"/>
      <c r="D45" s="155">
        <f ca="1">ROUND(H101*F45,0)</f>
        <v>196457</v>
      </c>
      <c r="E45" s="156" t="s">
        <v>1325</v>
      </c>
      <c r="F45" s="157">
        <v>1</v>
      </c>
      <c r="G45" s="158" t="s">
        <v>1326</v>
      </c>
      <c r="H45" s="129"/>
      <c r="I45" s="129"/>
      <c r="J45" s="3714" t="s">
        <v>1327</v>
      </c>
      <c r="K45" s="3714"/>
      <c r="L45" s="3714"/>
      <c r="M45" s="3714"/>
      <c r="N45" s="3714"/>
      <c r="O45" s="3714"/>
    </row>
    <row r="46" spans="1:15" ht="14.25" hidden="1" customHeight="1">
      <c r="A46" s="3633" t="s">
        <v>1328</v>
      </c>
      <c r="B46" s="3634"/>
      <c r="C46" s="3634"/>
      <c r="D46" s="3634"/>
      <c r="E46" s="3634"/>
      <c r="F46" s="3634"/>
      <c r="G46" s="3635"/>
      <c r="H46" s="1804"/>
      <c r="I46" s="159"/>
      <c r="J46" s="2517">
        <v>1</v>
      </c>
      <c r="K46" s="3695" t="s">
        <v>1329</v>
      </c>
      <c r="L46" s="3695"/>
      <c r="M46" s="3715"/>
      <c r="N46" s="3715"/>
      <c r="O46" s="3715"/>
    </row>
    <row r="47" spans="1:15" ht="12" hidden="1" customHeight="1">
      <c r="A47" s="160" t="s">
        <v>1330</v>
      </c>
      <c r="B47" s="161"/>
      <c r="C47" s="162"/>
      <c r="D47" s="1086" t="s">
        <v>1331</v>
      </c>
      <c r="E47" s="302" t="s">
        <v>1332</v>
      </c>
      <c r="F47" s="163" t="s">
        <v>1333</v>
      </c>
      <c r="G47" s="2540" t="s">
        <v>1334</v>
      </c>
      <c r="H47" s="2541"/>
      <c r="I47" s="159"/>
      <c r="J47" s="2517">
        <v>2</v>
      </c>
      <c r="K47" s="3695" t="s">
        <v>1335</v>
      </c>
      <c r="L47" s="3695"/>
      <c r="M47" s="3716">
        <f>'数据-取费表'!B2</f>
        <v>45587</v>
      </c>
      <c r="N47" s="3716"/>
      <c r="O47" s="3716"/>
    </row>
    <row r="48" spans="1:15" ht="25.5" hidden="1">
      <c r="A48" s="3664" t="s">
        <v>1336</v>
      </c>
      <c r="B48" s="3647"/>
      <c r="C48" s="3647"/>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1337</v>
      </c>
      <c r="H48" s="2544"/>
      <c r="I48" s="1804"/>
      <c r="J48" s="2517">
        <v>3</v>
      </c>
      <c r="K48" s="3695" t="s">
        <v>1338</v>
      </c>
      <c r="L48" s="3695"/>
      <c r="M48" s="3717">
        <f ca="1">H101</f>
        <v>196457</v>
      </c>
      <c r="N48" s="3717"/>
      <c r="O48" s="3717"/>
    </row>
    <row r="49" spans="1:35" ht="25.5" hidden="1" customHeight="1">
      <c r="A49" s="2331" t="s">
        <v>1339</v>
      </c>
      <c r="B49" s="3631" t="s">
        <v>1340</v>
      </c>
      <c r="C49" s="3631"/>
      <c r="D49" s="1588">
        <v>0</v>
      </c>
      <c r="E49" s="324" t="s">
        <v>1341</v>
      </c>
      <c r="F49" s="2421" t="s">
        <v>28</v>
      </c>
      <c r="G49" s="3701"/>
      <c r="H49" s="2308" t="s">
        <v>2132</v>
      </c>
      <c r="I49" s="2309"/>
      <c r="J49" s="2517">
        <v>4</v>
      </c>
      <c r="K49" s="3695" t="str">
        <f>IF(项目基本情况!E8="房地产抵押价值","房地产抵押价值","抵押担保权已注销时的房地产抵押价值")</f>
        <v>房地产抵押价值</v>
      </c>
      <c r="L49" s="3695"/>
      <c r="M49" s="3717">
        <f ca="1">IF(项目基本情况!E8="房地产抵押价值",H107,H109)</f>
        <v>196457</v>
      </c>
      <c r="N49" s="3717"/>
      <c r="O49" s="3717"/>
    </row>
    <row r="50" spans="1:35" ht="25.5" hidden="1" customHeight="1">
      <c r="A50" s="2545"/>
      <c r="B50" s="3631" t="s">
        <v>1342</v>
      </c>
      <c r="C50" s="3631"/>
      <c r="D50" s="2546"/>
      <c r="E50" s="332"/>
      <c r="F50" s="2421"/>
      <c r="G50" s="3702"/>
      <c r="H50" s="2310" t="s">
        <v>2133</v>
      </c>
      <c r="I50" s="2309"/>
      <c r="J50" s="3714" t="s">
        <v>1343</v>
      </c>
      <c r="K50" s="3714"/>
      <c r="L50" s="3714"/>
      <c r="M50" s="3714"/>
      <c r="N50" s="3714"/>
      <c r="O50" s="3714"/>
    </row>
    <row r="51" spans="1:35" ht="20.45" hidden="1" customHeight="1">
      <c r="A51" s="2547"/>
      <c r="B51" s="3631" t="s">
        <v>1344</v>
      </c>
      <c r="C51" s="3631"/>
      <c r="D51" s="1086"/>
      <c r="E51" s="327"/>
      <c r="F51" s="2421"/>
      <c r="G51" s="3703"/>
      <c r="H51" s="2310" t="s">
        <v>2134</v>
      </c>
      <c r="I51" s="2309"/>
      <c r="J51" s="2518" t="s">
        <v>1345</v>
      </c>
      <c r="K51" s="3695" t="s">
        <v>1346</v>
      </c>
      <c r="L51" s="3695"/>
      <c r="M51" s="2518" t="s">
        <v>1347</v>
      </c>
      <c r="N51" s="2518" t="s">
        <v>1348</v>
      </c>
      <c r="O51" s="2518" t="s">
        <v>1349</v>
      </c>
    </row>
    <row r="52" spans="1:35" ht="24" hidden="1" customHeight="1">
      <c r="A52" s="2333" t="s">
        <v>1350</v>
      </c>
      <c r="B52" s="3631" t="s">
        <v>1351</v>
      </c>
      <c r="C52" s="3631"/>
      <c r="D52" s="1086">
        <f ca="1">ROUND(D45*'数据-取费表'!B41/(1+'数据-取费表'!C42),0)</f>
        <v>10291</v>
      </c>
      <c r="E52" s="2332" t="s">
        <v>1352</v>
      </c>
      <c r="F52" s="2548">
        <f>'数据-取费表'!B41</f>
        <v>5.5000000000000007E-2</v>
      </c>
      <c r="G52" s="2549"/>
      <c r="H52" s="2538"/>
      <c r="I52" s="1805"/>
      <c r="J52" s="2517">
        <v>1</v>
      </c>
      <c r="K52" s="3696" t="s">
        <v>1353</v>
      </c>
      <c r="L52" s="3696"/>
      <c r="M52" s="2519" t="b">
        <f>D48</f>
        <v>0</v>
      </c>
      <c r="N52" s="2517" t="str">
        <f>E48</f>
        <v>销售额×税（费）率</v>
      </c>
      <c r="O52" s="2520">
        <f>F48</f>
        <v>5.5000000000000007E-2</v>
      </c>
    </row>
    <row r="53" spans="1:35" ht="12" hidden="1" customHeight="1">
      <c r="A53" s="2333" t="s">
        <v>1354</v>
      </c>
      <c r="B53" s="3657" t="s">
        <v>2282</v>
      </c>
      <c r="C53" s="3658"/>
      <c r="D53" s="1086">
        <f ca="1">ROUND(D45*'数据-取费表'!B41/(1+'数据-取费表'!C42),0)</f>
        <v>10291</v>
      </c>
      <c r="E53" s="2332" t="s">
        <v>1352</v>
      </c>
      <c r="F53" s="2548">
        <f>'数据-取费表'!B41</f>
        <v>5.5000000000000007E-2</v>
      </c>
      <c r="G53" s="2549"/>
      <c r="H53" s="2538"/>
      <c r="I53" s="1805"/>
      <c r="J53" s="2517">
        <v>2</v>
      </c>
      <c r="K53" s="3696" t="s">
        <v>1355</v>
      </c>
      <c r="L53" s="3696"/>
      <c r="M53" s="2519">
        <f t="shared" ref="M53:O54" ca="1" si="0">D55</f>
        <v>98</v>
      </c>
      <c r="N53" s="2517" t="str">
        <f t="shared" si="0"/>
        <v>销售额×税（费）率</v>
      </c>
      <c r="O53" s="2520" t="str">
        <f t="shared" si="0"/>
        <v>免征</v>
      </c>
    </row>
    <row r="54" spans="1:35" ht="12" hidden="1" customHeight="1">
      <c r="A54" s="2333" t="s">
        <v>1356</v>
      </c>
      <c r="B54" s="3657" t="s">
        <v>2283</v>
      </c>
      <c r="C54" s="3658"/>
      <c r="D54" s="1086">
        <f ca="1">C68</f>
        <v>10291</v>
      </c>
      <c r="E54" s="327" t="s">
        <v>1357</v>
      </c>
      <c r="F54" s="2548">
        <f>'数据-取费表'!B41</f>
        <v>5.5000000000000007E-2</v>
      </c>
      <c r="G54" s="2549"/>
      <c r="H54" s="2550"/>
      <c r="I54" s="1805"/>
      <c r="J54" s="2517">
        <v>3</v>
      </c>
      <c r="K54" s="3696" t="s">
        <v>1358</v>
      </c>
      <c r="L54" s="3696"/>
      <c r="M54" s="2519">
        <f t="shared" ca="1" si="0"/>
        <v>111372</v>
      </c>
      <c r="N54" s="2517" t="str">
        <f t="shared" si="0"/>
        <v>增值额×税（费）率</v>
      </c>
      <c r="O54" s="2521" t="str">
        <f t="shared" si="0"/>
        <v>免征</v>
      </c>
    </row>
    <row r="55" spans="1:35" ht="24" hidden="1" customHeight="1">
      <c r="A55" s="3646" t="s">
        <v>1359</v>
      </c>
      <c r="B55" s="3647"/>
      <c r="C55" s="3647"/>
      <c r="D55" s="2322">
        <f ca="1">IF(H55="个人住宅",0,ROUND(D45*I55,0))</f>
        <v>98</v>
      </c>
      <c r="E55" s="2332" t="s">
        <v>1360</v>
      </c>
      <c r="F55" s="2548" t="str">
        <f>IF(H55="正常",I55,"免征")</f>
        <v>免征</v>
      </c>
      <c r="G55" s="2549"/>
      <c r="H55" s="2544"/>
      <c r="I55" s="165">
        <f>'数据-取费表'!B49</f>
        <v>5.0000000000000001E-4</v>
      </c>
      <c r="J55" s="2517">
        <f>IF(H59="非个人房产","",4)</f>
        <v>4</v>
      </c>
      <c r="K55" s="3696" t="str">
        <f>IF(H59="非个人房产","——","个人所得税")</f>
        <v>个人所得税</v>
      </c>
      <c r="L55" s="3696"/>
      <c r="M55" s="2522">
        <f ca="1">D59</f>
        <v>1871</v>
      </c>
      <c r="N55" s="2038" t="str">
        <f>E59</f>
        <v>差额计税</v>
      </c>
      <c r="O55" s="2523">
        <f>F59</f>
        <v>0.01</v>
      </c>
    </row>
    <row r="56" spans="1:35" ht="24.75" hidden="1">
      <c r="A56" s="3646" t="s">
        <v>1361</v>
      </c>
      <c r="B56" s="3647"/>
      <c r="C56" s="3647"/>
      <c r="D56" s="2322">
        <f ca="1">IF(H56="个人住宅",D57,D58)</f>
        <v>111372</v>
      </c>
      <c r="E56" s="2332" t="s">
        <v>1362</v>
      </c>
      <c r="F56" s="2548" t="str">
        <f>IF(H56="正常",F58,"免征")</f>
        <v>免征</v>
      </c>
      <c r="G56" s="2551" t="s">
        <v>1363</v>
      </c>
      <c r="H56" s="2552"/>
      <c r="I56" s="1806"/>
      <c r="J56" s="2517" t="str">
        <f>IF(项目基本情况!K6="上海银行",IF(J55="",4,J55+1),"")</f>
        <v/>
      </c>
      <c r="K56" s="3719" t="str">
        <f>IF(项目基本情况!K6="上海银行","其他处置费用","")</f>
        <v/>
      </c>
      <c r="L56" s="3720"/>
      <c r="M56" s="2519" t="str">
        <f>IF(项目基本情况!K6="上海银行",M69,"")</f>
        <v/>
      </c>
      <c r="N56" s="3719" t="str">
        <f>IF(项目基本情况!K6="上海银行","包含处置中涉及的律师、诉讼、拍卖、评估等费用","")</f>
        <v/>
      </c>
      <c r="O56" s="3722"/>
    </row>
    <row r="57" spans="1:35" ht="12.75" hidden="1">
      <c r="A57" s="2333" t="s">
        <v>1339</v>
      </c>
      <c r="B57" s="3657" t="s">
        <v>1364</v>
      </c>
      <c r="C57" s="3658"/>
      <c r="D57" s="1588">
        <v>0</v>
      </c>
      <c r="E57" s="324" t="s">
        <v>1341</v>
      </c>
      <c r="F57" s="302"/>
      <c r="G57" s="2549"/>
      <c r="H57" s="2553"/>
      <c r="I57" s="1806"/>
      <c r="J57" s="3696">
        <f>IF(AND(J55="",J56=""),4,IF(项目基本情况!K6="上海银行",结果表!J56+1,结果表!J55+1))</f>
        <v>5</v>
      </c>
      <c r="K57" s="3696" t="s">
        <v>1365</v>
      </c>
      <c r="L57" s="2524" t="s">
        <v>1366</v>
      </c>
      <c r="M57" s="2525"/>
      <c r="N57" s="2526">
        <f ca="1">SUMIF(M52:M56,"&lt;9e307")</f>
        <v>113341</v>
      </c>
      <c r="O57" s="2527"/>
      <c r="P57" s="2684">
        <f ca="1">N57/M49</f>
        <v>0.57692523045755562</v>
      </c>
    </row>
    <row r="58" spans="1:35" ht="24.75" hidden="1">
      <c r="A58" s="2333" t="s">
        <v>1350</v>
      </c>
      <c r="B58" s="3657" t="s">
        <v>1367</v>
      </c>
      <c r="C58" s="3631"/>
      <c r="D58" s="2322">
        <f ca="1">IF(H58="转让取得",C81,C97)</f>
        <v>111372</v>
      </c>
      <c r="E58" s="2332" t="s">
        <v>1362</v>
      </c>
      <c r="F58" s="302" t="s">
        <v>28</v>
      </c>
      <c r="G58" s="2549"/>
      <c r="H58" s="2552"/>
      <c r="I58" s="1806"/>
      <c r="J58" s="3696"/>
      <c r="K58" s="3696"/>
      <c r="L58" s="2524" t="s">
        <v>1368</v>
      </c>
      <c r="M58" s="2528"/>
      <c r="N58" s="2529" t="str">
        <f ca="1">NUMBERSTRING(INT(N57*10000),2)&amp;"元整"</f>
        <v>壹拾壹亿叁仟叁佰肆拾壹万元整</v>
      </c>
      <c r="O58" s="2530"/>
    </row>
    <row r="59" spans="1:35" ht="24.75" hidden="1" thickBot="1">
      <c r="A59" s="3699" t="s">
        <v>1369</v>
      </c>
      <c r="B59" s="3700"/>
      <c r="C59" s="3700"/>
      <c r="D59" s="2554">
        <f ca="1">IF(H59="非个人房产","——",IF(H59="个人住宅（满五唯一有凭证）",0,IF(H59="个人其他（无凭证）",ROUND(D45*F59,0),ROUND(C67*F59,0))))</f>
        <v>1871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2"/>
      <c r="I59" s="2311" t="s">
        <v>2135</v>
      </c>
      <c r="J59" s="3697">
        <f>J57+1</f>
        <v>6</v>
      </c>
      <c r="K59" s="3696" t="s">
        <v>1370</v>
      </c>
      <c r="L59" s="2517" t="s">
        <v>1366</v>
      </c>
      <c r="M59" s="2531"/>
      <c r="N59" s="2532">
        <f ca="1">M49-N57</f>
        <v>83116</v>
      </c>
      <c r="O59" s="2533"/>
    </row>
    <row r="60" spans="1:35" ht="12" hidden="1" customHeight="1">
      <c r="A60" s="1807"/>
      <c r="B60" s="1745"/>
      <c r="C60" s="1745"/>
      <c r="D60" s="1745"/>
      <c r="E60" s="1576"/>
      <c r="F60" s="1806"/>
      <c r="G60" s="1806"/>
      <c r="H60" s="1808"/>
      <c r="I60" s="129"/>
      <c r="J60" s="3698"/>
      <c r="K60" s="3696"/>
      <c r="L60" s="2524" t="s">
        <v>1368</v>
      </c>
      <c r="M60" s="2528"/>
      <c r="N60" s="2529" t="str">
        <f ca="1">NUMBERSTRING(INT(N59*10000),2)&amp;"元整"</f>
        <v>捌亿叁仟壹佰壹拾陆万元整</v>
      </c>
      <c r="O60" s="2530"/>
    </row>
    <row r="61" spans="1:35" ht="13.5" hidden="1" thickBot="1">
      <c r="A61" s="3644" t="s">
        <v>1371</v>
      </c>
      <c r="B61" s="3644"/>
      <c r="C61" s="3644"/>
      <c r="D61" s="3644"/>
      <c r="E61" s="3644"/>
      <c r="F61" s="1806"/>
      <c r="G61" s="1806"/>
      <c r="H61" s="1808"/>
      <c r="I61" s="129"/>
      <c r="J61" s="2517">
        <f>J59+1</f>
        <v>7</v>
      </c>
      <c r="K61" s="3696" t="s">
        <v>1372</v>
      </c>
      <c r="L61" s="3696"/>
      <c r="M61" s="2534"/>
      <c r="N61" s="2535">
        <f ca="1">ROUND(N59*10000/'数据-汇总表'!E3,0)</f>
        <v>6503</v>
      </c>
      <c r="O61" s="2536"/>
    </row>
    <row r="62" spans="1:35" ht="12.75" hidden="1">
      <c r="A62" s="3662" t="s">
        <v>1373</v>
      </c>
      <c r="B62" s="3663"/>
      <c r="C62" s="2019"/>
      <c r="D62" s="2019" t="s">
        <v>1374</v>
      </c>
      <c r="E62" s="166" t="s">
        <v>1375</v>
      </c>
      <c r="F62" s="1806"/>
      <c r="G62" s="1806"/>
      <c r="H62" s="1808"/>
      <c r="I62" s="129"/>
    </row>
    <row r="63" spans="1:35" ht="12.75" hidden="1">
      <c r="A63" s="173" t="s">
        <v>330</v>
      </c>
      <c r="B63" s="167" t="s">
        <v>1376</v>
      </c>
      <c r="C63" s="2558">
        <f ca="1">ROUND((C64+C65)/(1+'数据-取费表'!C42),0)</f>
        <v>187102</v>
      </c>
      <c r="D63" s="167"/>
      <c r="E63" s="168"/>
      <c r="F63" s="1806"/>
      <c r="G63" s="1806"/>
      <c r="H63" s="1808"/>
      <c r="I63" s="129"/>
      <c r="J63" s="3721" t="s">
        <v>1377</v>
      </c>
      <c r="K63" s="1330" t="s">
        <v>1378</v>
      </c>
      <c r="L63" s="1330">
        <f ca="1">IF(M49&gt;10000,M49*0.5%,IF(AND(M49&gt;1000,M49&lt;=10000),M49*1%,IF(AND(M49&gt;100,M49&lt;=1000),M49*3%,IF(AND(M49&gt;10,M49&lt;=100),M49*5%,M49*8%))))</f>
        <v>982.28499999999997</v>
      </c>
      <c r="M63" s="302">
        <f ca="1">ROUND(L63,1)</f>
        <v>982.3</v>
      </c>
      <c r="N63" s="2537"/>
      <c r="Z63" s="1750"/>
      <c r="AI63" s="1751"/>
    </row>
    <row r="64" spans="1:35" ht="14.25" hidden="1" customHeight="1">
      <c r="A64" s="169" t="s">
        <v>325</v>
      </c>
      <c r="B64" s="170" t="s">
        <v>1379</v>
      </c>
      <c r="C64" s="2559">
        <f ca="1">D45</f>
        <v>196457</v>
      </c>
      <c r="D64" s="170" t="s">
        <v>26</v>
      </c>
      <c r="E64" s="172"/>
      <c r="F64" s="1806"/>
      <c r="G64" s="1806"/>
      <c r="H64" s="1808"/>
      <c r="I64" s="129"/>
      <c r="J64" s="3721"/>
      <c r="K64" s="1330" t="s">
        <v>1380</v>
      </c>
      <c r="L64" s="1330">
        <f ca="1">IF(M49&gt;2000,M49*0.5%,IF(AND(M49&gt;1000,M49&lt;=2000),M49*0.6%,IF(AND(M49&gt;500,M49&lt;=1000),M49*0.7%,IF(AND(M49&gt;200,M49&lt;=500),M49*0.8%,IF(AND(M49&gt;100,M49&lt;=200),M49*0.9%,IF(AND(M49&gt;50,M49&lt;=100),M49*1%,IF(AND(M49&gt;20,M49&lt;=50),M49*1.5%,IF(AND(M49&gt;10,M49&lt;=20),M49*2%,IF(AND(M49&gt;1,M49&lt;=10),M49*2.5%)))))))))</f>
        <v>982.28499999999997</v>
      </c>
      <c r="M64" s="302">
        <f t="shared" ref="M64:M65" ca="1" si="1">ROUND(L64,1)</f>
        <v>982.3</v>
      </c>
      <c r="N64" s="2538" t="s">
        <v>1381</v>
      </c>
      <c r="Z64" s="1750"/>
      <c r="AI64" s="1751"/>
    </row>
    <row r="65" spans="1:35" ht="14.25" hidden="1" customHeight="1">
      <c r="A65" s="169" t="s">
        <v>326</v>
      </c>
      <c r="B65" s="170" t="s">
        <v>1382</v>
      </c>
      <c r="C65" s="2560"/>
      <c r="D65" s="170"/>
      <c r="E65" s="172"/>
      <c r="F65" s="1806"/>
      <c r="G65" s="1806"/>
      <c r="H65" s="1808"/>
      <c r="I65" s="129"/>
      <c r="J65" s="3721"/>
      <c r="K65" s="1330" t="s">
        <v>1383</v>
      </c>
      <c r="L65" s="1330">
        <f ca="1">IF(M49&gt;1000,M49*0.1%,IF(AND(M49&gt;500,M49&lt;=1000),M49*0.5%,IF(AND(M49&gt;50,M49&lt;=500),M49*1%,IF(AND(M49&gt;1,M49&lt;=50),M49*1.5%))))</f>
        <v>196.45699999999999</v>
      </c>
      <c r="M65" s="302">
        <f t="shared" ca="1" si="1"/>
        <v>196.5</v>
      </c>
      <c r="N65" s="2538" t="s">
        <v>1381</v>
      </c>
      <c r="Z65" s="1750"/>
      <c r="AI65" s="1751"/>
    </row>
    <row r="66" spans="1:35" ht="14.25" hidden="1" customHeight="1">
      <c r="A66" s="173" t="s">
        <v>327</v>
      </c>
      <c r="B66" s="174" t="s">
        <v>1384</v>
      </c>
      <c r="C66" s="2561"/>
      <c r="D66" s="174" t="s">
        <v>26</v>
      </c>
      <c r="E66" s="1336" t="s">
        <v>671</v>
      </c>
      <c r="F66" s="1806"/>
      <c r="G66" s="1806"/>
      <c r="H66" s="1808"/>
      <c r="I66" s="129"/>
      <c r="J66" s="3721"/>
      <c r="K66" s="1330" t="s">
        <v>1385</v>
      </c>
      <c r="L66" s="1330">
        <f ca="1">M49*0.5%</f>
        <v>982.28499999999997</v>
      </c>
      <c r="M66" s="302">
        <f ca="1">IF(L66&gt;0.5,0.5,ROUND(L66,0))</f>
        <v>0.5</v>
      </c>
      <c r="N66" s="2538" t="s">
        <v>1386</v>
      </c>
      <c r="Z66" s="1750"/>
      <c r="AI66" s="1751"/>
    </row>
    <row r="67" spans="1:35" ht="14.25" hidden="1" customHeight="1">
      <c r="A67" s="173" t="s">
        <v>328</v>
      </c>
      <c r="B67" s="174" t="s">
        <v>1387</v>
      </c>
      <c r="C67" s="2562">
        <f ca="1">C63-C66</f>
        <v>187102</v>
      </c>
      <c r="D67" s="170" t="s">
        <v>26</v>
      </c>
      <c r="E67" s="172"/>
      <c r="F67" s="1806"/>
      <c r="G67" s="1806"/>
      <c r="H67" s="1808"/>
      <c r="I67" s="129"/>
      <c r="J67" s="3721"/>
      <c r="K67" s="1330" t="s">
        <v>1388</v>
      </c>
      <c r="L67" s="1330">
        <f ca="1">IF(M49&gt;=10000,(8.25+(M49-10000)*0.01%),IF(AND(M49&gt;=8000,M49&lt;10000),(7.85+(M49-8000)*0.02%),IF(AND(M49&gt;=5000,M49&lt;8000),(6.65+(M49-5000)*0.04%),IF(AND(M49&gt;=2000,M49&lt;5000),(4.25+(PM49-2000)*0.08%),IF(AND(M49&gt;=1000,M49&lt;2000),(2.75+(M49-1000)*0.15%),IF(AND(M49&gt;=100,M49&lt;1000),(0.5+(M49-100)*0.25%),IF(AND(M49&gt;0,M49&lt;100),M49*0.5%)))))))</f>
        <v>26.895700000000001</v>
      </c>
      <c r="M67" s="302">
        <f ca="1">ROUND(L67*0.9,1)</f>
        <v>24.2</v>
      </c>
      <c r="N67" s="2537"/>
      <c r="Z67" s="1750"/>
      <c r="AI67" s="1751"/>
    </row>
    <row r="68" spans="1:35" ht="14.25" hidden="1" customHeight="1" thickBot="1">
      <c r="A68" s="176" t="s">
        <v>329</v>
      </c>
      <c r="B68" s="177" t="s">
        <v>1389</v>
      </c>
      <c r="C68" s="2563">
        <f ca="1">IF(C67&lt;=0,0,ROUND(C67*D68,0))</f>
        <v>10291</v>
      </c>
      <c r="D68" s="2564">
        <f>'数据-取费表'!B41</f>
        <v>5.5000000000000007E-2</v>
      </c>
      <c r="E68" s="178"/>
      <c r="F68" s="1806"/>
      <c r="G68" s="1806"/>
      <c r="H68" s="1808"/>
      <c r="I68" s="129"/>
      <c r="J68" s="3721"/>
      <c r="K68" s="1330" t="s">
        <v>1390</v>
      </c>
      <c r="L68" s="1330">
        <f ca="1">IF(M49&gt;10000,M49*0.5%,IF(AND(M49&gt;5000,M49&lt;=10000),M49*1%,IF(AND(M49&gt;1000,M49&lt;=5000),M49*2%,IF(AND(M49&gt;200,M49&lt;=1000),M49*3%,M49*5%))))</f>
        <v>982.28499999999997</v>
      </c>
      <c r="M68" s="302">
        <f ca="1">ROUND(L68,1)</f>
        <v>982.3</v>
      </c>
      <c r="N68" s="2537"/>
      <c r="Z68" s="1750"/>
      <c r="AI68" s="1751"/>
    </row>
    <row r="69" spans="1:35" s="1770" customFormat="1" ht="16.5" hidden="1" customHeight="1">
      <c r="A69" s="1809"/>
      <c r="B69" s="1810"/>
      <c r="C69" s="1811"/>
      <c r="D69" s="1812"/>
      <c r="E69" s="1813"/>
      <c r="F69" s="1576"/>
      <c r="G69" s="1576"/>
      <c r="H69" s="1575"/>
      <c r="I69" s="1745"/>
      <c r="J69" s="3721"/>
      <c r="K69" s="1330" t="s">
        <v>1391</v>
      </c>
      <c r="L69" s="1330"/>
      <c r="M69" s="302">
        <f ca="1">ROUND(SUM(M63:M68),0)</f>
        <v>3168</v>
      </c>
      <c r="N69" s="2539">
        <f ca="1">M69/M49</f>
        <v>1.6125666176313391E-2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hidden="1" thickBot="1">
      <c r="A70" s="3683" t="s">
        <v>1392</v>
      </c>
      <c r="B70" s="3684"/>
      <c r="C70" s="3684"/>
      <c r="D70" s="3684"/>
      <c r="E70" s="3684"/>
      <c r="F70" s="3684"/>
      <c r="G70" s="3684"/>
      <c r="H70" s="3684"/>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62" t="s">
        <v>1373</v>
      </c>
      <c r="B71" s="3663"/>
      <c r="C71" s="2019"/>
      <c r="D71" s="2019" t="s">
        <v>1374</v>
      </c>
      <c r="E71" s="179" t="s">
        <v>1375</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1393</v>
      </c>
      <c r="C72" s="2562">
        <f ca="1">ROUND(D45/(1+'数据-取费表'!C42),0)</f>
        <v>187102</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1394</v>
      </c>
      <c r="C73" s="2562">
        <f ca="1">C74+C78</f>
        <v>936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1399</v>
      </c>
      <c r="C76" s="170">
        <f>IF(F75="购房发票",ROUND(C75*H75*D76,0),0)</f>
        <v>0</v>
      </c>
      <c r="D76" s="2568">
        <v>0.05</v>
      </c>
      <c r="E76" s="3657" t="s">
        <v>1400</v>
      </c>
      <c r="F76" s="3631"/>
      <c r="G76" s="3631"/>
      <c r="H76" s="368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1403</v>
      </c>
      <c r="C78" s="2570">
        <f ca="1">ROUND(D45*D78/(1+'数据-取费表'!C42),0)</f>
        <v>936</v>
      </c>
      <c r="D78" s="2571">
        <f>'数据-取费表'!B43</f>
        <v>5.000000000000001E-3</v>
      </c>
      <c r="E78" s="3641" t="s">
        <v>1404</v>
      </c>
      <c r="F78" s="3642"/>
      <c r="G78" s="3642"/>
      <c r="H78" s="365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1405</v>
      </c>
      <c r="C79" s="2562">
        <f ca="1">C72-C73</f>
        <v>186166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1406</v>
      </c>
      <c r="C80" s="2572">
        <f ca="1">IF(C79&lt;=0,0,C79/C73)</f>
        <v>198.89529914529913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1407</v>
      </c>
      <c r="C81" s="2573">
        <f ca="1">ROUND(IF(C79&lt;=0,0,IF(C80&gt;=200%,C79*60%-C73*35%,IF(C80&gt;=100%,C79*50%-C73*15%,IF(C80&gt;=50%,C79*40%-C73*5%,IF(C80&lt;50%,C79*30%,0))))),0)</f>
        <v>111372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83" t="s">
        <v>1408</v>
      </c>
      <c r="B83" s="3684"/>
      <c r="C83" s="3684"/>
      <c r="D83" s="3684"/>
      <c r="E83" s="3684"/>
      <c r="F83" s="3684"/>
      <c r="G83" s="3684"/>
      <c r="H83" s="368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62" t="s">
        <v>1373</v>
      </c>
      <c r="B84" s="3663"/>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1393</v>
      </c>
      <c r="C85" s="2562">
        <f ca="1">ROUND(D45/(1+'数据-取费表'!C42),0)</f>
        <v>187102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1394</v>
      </c>
      <c r="C86" s="2562">
        <f ca="1">IF(H88="仅含出让金",C87+C90+C91+C92+C93+C94,C87+C91+C92+C93+C94)</f>
        <v>936</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1409</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1410</v>
      </c>
      <c r="C88" s="2576"/>
      <c r="D88" s="2571"/>
      <c r="E88" s="193" t="s">
        <v>1411</v>
      </c>
      <c r="F88" s="2325"/>
      <c r="G88" s="194" t="s">
        <v>1412</v>
      </c>
      <c r="H88" s="1822"/>
      <c r="I88" s="1819"/>
      <c r="J88" s="2515"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1401</v>
      </c>
      <c r="C89" s="2570">
        <f>ROUND(C88*D89,0)</f>
        <v>0</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1414</v>
      </c>
      <c r="C90" s="2576"/>
      <c r="D90" s="2571"/>
      <c r="E90" s="193" t="str">
        <f>IF(H88="-","土地取得成本中已包含该笔费用"," ")</f>
        <v xml:space="preserve"> </v>
      </c>
      <c r="F90" s="2325"/>
      <c r="G90" s="3723" t="s">
        <v>2127</v>
      </c>
      <c r="H90" s="3724"/>
      <c r="I90" s="1819"/>
      <c r="J90" s="2515"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1415</v>
      </c>
      <c r="B91" s="170" t="s">
        <v>1416</v>
      </c>
      <c r="C91" s="2570">
        <f>IF(H91="——",成本法!C33,I91)</f>
        <v>0</v>
      </c>
      <c r="D91" s="2571"/>
      <c r="E91" s="3641" t="s">
        <v>1417</v>
      </c>
      <c r="F91" s="3642"/>
      <c r="G91" s="364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1418</v>
      </c>
      <c r="B92" s="170" t="s">
        <v>1419</v>
      </c>
      <c r="C92" s="2570">
        <f>ROUND((C87+C90+C91)*D92,0)</f>
        <v>0</v>
      </c>
      <c r="D92" s="2577"/>
      <c r="E92" s="3641" t="s">
        <v>1420</v>
      </c>
      <c r="F92" s="3642"/>
      <c r="G92" s="3642"/>
      <c r="H92" s="3651"/>
      <c r="I92" s="1819"/>
      <c r="J92" s="2516"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1421</v>
      </c>
      <c r="B93" s="170" t="s">
        <v>1403</v>
      </c>
      <c r="C93" s="2570">
        <f ca="1">ROUND(D45*D93/(1+'数据-取费表'!C42),0)</f>
        <v>936</v>
      </c>
      <c r="D93" s="2571">
        <f>'数据-取费表'!B43</f>
        <v>5.000000000000001E-3</v>
      </c>
      <c r="E93" s="3641" t="s">
        <v>1404</v>
      </c>
      <c r="F93" s="3642"/>
      <c r="G93" s="3642"/>
      <c r="H93" s="365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1422</v>
      </c>
      <c r="B94" s="170" t="s">
        <v>1423</v>
      </c>
      <c r="C94" s="2576">
        <f>ROUND((C87+C90+C91)*D94,0)</f>
        <v>0</v>
      </c>
      <c r="D94" s="2571">
        <v>0.2</v>
      </c>
      <c r="E94" s="3652" t="s">
        <v>1424</v>
      </c>
      <c r="F94" s="3653"/>
      <c r="G94" s="3653"/>
      <c r="H94" s="365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1405</v>
      </c>
      <c r="C95" s="2562">
        <f ca="1">ROUND(C85-C86,0)</f>
        <v>186166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1406</v>
      </c>
      <c r="C96" s="2572">
        <f ca="1">IF(C95&lt;=0,0,C95/C86)</f>
        <v>198.89529914529913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1407</v>
      </c>
      <c r="C97" s="2573">
        <f ca="1">ROUND(IF(C95&lt;=0,0,IF(C96&gt;=200%,C95*60%-C86*35%,IF(C96&gt;=100%,C95*50%-C86*15%,IF(C96&gt;=50%,C95*40%-C86*5%,IF(C96&lt;50%,C95*30%,0))))),0)</f>
        <v>111372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25" t="s">
        <v>1426</v>
      </c>
      <c r="B100" s="3626"/>
      <c r="C100" s="3626"/>
      <c r="D100" s="3643"/>
      <c r="E100" s="3626" t="s">
        <v>1427</v>
      </c>
      <c r="F100" s="3626"/>
      <c r="G100" s="3626"/>
      <c r="H100" s="3643"/>
      <c r="I100" s="129"/>
    </row>
    <row r="101" spans="1:35" ht="18.75" customHeight="1">
      <c r="A101" s="3704" t="s">
        <v>1428</v>
      </c>
      <c r="B101" s="3705"/>
      <c r="C101" s="2579" t="str">
        <f>C4</f>
        <v>成本法</v>
      </c>
      <c r="D101" s="2580" t="str">
        <f>D4</f>
        <v>假设开发法</v>
      </c>
      <c r="E101" s="3718" t="s">
        <v>1429</v>
      </c>
      <c r="F101" s="3675"/>
      <c r="G101" s="1825" t="s">
        <v>1430</v>
      </c>
      <c r="H101" s="2589">
        <f ca="1">H118</f>
        <v>196457</v>
      </c>
      <c r="I101" s="129"/>
    </row>
    <row r="102" spans="1:35" ht="18.75" customHeight="1">
      <c r="A102" s="3677" t="s">
        <v>1431</v>
      </c>
      <c r="B102" s="2578" t="s">
        <v>1430</v>
      </c>
      <c r="C102" s="2579">
        <f ca="1">IF(D32="楼面单价",ROUND(C19,0),C19)</f>
        <v>240227</v>
      </c>
      <c r="D102" s="2580">
        <f ca="1">IF(D32="楼面单价",ROUND(D19,0),D19)</f>
        <v>152686</v>
      </c>
      <c r="E102" s="3718"/>
      <c r="F102" s="3675"/>
      <c r="G102" s="1825" t="s">
        <v>1432</v>
      </c>
      <c r="H102" s="2549">
        <f ca="1">I118</f>
        <v>15370</v>
      </c>
      <c r="I102" s="129"/>
    </row>
    <row r="103" spans="1:35" ht="42.75" customHeight="1">
      <c r="A103" s="3677"/>
      <c r="B103" s="2578" t="s">
        <v>1432</v>
      </c>
      <c r="C103" s="2581">
        <f ca="1">C20</f>
        <v>18795</v>
      </c>
      <c r="D103" s="2582">
        <f ca="1">D20</f>
        <v>11946</v>
      </c>
      <c r="E103" s="3712" t="s">
        <v>1433</v>
      </c>
      <c r="F103" s="3713"/>
      <c r="G103" s="1826" t="s">
        <v>1434</v>
      </c>
      <c r="H103" s="2589">
        <f>IF(D36="正常操作",H104+H105+H106,H105+H106)</f>
        <v>0</v>
      </c>
      <c r="I103" s="129"/>
    </row>
    <row r="104" spans="1:35" ht="18.75" customHeight="1">
      <c r="A104" s="3677" t="s">
        <v>1435</v>
      </c>
      <c r="B104" s="2583" t="s">
        <v>1430</v>
      </c>
      <c r="C104" s="2584">
        <f ca="1">H118</f>
        <v>196457</v>
      </c>
      <c r="D104" s="2585"/>
      <c r="E104" s="1672" t="s">
        <v>1436</v>
      </c>
      <c r="F104" s="1664"/>
      <c r="G104" s="1826" t="s">
        <v>1434</v>
      </c>
      <c r="H104" s="2590" t="str">
        <f>IF(D36="同一抵押权人同一抵押物续贷",C36&amp;"（续贷，未扣减，详见特别提示）",C36)</f>
        <v>（续贷，未扣减，详见特别提示）</v>
      </c>
      <c r="I104" s="129"/>
    </row>
    <row r="105" spans="1:35" ht="18.75" customHeight="1" thickBot="1">
      <c r="A105" s="3678"/>
      <c r="B105" s="2586" t="s">
        <v>1432</v>
      </c>
      <c r="C105" s="2587">
        <f ca="1">I118</f>
        <v>15370</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74" t="str">
        <f>IF(项目基本情况!E8="已注销","——","3.房地产抵押价值")</f>
        <v>3.房地产抵押价值</v>
      </c>
      <c r="F107" s="3675"/>
      <c r="G107" s="1825" t="s">
        <v>1430</v>
      </c>
      <c r="H107" s="2589">
        <f ca="1">IF(E107="——","——",H101-H103)</f>
        <v>196457</v>
      </c>
      <c r="I107" s="129"/>
    </row>
    <row r="108" spans="1:35" ht="18.75" customHeight="1">
      <c r="A108" s="129"/>
      <c r="B108" s="129"/>
      <c r="C108" s="129"/>
      <c r="D108" s="129"/>
      <c r="E108" s="3674"/>
      <c r="F108" s="3675"/>
      <c r="G108" s="1825" t="s">
        <v>1432</v>
      </c>
      <c r="H108" s="2549">
        <f ca="1">IF(H107=H101,H102,ROUND(H107*10000/'数据-汇总表'!E3,0))</f>
        <v>15370</v>
      </c>
      <c r="I108" s="129"/>
    </row>
    <row r="109" spans="1:35" ht="18.75" customHeight="1">
      <c r="A109" s="129"/>
      <c r="B109" s="129"/>
      <c r="C109" s="129"/>
      <c r="D109" s="129"/>
      <c r="E109" s="3674" t="str">
        <f>IF(项目基本情况!E8="已注销及未注销","4.抵押担保权已注销时的房地产抵押价值",IF(项目基本情况!E8="已注销","3.抵押担保权已注销时的房地产抵押价值","——"))</f>
        <v>——</v>
      </c>
      <c r="F109" s="3675"/>
      <c r="G109" s="1825" t="s">
        <v>1430</v>
      </c>
      <c r="H109" s="2592" t="str">
        <f>IF(E109="——","——",H101-H105-H106)</f>
        <v>——</v>
      </c>
      <c r="I109" s="129"/>
    </row>
    <row r="110" spans="1:35" ht="18.75" customHeight="1">
      <c r="A110" s="129"/>
      <c r="B110" s="129"/>
      <c r="C110" s="129"/>
      <c r="D110" s="129"/>
      <c r="E110" s="3674"/>
      <c r="F110" s="3675"/>
      <c r="G110" s="1825" t="s">
        <v>1432</v>
      </c>
      <c r="H110" s="2549" t="str">
        <f>IF(H109="——","——",ROUND(H109*10000/'数据-汇总表'!E3,0))</f>
        <v>——</v>
      </c>
      <c r="I110" s="129"/>
    </row>
    <row r="111" spans="1:35" ht="18.75" customHeight="1">
      <c r="A111" s="129"/>
      <c r="B111" s="129"/>
      <c r="C111" s="129"/>
      <c r="D111" s="129"/>
      <c r="E111" s="3706" t="str">
        <f>IF(项目基本情况!E9="抵押净值",IF(OR(项目基本情况!E8="已注销",项目基本情况!E8="房地产抵押价值"),"4.抵押净值","5.抵押净值"),"——")</f>
        <v>——</v>
      </c>
      <c r="F111" s="3676"/>
      <c r="G111" s="1825" t="s">
        <v>1430</v>
      </c>
      <c r="H111" s="2589" t="str">
        <f>IF(E111="——","——",N59)</f>
        <v>——</v>
      </c>
      <c r="I111" s="129"/>
    </row>
    <row r="112" spans="1:35" ht="18.75" customHeight="1" thickBot="1">
      <c r="A112" s="129"/>
      <c r="B112" s="129"/>
      <c r="C112" s="129"/>
      <c r="D112" s="129"/>
      <c r="E112" s="3707"/>
      <c r="F112" s="3708"/>
      <c r="G112" s="1828" t="s">
        <v>1432</v>
      </c>
      <c r="H112" s="2593" t="str">
        <f>IF(E111="——","——",N61)</f>
        <v>——</v>
      </c>
      <c r="I112" s="129"/>
    </row>
    <row r="113" spans="1:27" ht="18.75" customHeight="1">
      <c r="A113" s="129"/>
      <c r="B113" s="129"/>
      <c r="C113" s="129"/>
      <c r="D113" s="129"/>
      <c r="E113" s="3679" t="s">
        <v>1438</v>
      </c>
      <c r="F113" s="3679"/>
      <c r="G113" s="3679"/>
      <c r="H113" s="3679"/>
      <c r="I113" s="129"/>
    </row>
    <row r="114" spans="1:27" ht="3.75" customHeight="1">
      <c r="A114" s="1745"/>
      <c r="B114" s="1745"/>
      <c r="C114" s="1745"/>
      <c r="D114" s="1745"/>
      <c r="E114" s="1807"/>
      <c r="F114" s="1807"/>
      <c r="G114" s="1807"/>
      <c r="H114" s="1807"/>
      <c r="I114" s="1745"/>
    </row>
    <row r="115" spans="1:27" ht="18.75" customHeight="1">
      <c r="A115" s="3689" t="s">
        <v>1440</v>
      </c>
      <c r="B115" s="3690"/>
      <c r="C115" s="3690"/>
      <c r="D115" s="3690"/>
      <c r="E115" s="3690"/>
      <c r="F115" s="3690"/>
      <c r="G115" s="3690"/>
      <c r="H115" s="3690"/>
      <c r="I115" s="3691"/>
    </row>
    <row r="116" spans="1:27" ht="27" customHeight="1">
      <c r="A116" s="3645" t="s">
        <v>1441</v>
      </c>
      <c r="B116" s="3680" t="s">
        <v>1442</v>
      </c>
      <c r="C116" s="3680" t="s">
        <v>1443</v>
      </c>
      <c r="D116" s="3693" t="s">
        <v>1444</v>
      </c>
      <c r="E116" s="3694"/>
      <c r="F116" s="3688" t="s">
        <v>1445</v>
      </c>
      <c r="G116" s="3688"/>
      <c r="H116" s="3645" t="s">
        <v>1446</v>
      </c>
      <c r="I116" s="3645"/>
    </row>
    <row r="117" spans="1:27" ht="18.75" customHeight="1">
      <c r="A117" s="3645"/>
      <c r="B117" s="3681"/>
      <c r="C117" s="3681"/>
      <c r="D117" s="2327" t="s">
        <v>1447</v>
      </c>
      <c r="E117" s="2327" t="s">
        <v>1448</v>
      </c>
      <c r="F117" s="2327" t="s">
        <v>1447</v>
      </c>
      <c r="G117" s="2327" t="s">
        <v>1449</v>
      </c>
      <c r="H117" s="2327" t="s">
        <v>1447</v>
      </c>
      <c r="I117" s="2327" t="s">
        <v>1449</v>
      </c>
    </row>
    <row r="118" spans="1:27" ht="24.75" customHeight="1">
      <c r="A118" s="2594" t="str">
        <f>项目基本情况!S2</f>
        <v>北京市通州区运河核心区Ⅷ-13地块F3其它类多功能用地项目商务金融（办公（商务型公寓）、商业及地下车库）用地出让国有建设用地使用权及在建建筑物房地产</v>
      </c>
      <c r="B118" s="2327">
        <f>M18</f>
        <v>127815.41999999985</v>
      </c>
      <c r="C118" s="2327">
        <f>M19</f>
        <v>13594.730000000014</v>
      </c>
      <c r="D118" s="2327">
        <f ca="1">ROUND(IF(D32="总价",C34,E118*B118/10000),0)</f>
        <v>162273</v>
      </c>
      <c r="E118" s="2327">
        <f ca="1">ROUND(IF(C33="自定义",IF(D32="楼面单价",C34,D118*10000/B118),I118-G118),0)</f>
        <v>12696</v>
      </c>
      <c r="F118" s="2327">
        <f ca="1">ROUND(IF(D32="总价",C35,G118*B118/10000),0)</f>
        <v>34184</v>
      </c>
      <c r="G118" s="2327">
        <f ca="1">ROUND(IF(D32="楼面单价",C35,F118*10000/B118),0)</f>
        <v>2674</v>
      </c>
      <c r="H118" s="2327">
        <f ca="1">ROUND(IF(D32="总价",C32,I118*B118/10000),0)</f>
        <v>196457</v>
      </c>
      <c r="I118" s="2327">
        <f ca="1">ROUND(IF(D32="楼面单价",C32,H118*10000/B118),0)</f>
        <v>15370</v>
      </c>
    </row>
    <row r="119" spans="1:27" ht="18.75" customHeight="1">
      <c r="A119" s="3645" t="s">
        <v>1450</v>
      </c>
      <c r="B119" s="3645"/>
      <c r="C119" s="3645"/>
      <c r="D119" s="3685" t="str">
        <f ca="1">NUMBERSTRING(INT(D118*10000),2)&amp;"元整"</f>
        <v>壹拾陆亿贰仟贰佰柒拾叁万元整</v>
      </c>
      <c r="E119" s="3687"/>
      <c r="F119" s="3685" t="str">
        <f ca="1">NUMBERSTRING(INT(F118*10000),2)&amp;"元整"</f>
        <v>叁亿肆仟壹佰捌拾肆万元整</v>
      </c>
      <c r="G119" s="3687"/>
      <c r="H119" s="3685" t="str">
        <f ca="1">NUMBERSTRING(INT(H118*10000),2)&amp;"元整"</f>
        <v>壹拾玖亿陆仟肆佰伍拾柒万元整</v>
      </c>
      <c r="I119" s="3687"/>
    </row>
    <row r="120" spans="1:27" ht="18.75" customHeight="1">
      <c r="A120" s="3709" t="str">
        <f>IF(项目基本情况!B9="房地产市场价值","",MID(E103,3,LEN(E103)-2))</f>
        <v>估价师知悉的法定优先受偿款</v>
      </c>
      <c r="B120" s="3710"/>
      <c r="C120" s="3711"/>
      <c r="D120" s="3709">
        <f>H103</f>
        <v>0</v>
      </c>
      <c r="E120" s="3710"/>
      <c r="F120" s="3710"/>
      <c r="G120" s="3710"/>
      <c r="H120" s="3710"/>
      <c r="I120" s="371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85" t="s">
        <v>1450</v>
      </c>
      <c r="B121" s="3686"/>
      <c r="C121" s="3687"/>
      <c r="D121" s="3685" t="str">
        <f>IF(D120=0,"零元整",NUMBERSTRING(INT(D120*10000),2)&amp;"元整")</f>
        <v>零元整</v>
      </c>
      <c r="E121" s="3686"/>
      <c r="F121" s="3686"/>
      <c r="G121" s="3686"/>
      <c r="H121" s="3686"/>
      <c r="I121" s="3687"/>
      <c r="AA121" s="725"/>
    </row>
    <row r="122" spans="1:27" ht="18.75" customHeight="1">
      <c r="A122" s="3676" t="str">
        <f>IF(项目基本情况!B9="房地产市场价值","",MID(E107,3,LEN(E107)-2))</f>
        <v>房地产抵押价值</v>
      </c>
      <c r="B122" s="3676"/>
      <c r="C122" s="3676"/>
      <c r="D122" s="3709">
        <f ca="1">H107</f>
        <v>196457</v>
      </c>
      <c r="E122" s="3710"/>
      <c r="F122" s="3710"/>
      <c r="G122" s="3710"/>
      <c r="H122" s="3710"/>
      <c r="I122" s="3711"/>
      <c r="AA122" s="725"/>
    </row>
    <row r="123" spans="1:27" ht="18.75" customHeight="1">
      <c r="A123" s="3645" t="s">
        <v>1450</v>
      </c>
      <c r="B123" s="3645"/>
      <c r="C123" s="3645"/>
      <c r="D123" s="3685" t="str">
        <f ca="1">NUMBERSTRING(INT(D122*10000),2)&amp;"元整"</f>
        <v>壹拾玖亿陆仟肆佰伍拾柒万元整</v>
      </c>
      <c r="E123" s="3686"/>
      <c r="F123" s="3686"/>
      <c r="G123" s="3686"/>
      <c r="H123" s="3686"/>
      <c r="I123" s="3687"/>
      <c r="AA123" s="725"/>
    </row>
    <row r="124" spans="1:27" ht="18.75" customHeight="1">
      <c r="A124" s="3676" t="str">
        <f>IF(项目基本情况!B9="房地产市场价值","",MID(E109,3,LEN(E109)-2))</f>
        <v/>
      </c>
      <c r="B124" s="3676"/>
      <c r="C124" s="3676"/>
      <c r="D124" s="3709" t="str">
        <f>H109</f>
        <v>——</v>
      </c>
      <c r="E124" s="3710"/>
      <c r="F124" s="3710"/>
      <c r="G124" s="3710"/>
      <c r="H124" s="3710"/>
      <c r="I124" s="3711"/>
      <c r="AA124" s="725"/>
    </row>
    <row r="125" spans="1:27" ht="18.75" customHeight="1">
      <c r="A125" s="3645" t="s">
        <v>1450</v>
      </c>
      <c r="B125" s="3645"/>
      <c r="C125" s="3645"/>
      <c r="D125" s="3685" t="e">
        <f>NUMBERSTRING(INT(D124*10000),2)&amp;"元整"</f>
        <v>#VALUE!</v>
      </c>
      <c r="E125" s="3686"/>
      <c r="F125" s="3686"/>
      <c r="G125" s="3686"/>
      <c r="H125" s="3686"/>
      <c r="I125" s="3687"/>
      <c r="AA125" s="725"/>
    </row>
    <row r="126" spans="1:27" ht="18.75" customHeight="1">
      <c r="A126" s="3676" t="str">
        <f>IF(项目基本情况!B9="房地产市场价值","",MID(E111,3,LEN(E111)-2))</f>
        <v/>
      </c>
      <c r="B126" s="3676"/>
      <c r="C126" s="3676"/>
      <c r="D126" s="3709" t="str">
        <f>H111</f>
        <v>——</v>
      </c>
      <c r="E126" s="3710"/>
      <c r="F126" s="3710"/>
      <c r="G126" s="3710"/>
      <c r="H126" s="3710"/>
      <c r="I126" s="3711"/>
      <c r="AA126" s="725"/>
    </row>
    <row r="127" spans="1:27" ht="18.75" customHeight="1">
      <c r="A127" s="3645" t="s">
        <v>1450</v>
      </c>
      <c r="B127" s="3645"/>
      <c r="C127" s="3645"/>
      <c r="D127" s="3685" t="e">
        <f>NUMBERSTRING(INT(D126*10000),2)&amp;"元整"</f>
        <v>#VALUE!</v>
      </c>
      <c r="E127" s="3686"/>
      <c r="F127" s="3686"/>
      <c r="G127" s="3686"/>
      <c r="H127" s="3686"/>
      <c r="I127" s="3687"/>
      <c r="AA127" s="725"/>
    </row>
    <row r="128" spans="1:27" ht="21.75" customHeight="1">
      <c r="A128" s="3692" t="s">
        <v>1451</v>
      </c>
      <c r="B128" s="3692"/>
      <c r="C128" s="3692"/>
      <c r="D128" s="3692"/>
      <c r="E128" s="3692"/>
      <c r="F128" s="3692"/>
      <c r="G128" s="3692"/>
      <c r="H128" s="3692"/>
      <c r="I128" s="3692"/>
      <c r="AA128" s="725"/>
    </row>
    <row r="129" spans="1:35" ht="21.75" customHeight="1">
      <c r="A129" s="1829" t="s">
        <v>1452</v>
      </c>
      <c r="B129" s="1830"/>
      <c r="C129" s="1831" t="s">
        <v>1453</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1454</v>
      </c>
      <c r="G135" s="1846"/>
      <c r="H135" s="1846"/>
      <c r="I135" s="1847" t="s">
        <v>1455</v>
      </c>
    </row>
    <row r="136" spans="1:35" ht="21.75" customHeight="1">
      <c r="A136" s="725"/>
      <c r="B136" s="1848"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1457</v>
      </c>
    </row>
    <row r="139" spans="1:35" ht="21.75" customHeight="1">
      <c r="A139" s="725"/>
      <c r="B139" s="1848" t="s">
        <v>1458</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1457</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5">
        <f>MATCH(B1,'数据-取费表'!A6:A16,0)+5</f>
        <v>9</v>
      </c>
    </row>
    <row r="2" spans="1:9" s="200" customFormat="1" ht="18" customHeight="1">
      <c r="A2" s="201" t="s">
        <v>1460</v>
      </c>
      <c r="B2" s="202">
        <f ca="1">IF(D2="——",C52,C52-E2)</f>
        <v>240227</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18795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159005</v>
      </c>
      <c r="D5" s="211" t="s">
        <v>1467</v>
      </c>
      <c r="E5" s="212" t="s">
        <v>1468</v>
      </c>
      <c r="F5" s="212" t="s">
        <v>1469</v>
      </c>
      <c r="G5" s="213"/>
    </row>
    <row r="6" spans="1:9" s="214" customFormat="1" ht="13.5" customHeight="1">
      <c r="A6" s="778" t="s">
        <v>1470</v>
      </c>
      <c r="B6" s="215" t="s">
        <v>1471</v>
      </c>
      <c r="C6" s="216">
        <f>'土地比较法-住宅、综合'!B2</f>
        <v>151819</v>
      </c>
      <c r="D6" s="217"/>
      <c r="E6" s="218"/>
      <c r="F6" s="218"/>
      <c r="G6" s="219"/>
    </row>
    <row r="7" spans="1:9" s="214" customFormat="1" ht="13.5" customHeight="1">
      <c r="A7" s="778" t="s">
        <v>1472</v>
      </c>
      <c r="B7" s="215" t="s">
        <v>1473</v>
      </c>
      <c r="C7" s="220">
        <f>ROUND(C6*F7,0)</f>
        <v>4630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2556</v>
      </c>
      <c r="D8" s="222"/>
      <c r="E8" s="220"/>
      <c r="F8" s="221"/>
      <c r="G8" s="1854" t="s">
        <v>4011</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5"/>
      <c r="H9" s="1136"/>
      <c r="I9" s="1856" t="s">
        <v>1477</v>
      </c>
    </row>
    <row r="10" spans="1:9" s="214" customFormat="1" ht="13.5" customHeight="1">
      <c r="A10" s="779" t="s">
        <v>356</v>
      </c>
      <c r="B10" s="224" t="s">
        <v>1478</v>
      </c>
      <c r="C10" s="225">
        <f ca="1">ROUND(D10*E10/10000,0)</f>
        <v>2556</v>
      </c>
      <c r="D10" s="845">
        <f ca="1">IF(B1="",'数据-汇总表'!E6,IF(INDIRECT("'数据-取费表'!c"&amp;$G$1)="住宅",INDIRECT("'数据-取费表'!s"&amp;$G$1),INDIRECT("'数据-取费表'!k"&amp;$G$1)+INDIRECT("'数据-取费表'!s"&amp;$G$1)))</f>
        <v>127815.41999999985</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127815.41999999985</v>
      </c>
      <c r="E19" s="211">
        <f>'数据-取费表'!B31</f>
        <v>200</v>
      </c>
      <c r="F19" s="231"/>
      <c r="G19" s="1854" t="s">
        <v>4012</v>
      </c>
    </row>
    <row r="20" spans="1:7" s="214" customFormat="1" ht="13.5" customHeight="1">
      <c r="A20" s="255" t="s">
        <v>1491</v>
      </c>
      <c r="B20" s="210" t="s">
        <v>1492</v>
      </c>
      <c r="C20" s="232">
        <f ca="1">ROUND((C5+C19)*F20,0)</f>
        <v>3180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8554</v>
      </c>
      <c r="D22" s="235">
        <f ca="1">C26</f>
        <v>5.0000000000000001E-4</v>
      </c>
      <c r="E22" s="236" t="s">
        <v>1496</v>
      </c>
      <c r="F22" s="237">
        <f ca="1">'数据-取费表'!B40</f>
        <v>3.1E-2</v>
      </c>
      <c r="G22" s="234" t="str">
        <f>IF('数据-取费表'!B22&lt;=1,"单利计息","复利计息")</f>
        <v>复利计息</v>
      </c>
    </row>
    <row r="23" spans="1:7" s="214" customFormat="1" ht="13.5" customHeight="1">
      <c r="A23" s="780" t="s">
        <v>1500</v>
      </c>
      <c r="B23" s="215" t="s">
        <v>1501</v>
      </c>
      <c r="C23" s="1104">
        <f ca="1">ROUND(IF('数据-取费表'!B22&lt;=1,C5*F22*'数据-取费表'!B23,C5*(POWER((1+F22),'数据-取费表'!B23)-1)),0)</f>
        <v>8470</v>
      </c>
      <c r="D23" s="238"/>
      <c r="E23" s="238"/>
      <c r="F23" s="239"/>
      <c r="G23" s="240" t="s">
        <v>1502</v>
      </c>
    </row>
    <row r="24" spans="1:7" s="214" customFormat="1" ht="13.5" customHeight="1">
      <c r="A24" s="780"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4">
        <f ca="1">ROUND(IF('数据-取费表'!B22&lt;=1,C20*F22*'数据-取费表'!B23/2,C20*(POWER((1+F22),'数据-取费表'!B23/2)-1)),0)</f>
        <v>84</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12867</v>
      </c>
      <c r="D27" s="235">
        <f ca="1">C29</f>
        <v>1.6000000000000001E-3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ROUND((C5+C19+C20)*F27*'数据-取费表'!B21/'数据-取费表'!B20,0)</f>
        <v>12867</v>
      </c>
      <c r="D28" s="235"/>
      <c r="E28" s="236"/>
      <c r="F28" s="246"/>
      <c r="G28" s="247"/>
    </row>
    <row r="29" spans="1:7" s="214" customFormat="1" ht="13.5" customHeight="1">
      <c r="A29" s="780" t="s">
        <v>347</v>
      </c>
      <c r="B29" s="248" t="s">
        <v>1515</v>
      </c>
      <c r="C29" s="238">
        <f ca="1">ROUND(C21*F27*'数据-取费表'!B21/'数据-取费表'!B20,4)</f>
        <v>1.6000000000000001E-3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198386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32510</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29206</v>
      </c>
      <c r="D34" s="217"/>
      <c r="E34" s="220"/>
      <c r="F34" s="257">
        <f ca="1">IF('数据-取费表'!B24=0,1,IF(B1="",'数据-取费表'!N16,INDIRECT("'数据-取费表'!n"&amp;$G$1)))</f>
        <v>0.55000000000000004</v>
      </c>
      <c r="G34" s="219" t="s">
        <v>1524</v>
      </c>
    </row>
    <row r="35" spans="1:7" ht="13.5" customHeight="1">
      <c r="A35" s="780" t="s">
        <v>351</v>
      </c>
      <c r="B35" s="215" t="s">
        <v>1525</v>
      </c>
      <c r="C35" s="220">
        <f ca="1">ROUND(C34*F35,0)</f>
        <v>1460</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1406</v>
      </c>
      <c r="D37" s="217">
        <f ca="1">D19</f>
        <v>127815.41999999985</v>
      </c>
      <c r="E37" s="249">
        <f>'数据-取费表'!B35</f>
        <v>200</v>
      </c>
      <c r="F37" s="259"/>
      <c r="G37" s="261" t="s">
        <v>1530</v>
      </c>
    </row>
    <row r="38" spans="1:7" ht="13.5" customHeight="1">
      <c r="A38" s="780" t="s">
        <v>354</v>
      </c>
      <c r="B38" s="215" t="s">
        <v>1531</v>
      </c>
      <c r="C38" s="220">
        <f ca="1">ROUND(C34*F38,0)</f>
        <v>438</v>
      </c>
      <c r="D38" s="220"/>
      <c r="E38" s="220"/>
      <c r="F38" s="259">
        <f>'数据-取费表'!B36</f>
        <v>1.4999999999999999E-2</v>
      </c>
      <c r="G38" s="219" t="s">
        <v>1526</v>
      </c>
    </row>
    <row r="39" spans="1:7" s="214" customFormat="1" ht="13.5" customHeight="1">
      <c r="A39" s="255" t="s">
        <v>1532</v>
      </c>
      <c r="B39" s="210" t="s">
        <v>1533</v>
      </c>
      <c r="C39" s="232">
        <f ca="1">ROUND(C33*F20,0)</f>
        <v>650</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872</v>
      </c>
      <c r="D41" s="235">
        <f ca="1">C44</f>
        <v>5.0000000000000001E-4</v>
      </c>
      <c r="E41" s="236" t="s">
        <v>1537</v>
      </c>
      <c r="F41" s="237">
        <f ca="1">F22</f>
        <v>3.1E-2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855</v>
      </c>
      <c r="D42" s="238"/>
      <c r="E42" s="238"/>
      <c r="F42" s="239"/>
      <c r="G42" s="3725" t="s">
        <v>1542</v>
      </c>
    </row>
    <row r="43" spans="1:7" ht="13.5" customHeight="1">
      <c r="A43" s="780" t="s">
        <v>347</v>
      </c>
      <c r="B43" s="215" t="s">
        <v>1543</v>
      </c>
      <c r="C43" s="238">
        <f ca="1">ROUND(IF('数据-取费表'!B22&lt;=1,C39*F22*'数据-取费表'!B21/2,C39*(POWER((1+F22),'数据-取费表'!B21/2)-1)),0)</f>
        <v>17</v>
      </c>
      <c r="D43" s="238"/>
      <c r="E43" s="238"/>
      <c r="F43" s="239"/>
      <c r="G43" s="3726"/>
    </row>
    <row r="44" spans="1:7" ht="13.5" customHeight="1">
      <c r="A44" s="780" t="s">
        <v>348</v>
      </c>
      <c r="B44" s="215" t="s">
        <v>1544</v>
      </c>
      <c r="C44" s="238">
        <f ca="1">ROUND(IF('数据-取费表'!B22&lt;=1,C40*F22*'数据-取费表'!B21/2,C40*(POWER((1+F22),'数据-取费表'!B21/2)-1)),4)</f>
        <v>5.0000000000000001E-4</v>
      </c>
      <c r="D44" s="238"/>
      <c r="E44" s="238"/>
      <c r="F44" s="239"/>
      <c r="G44" s="3727"/>
    </row>
    <row r="45" spans="1:7" s="214" customFormat="1" ht="13.5" customHeight="1">
      <c r="A45" s="255" t="s">
        <v>1545</v>
      </c>
      <c r="B45" s="244" t="s">
        <v>1511</v>
      </c>
      <c r="C45" s="245">
        <f ca="1">C46</f>
        <v>4642</v>
      </c>
      <c r="D45" s="235">
        <f ca="1">C47</f>
        <v>2.8E-3</v>
      </c>
      <c r="E45" s="236" t="s">
        <v>1537</v>
      </c>
      <c r="F45" s="246">
        <f ca="1">F27</f>
        <v>0.14000000000000001</v>
      </c>
      <c r="G45" s="247" t="s">
        <v>1546</v>
      </c>
    </row>
    <row r="46" spans="1:7" s="214" customFormat="1" ht="13.5" customHeight="1">
      <c r="A46" s="780" t="s">
        <v>346</v>
      </c>
      <c r="B46" s="248" t="s">
        <v>1547</v>
      </c>
      <c r="C46" s="249">
        <f ca="1">ROUND((C33+C39)*F27,0)</f>
        <v>4642</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41841</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41841</v>
      </c>
      <c r="D51" s="232"/>
      <c r="E51" s="232"/>
      <c r="F51" s="264"/>
      <c r="G51" s="234" t="s">
        <v>1558</v>
      </c>
    </row>
    <row r="52" spans="1:7" s="208" customFormat="1" ht="16.5" thickBot="1">
      <c r="A52" s="265" t="s">
        <v>1559</v>
      </c>
      <c r="B52" s="266"/>
      <c r="C52" s="267">
        <f ca="1">C31+C51</f>
        <v>240227</v>
      </c>
      <c r="D52" s="266"/>
      <c r="E52" s="266"/>
      <c r="F52" s="266"/>
      <c r="G52" s="268"/>
    </row>
    <row r="55" spans="1:7" ht="15">
      <c r="B55" s="270" t="s">
        <v>1560</v>
      </c>
      <c r="C55" s="271"/>
    </row>
    <row r="56" spans="1:7">
      <c r="B56" s="273" t="s">
        <v>802</v>
      </c>
      <c r="C56" s="275">
        <f ca="1">1-C57</f>
        <v>0.82600000000000007</v>
      </c>
    </row>
    <row r="57" spans="1:7">
      <c r="B57" s="273" t="s">
        <v>803</v>
      </c>
      <c r="C57" s="274">
        <f ca="1">ROUND(C51/C52,3)</f>
        <v>0.17399999999999999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9</v>
      </c>
      <c r="H1" s="1061" t="str">
        <f>IF(ISERROR(FIND("住宅",B1)),"非住宅","住宅")</f>
        <v>非住宅</v>
      </c>
    </row>
    <row r="2" spans="1:8" s="200" customFormat="1" ht="18" customHeight="1">
      <c r="A2" s="201" t="s">
        <v>1460</v>
      </c>
      <c r="B2" s="3418">
        <f ca="1">ROUND(IF(D2="——",C52/10000,C52/10000-E2),4)</f>
        <v>84419.207699999999</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6605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25563084</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25563084</v>
      </c>
      <c r="D8" s="222"/>
      <c r="E8" s="220"/>
      <c r="F8" s="221"/>
      <c r="G8" s="1854"/>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25563084</v>
      </c>
      <c r="D10" s="845">
        <f ca="1">IF(B1="",'数据-汇总表'!E6,IF(INDIRECT("'数据-取费表'!c"&amp;$G$1)="住宅",INDIRECT("'数据-取费表'!s"&amp;$G$1),INDIRECT("'数据-取费表'!k"&amp;$G$1)+INDIRECT("'数据-取费表'!s"&amp;$G$1)))</f>
        <v>127815.41999999985</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25563084</v>
      </c>
      <c r="D19" s="849">
        <f ca="1">D9+D10</f>
        <v>127815.41999999985</v>
      </c>
      <c r="E19" s="211">
        <f>'数据-取费表'!B31</f>
        <v>200</v>
      </c>
      <c r="F19" s="231"/>
      <c r="G19" s="1854"/>
    </row>
    <row r="20" spans="1:7" s="214" customFormat="1" ht="13.5" customHeight="1">
      <c r="A20" s="255" t="s">
        <v>1572</v>
      </c>
      <c r="B20" s="210" t="s">
        <v>1573</v>
      </c>
      <c r="C20" s="232">
        <f ca="1">ROUND((C5+C19)*F20,0)</f>
        <v>1022523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4951568</v>
      </c>
      <c r="D22" s="235">
        <f ca="1">C26</f>
        <v>8.9999999999999998E-4</v>
      </c>
      <c r="E22" s="236" t="s">
        <v>1577</v>
      </c>
      <c r="F22" s="237">
        <f ca="1">'数据-取费表'!B40</f>
        <v>3.1E-2</v>
      </c>
      <c r="G22" s="234" t="str">
        <f>IF('数据-取费表'!B22&lt;=1,"单利计息","复利计息")</f>
        <v>复利计息</v>
      </c>
    </row>
    <row r="23" spans="1:7" s="214" customFormat="1" ht="13.5" customHeight="1">
      <c r="A23" s="780" t="s">
        <v>1470</v>
      </c>
      <c r="B23" s="215" t="s">
        <v>1581</v>
      </c>
      <c r="C23" s="1127">
        <f ca="1">ROUND(IF('数据-取费表'!B22&lt;=1,C5*F22*'数据-取费表'!B22,C5*(POWER((1+F22),'数据-取费表'!B22)-1)),0)</f>
        <v>2451827</v>
      </c>
      <c r="D23" s="238"/>
      <c r="E23" s="238"/>
      <c r="F23" s="239"/>
      <c r="G23" s="240" t="s">
        <v>1582</v>
      </c>
    </row>
    <row r="24" spans="1:7" s="214" customFormat="1" ht="13.5" customHeight="1">
      <c r="A24" s="780" t="s">
        <v>1472</v>
      </c>
      <c r="B24" s="215" t="s">
        <v>1583</v>
      </c>
      <c r="C24" s="1127">
        <f ca="1">ROUND(IF('数据-取费表'!B22&lt;=1,C19*F22*('数据-取费表'!B19/2+'数据-取费表'!B20),C19*(POWER((1+F22),('数据-取费表'!B19/2+'数据-取费表'!B20))-1)),0)</f>
        <v>2451827</v>
      </c>
      <c r="D24" s="238"/>
      <c r="E24" s="238"/>
      <c r="F24" s="239"/>
      <c r="G24" s="240" t="s">
        <v>1584</v>
      </c>
    </row>
    <row r="25" spans="1:7" s="214" customFormat="1" ht="24">
      <c r="A25" s="780" t="s">
        <v>1474</v>
      </c>
      <c r="B25" s="215" t="s">
        <v>1585</v>
      </c>
      <c r="C25" s="1127">
        <f ca="1">ROUND(IF('数据-取费表'!B22&lt;=1,C20*F22*'数据-取费表'!B22/2,C20*(POWER((1+F22),'数据-取费表'!B22/2)-1)),0)</f>
        <v>47914</v>
      </c>
      <c r="D25" s="238"/>
      <c r="E25" s="241"/>
      <c r="F25" s="239"/>
      <c r="G25" s="242" t="s">
        <v>1586</v>
      </c>
    </row>
    <row r="26" spans="1:7" s="214" customFormat="1">
      <c r="A26" s="780" t="s">
        <v>350</v>
      </c>
      <c r="B26" s="215" t="s">
        <v>1509</v>
      </c>
      <c r="C26" s="238">
        <f ca="1">ROUND(IF('数据-取费表'!B22&lt;=1,F21*F22*'数据-取费表'!B22/2,F21*(POWER((1+F22),'数据-取费表'!B22/2)-1)),4)</f>
        <v>8.9999999999999998E-4</v>
      </c>
      <c r="D26" s="238"/>
      <c r="E26" s="241"/>
      <c r="F26" s="239"/>
      <c r="G26" s="243"/>
    </row>
    <row r="27" spans="1:7" s="214" customFormat="1" ht="24.75">
      <c r="A27" s="255" t="s">
        <v>1510</v>
      </c>
      <c r="B27" s="244" t="s">
        <v>1511</v>
      </c>
      <c r="C27" s="245">
        <f ca="1">C28</f>
        <v>7300817</v>
      </c>
      <c r="D27" s="235">
        <f ca="1">C29</f>
        <v>2.8E-3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ROUND((C5+C19+C20)*F27,0)</f>
        <v>7300817</v>
      </c>
      <c r="D28" s="235"/>
      <c r="E28" s="236"/>
      <c r="F28" s="246"/>
      <c r="G28" s="247"/>
    </row>
    <row r="29" spans="1:7" s="214" customFormat="1" ht="13.5" customHeight="1">
      <c r="A29" s="780" t="s">
        <v>347</v>
      </c>
      <c r="B29" s="248" t="s">
        <v>1515</v>
      </c>
      <c r="C29" s="238">
        <f ca="1">ROUND(C21*F27,4)</f>
        <v>2.8E-3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69705678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591070975</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530993325</v>
      </c>
      <c r="D34" s="217"/>
      <c r="E34" s="220"/>
      <c r="F34" s="257"/>
      <c r="G34" s="219"/>
    </row>
    <row r="35" spans="1:7" ht="13.5" customHeight="1">
      <c r="A35" s="780" t="s">
        <v>351</v>
      </c>
      <c r="B35" s="215" t="s">
        <v>1525</v>
      </c>
      <c r="C35" s="220">
        <f ca="1">ROUND(C34*F35,0)</f>
        <v>26549666</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25563084</v>
      </c>
      <c r="D37" s="217">
        <f ca="1">D19</f>
        <v>127815.41999999985</v>
      </c>
      <c r="E37" s="249">
        <f>'数据-取费表'!B35</f>
        <v>200</v>
      </c>
      <c r="F37" s="259"/>
      <c r="G37" s="261"/>
    </row>
    <row r="38" spans="1:7" ht="13.5" customHeight="1">
      <c r="A38" s="780" t="s">
        <v>354</v>
      </c>
      <c r="B38" s="215" t="s">
        <v>1531</v>
      </c>
      <c r="C38" s="220">
        <f ca="1">ROUND(C34*F38,0)</f>
        <v>7964900</v>
      </c>
      <c r="D38" s="220"/>
      <c r="E38" s="220"/>
      <c r="F38" s="259">
        <f>'数据-取费表'!B36</f>
        <v>1.4999999999999999E-2</v>
      </c>
      <c r="G38" s="219" t="s">
        <v>1526</v>
      </c>
    </row>
    <row r="39" spans="1:7" s="214" customFormat="1" ht="13.5" customHeight="1">
      <c r="A39" s="255" t="s">
        <v>1532</v>
      </c>
      <c r="B39" s="210" t="s">
        <v>1533</v>
      </c>
      <c r="C39" s="232">
        <f ca="1">ROUND(C33*F20,0)</f>
        <v>11821420</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28250654</v>
      </c>
      <c r="D41" s="235">
        <f ca="1">C44</f>
        <v>8.9999999999999998E-4</v>
      </c>
      <c r="E41" s="236" t="s">
        <v>1537</v>
      </c>
      <c r="F41" s="237">
        <f ca="1">F22</f>
        <v>3.1E-2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27696720</v>
      </c>
      <c r="D42" s="238"/>
      <c r="E42" s="238"/>
      <c r="F42" s="239"/>
      <c r="G42" s="3725" t="s">
        <v>1589</v>
      </c>
    </row>
    <row r="43" spans="1:7" ht="13.5" customHeight="1">
      <c r="A43" s="780" t="s">
        <v>347</v>
      </c>
      <c r="B43" s="215" t="s">
        <v>1543</v>
      </c>
      <c r="C43" s="238">
        <f ca="1">ROUND(IF('数据-取费表'!B22&lt;=1,C39*F22*'数据-取费表'!B20/2,C39*(POWER((1+F22),'数据-取费表'!B20/2)-1)),0)</f>
        <v>553934</v>
      </c>
      <c r="D43" s="238"/>
      <c r="E43" s="238"/>
      <c r="F43" s="239"/>
      <c r="G43" s="3726"/>
    </row>
    <row r="44" spans="1:7" ht="13.5" customHeight="1">
      <c r="A44" s="780" t="s">
        <v>348</v>
      </c>
      <c r="B44" s="215" t="s">
        <v>1544</v>
      </c>
      <c r="C44" s="238">
        <f ca="1">ROUND(IF('数据-取费表'!B22&lt;=1,C40*F22*'数据-取费表'!B20/2,C40*(POWER((1+F22),'数据-取费表'!B20/2)-1)),4)</f>
        <v>8.9999999999999998E-4</v>
      </c>
      <c r="D44" s="238"/>
      <c r="E44" s="238"/>
      <c r="F44" s="239"/>
      <c r="G44" s="3727"/>
    </row>
    <row r="45" spans="1:7" s="214" customFormat="1" ht="13.5" customHeight="1">
      <c r="A45" s="255" t="s">
        <v>1545</v>
      </c>
      <c r="B45" s="244" t="s">
        <v>1511</v>
      </c>
      <c r="C45" s="245">
        <f ca="1">C46</f>
        <v>84404935</v>
      </c>
      <c r="D45" s="235">
        <f ca="1">C47</f>
        <v>2.8E-3</v>
      </c>
      <c r="E45" s="236" t="s">
        <v>1537</v>
      </c>
      <c r="F45" s="246">
        <f ca="1">F27</f>
        <v>0.14000000000000001</v>
      </c>
      <c r="G45" s="247" t="s">
        <v>1546</v>
      </c>
    </row>
    <row r="46" spans="1:7" s="214" customFormat="1" ht="13.5" customHeight="1">
      <c r="A46" s="780" t="s">
        <v>346</v>
      </c>
      <c r="B46" s="248" t="s">
        <v>1547</v>
      </c>
      <c r="C46" s="249">
        <f ca="1">ROUND((C33+C39)*F27,0)</f>
        <v>84404935</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774486399</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774486399</v>
      </c>
      <c r="D51" s="232"/>
      <c r="E51" s="232"/>
      <c r="F51" s="264"/>
      <c r="G51" s="234" t="s">
        <v>1558</v>
      </c>
    </row>
    <row r="52" spans="1:7" s="208" customFormat="1" ht="16.5" thickBot="1">
      <c r="A52" s="265" t="s">
        <v>1559</v>
      </c>
      <c r="B52" s="266"/>
      <c r="C52" s="267">
        <f ca="1">C31+C51</f>
        <v>844192077</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C1" zoomScale="80" zoomScaleNormal="60" zoomScaleSheetLayoutView="80" workbookViewId="0">
      <selection activeCell="I47" sqref="I47"/>
    </sheetView>
  </sheetViews>
  <sheetFormatPr defaultColWidth="9" defaultRowHeight="14.25"/>
  <cols>
    <col min="1" max="1" width="14.375" style="357" customWidth="1"/>
    <col min="2" max="2" width="15.75" style="357" customWidth="1"/>
    <col min="3" max="3" width="16.875" style="357" customWidth="1"/>
    <col min="4" max="4" width="14.125" style="357" customWidth="1"/>
    <col min="5" max="5" width="14.375" style="357" customWidth="1"/>
    <col min="6" max="6" width="12.25" style="357" customWidth="1"/>
    <col min="7" max="7" width="14.5" style="357" customWidth="1"/>
    <col min="8" max="8" width="12.25" style="357" customWidth="1"/>
    <col min="9" max="9" width="1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151819</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11878</v>
      </c>
      <c r="C3" s="203" t="s">
        <v>1867</v>
      </c>
      <c r="D3" s="1191"/>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32" t="s">
        <v>1768</v>
      </c>
      <c r="D4" s="3744"/>
      <c r="E4" s="3745" t="s">
        <v>1769</v>
      </c>
      <c r="F4" s="3746"/>
      <c r="G4" s="3732" t="s">
        <v>1770</v>
      </c>
      <c r="H4" s="3744"/>
      <c r="I4" s="3732" t="s">
        <v>1771</v>
      </c>
      <c r="J4" s="3744"/>
      <c r="K4" s="559" t="s">
        <v>1772</v>
      </c>
      <c r="L4" s="2709"/>
      <c r="M4" s="2710"/>
      <c r="N4" s="2710"/>
      <c r="O4" s="2710"/>
      <c r="P4" s="3747" t="s">
        <v>1773</v>
      </c>
      <c r="Q4" s="3748"/>
      <c r="R4" s="3753" t="s">
        <v>1769</v>
      </c>
      <c r="S4" s="3754"/>
      <c r="T4" s="3753" t="s">
        <v>1770</v>
      </c>
      <c r="U4" s="3754"/>
      <c r="V4" s="3740" t="s">
        <v>1771</v>
      </c>
      <c r="W4" s="3740"/>
      <c r="X4" s="1353"/>
      <c r="Y4" s="3753" t="s">
        <v>1773</v>
      </c>
      <c r="Z4" s="3754"/>
      <c r="AA4" s="3741" t="s">
        <v>1769</v>
      </c>
      <c r="AB4" s="3742" t="s">
        <v>1770</v>
      </c>
      <c r="AC4" s="3741" t="s">
        <v>1771</v>
      </c>
    </row>
    <row r="5" spans="1:30" ht="66" customHeight="1">
      <c r="A5" s="358"/>
      <c r="B5" s="359"/>
      <c r="C5" s="3761" t="str">
        <f>项目基本情况!B1</f>
        <v>北京市通州区运河核心区Ⅷ-13地块F3其它类多功能用地项目商务金融（办公（商务型公寓）、商业及地下车库）用地出让国有建设用地使用权及在建建筑物房地产抵押价值预评估</v>
      </c>
      <c r="D5" s="3762"/>
      <c r="E5" s="3768" t="str">
        <f>土地案例!$A$4</f>
        <v>北京城市副中心0201街区玉桥家园中心FZX-0201-0096、0102地块F3其他类多功能用地国有建设用地使用权出让公告</v>
      </c>
      <c r="F5" s="3769"/>
      <c r="G5" s="3761" t="str">
        <f>土地案例!$A$5</f>
        <v>北京城市副中心0403街区FZX-0403-0146、0148地块F3 其他类多功能用地</v>
      </c>
      <c r="H5" s="3762"/>
      <c r="I5" s="3761" t="str">
        <f>土地案例!$A$6</f>
        <v>北京市通州区永顺镇0401街区 46号地块(西马庄收储) B4综合性商业金融服务业用地</v>
      </c>
      <c r="J5" s="3762"/>
      <c r="K5" s="559"/>
      <c r="L5" s="2709"/>
      <c r="M5" s="2710"/>
      <c r="N5" s="2710"/>
      <c r="O5" s="2710"/>
      <c r="P5" s="3749"/>
      <c r="Q5" s="3750"/>
      <c r="R5" s="3755"/>
      <c r="S5" s="3756"/>
      <c r="T5" s="3755"/>
      <c r="U5" s="3756"/>
      <c r="V5" s="3740"/>
      <c r="W5" s="3740"/>
      <c r="X5" s="1353"/>
      <c r="Y5" s="3755"/>
      <c r="Z5" s="3756"/>
      <c r="AA5" s="3742"/>
      <c r="AB5" s="3742"/>
      <c r="AC5" s="3742"/>
    </row>
    <row r="6" spans="1:30" ht="15.75" thickBot="1">
      <c r="A6" s="360"/>
      <c r="B6" s="361"/>
      <c r="C6" s="3759" t="s">
        <v>1675</v>
      </c>
      <c r="D6" s="3760"/>
      <c r="E6" s="3766" t="s">
        <v>1675</v>
      </c>
      <c r="F6" s="3767"/>
      <c r="G6" s="3759" t="s">
        <v>1675</v>
      </c>
      <c r="H6" s="3760"/>
      <c r="I6" s="3759" t="s">
        <v>1675</v>
      </c>
      <c r="J6" s="3760"/>
      <c r="K6" s="559" t="s">
        <v>1676</v>
      </c>
      <c r="L6" s="2709"/>
      <c r="M6" s="2710"/>
      <c r="N6" s="2710"/>
      <c r="O6" s="2710"/>
      <c r="P6" s="3751"/>
      <c r="Q6" s="3752"/>
      <c r="R6" s="3755"/>
      <c r="S6" s="3756"/>
      <c r="T6" s="3757"/>
      <c r="U6" s="3758"/>
      <c r="V6" s="3740"/>
      <c r="W6" s="3740"/>
      <c r="X6" s="1353"/>
      <c r="Y6" s="3757"/>
      <c r="Z6" s="3758"/>
      <c r="AA6" s="3743"/>
      <c r="AB6" s="3743"/>
      <c r="AC6" s="3743"/>
    </row>
    <row r="7" spans="1:30" s="108" customFormat="1" ht="15.75" thickBot="1">
      <c r="A7" s="362" t="s">
        <v>1677</v>
      </c>
      <c r="B7" s="363"/>
      <c r="C7" s="364">
        <f>'数据-取费表'!B2</f>
        <v>45587</v>
      </c>
      <c r="D7" s="365">
        <v>100</v>
      </c>
      <c r="E7" s="366">
        <f>[1]土地案例!AE7</f>
        <v>44761.000497685185</v>
      </c>
      <c r="F7" s="367">
        <f>SUMIF(69:69,YEAR(E7)&amp;"-"&amp;INT((MONTH(E7)+2)/3),70:70)</f>
        <v>98.199999999999974</v>
      </c>
      <c r="G7" s="1972">
        <f>[1]土地案例!AE8</f>
        <v>44566.000497685185</v>
      </c>
      <c r="H7" s="365">
        <f>SUMIF(69:69,YEAR(G7)&amp;"-"&amp;INT((MONTH(G7)+2)/3),70:70)</f>
        <v>97.799999999999969</v>
      </c>
      <c r="I7" s="1972">
        <f>[1]土地案例!AE9</f>
        <v>44495.000497685185</v>
      </c>
      <c r="J7" s="365">
        <f>SUMIF(69:69,YEAR(I7)&amp;"-"&amp;INT((MONTH(I7)+2)/3),70:70)</f>
        <v>97.599999999999966</v>
      </c>
      <c r="K7" s="560"/>
      <c r="L7" s="2711"/>
      <c r="M7" s="2712"/>
      <c r="N7" s="2712"/>
      <c r="O7" s="2712"/>
      <c r="P7" s="3763" t="s">
        <v>1678</v>
      </c>
      <c r="Q7" s="3765"/>
      <c r="R7" s="701" t="s">
        <v>14</v>
      </c>
      <c r="S7" s="702">
        <f t="shared" ref="S7:S15" si="0">F7</f>
        <v>98.199999999999974</v>
      </c>
      <c r="T7" s="701" t="s">
        <v>14</v>
      </c>
      <c r="U7" s="702">
        <f t="shared" ref="U7:U15" si="1">H7</f>
        <v>97.799999999999969</v>
      </c>
      <c r="V7" s="701" t="s">
        <v>14</v>
      </c>
      <c r="W7" s="702">
        <f t="shared" ref="W7:W15" si="2">J7</f>
        <v>97.599999999999966</v>
      </c>
      <c r="X7" s="703"/>
      <c r="Y7" s="3763" t="s">
        <v>1678</v>
      </c>
      <c r="Z7" s="3764"/>
      <c r="AA7" s="704">
        <f>D7/F7</f>
        <v>1.0183299389002038</v>
      </c>
      <c r="AB7" s="704">
        <f>D7/H7</f>
        <v>1.0224948875255626</v>
      </c>
      <c r="AC7" s="704">
        <f>D7/J7</f>
        <v>1.0245901639344266</v>
      </c>
    </row>
    <row r="8" spans="1:30" s="108" customFormat="1" ht="15.75" thickBot="1">
      <c r="A8" s="362" t="s">
        <v>1679</v>
      </c>
      <c r="B8" s="363"/>
      <c r="C8" s="368" t="s">
        <v>1680</v>
      </c>
      <c r="D8" s="365">
        <v>100</v>
      </c>
      <c r="E8" s="1890" t="s">
        <v>4030</v>
      </c>
      <c r="F8" s="367">
        <f>SUMIF(72:72,E8,73:73)-SUMIF(72:72,C8,73:73)+100</f>
        <v>100</v>
      </c>
      <c r="G8" s="1890" t="s">
        <v>4030</v>
      </c>
      <c r="H8" s="365">
        <f>SUMIF(72:72,G8,73:73)-SUMIF(72:72,C8,73:73)+100</f>
        <v>100</v>
      </c>
      <c r="I8" s="1890" t="s">
        <v>4030</v>
      </c>
      <c r="J8" s="365">
        <f>SUMIF(72:72,I8,73:73)-SUMIF(72:72,C8,73:73)+100</f>
        <v>100</v>
      </c>
      <c r="K8" s="560"/>
      <c r="L8" s="2711"/>
      <c r="M8" s="2712"/>
      <c r="N8" s="2712"/>
      <c r="O8" s="2712"/>
      <c r="P8" s="3763" t="s">
        <v>1681</v>
      </c>
      <c r="Q8" s="3764"/>
      <c r="R8" s="701" t="s">
        <v>14</v>
      </c>
      <c r="S8" s="702">
        <f t="shared" si="0"/>
        <v>100</v>
      </c>
      <c r="T8" s="701" t="s">
        <v>14</v>
      </c>
      <c r="U8" s="702">
        <f t="shared" si="1"/>
        <v>100</v>
      </c>
      <c r="V8" s="701" t="s">
        <v>14</v>
      </c>
      <c r="W8" s="702">
        <f t="shared" si="2"/>
        <v>100</v>
      </c>
      <c r="X8" s="703"/>
      <c r="Y8" s="3763" t="s">
        <v>1681</v>
      </c>
      <c r="Z8" s="3764"/>
      <c r="AA8" s="704">
        <f t="shared" ref="AA8:AA45" si="3">D8/F8</f>
        <v>1</v>
      </c>
      <c r="AB8" s="704">
        <f t="shared" ref="AB8:AB45" si="4">D8/H8</f>
        <v>1</v>
      </c>
      <c r="AC8" s="704">
        <f t="shared" ref="AC8:AC45" si="5">D8/J8</f>
        <v>1</v>
      </c>
    </row>
    <row r="9" spans="1:30" s="108" customFormat="1" ht="28.5">
      <c r="A9" s="369" t="s">
        <v>1682</v>
      </c>
      <c r="B9" s="63" t="s">
        <v>1683</v>
      </c>
      <c r="C9" s="1975" t="s">
        <v>3869</v>
      </c>
      <c r="D9" s="126">
        <v>100</v>
      </c>
      <c r="E9" s="3535" t="s">
        <v>3869</v>
      </c>
      <c r="F9" s="126">
        <f>SUMIF(74:74,E9,75:75)-SUMIF(74:74,C9,75:75)+100</f>
        <v>100</v>
      </c>
      <c r="G9" s="3535" t="s">
        <v>3869</v>
      </c>
      <c r="H9" s="126">
        <f>SUMIF(74:74,G9,75:75)-SUMIF(74:74,C9,75:75)+100</f>
        <v>100</v>
      </c>
      <c r="I9" s="3535" t="s">
        <v>3869</v>
      </c>
      <c r="J9" s="126">
        <f>SUMIF(74:74,I9,75:75)-SUMIF(74:74,C9,75:75)+100</f>
        <v>100</v>
      </c>
      <c r="K9" s="560"/>
      <c r="L9" s="2711"/>
      <c r="M9" s="2712"/>
      <c r="N9" s="2712"/>
      <c r="O9" s="2766"/>
      <c r="P9" s="3735" t="s">
        <v>1684</v>
      </c>
      <c r="Q9" s="1341" t="str">
        <f t="shared" ref="Q9:Q15" si="6">B9</f>
        <v>用途</v>
      </c>
      <c r="R9" s="701" t="s">
        <v>14</v>
      </c>
      <c r="S9" s="702">
        <f t="shared" si="0"/>
        <v>100</v>
      </c>
      <c r="T9" s="701" t="s">
        <v>14</v>
      </c>
      <c r="U9" s="702">
        <f t="shared" si="1"/>
        <v>100</v>
      </c>
      <c r="V9" s="701" t="s">
        <v>14</v>
      </c>
      <c r="W9" s="702">
        <f t="shared" si="2"/>
        <v>100</v>
      </c>
      <c r="X9" s="703"/>
      <c r="Y9" s="3632" t="s">
        <v>1685</v>
      </c>
      <c r="Z9" s="52" t="str">
        <f t="shared" ref="Z9:Z15" si="7">Q9</f>
        <v>用途</v>
      </c>
      <c r="AA9" s="704">
        <f t="shared" si="3"/>
        <v>1</v>
      </c>
      <c r="AB9" s="704">
        <f t="shared" si="4"/>
        <v>1</v>
      </c>
      <c r="AC9" s="704">
        <f t="shared" si="5"/>
        <v>1</v>
      </c>
    </row>
    <row r="10" spans="1:30" s="378" customFormat="1" ht="27">
      <c r="A10" s="374"/>
      <c r="B10" s="375" t="s">
        <v>1686</v>
      </c>
      <c r="C10" s="383">
        <f>'数据-取费表'!F6</f>
        <v>38.06</v>
      </c>
      <c r="D10" s="127">
        <v>100</v>
      </c>
      <c r="E10" s="416" t="s">
        <v>4031</v>
      </c>
      <c r="F10" s="127">
        <f>ROUND(100/'数据-取费表'!G16,0)</f>
        <v>111</v>
      </c>
      <c r="G10" s="416" t="s">
        <v>4031</v>
      </c>
      <c r="H10" s="127">
        <f>ROUND(100/'数据-取费表'!G16,0)</f>
        <v>111</v>
      </c>
      <c r="I10" s="416" t="s">
        <v>4031</v>
      </c>
      <c r="J10" s="127">
        <f>ROUND(100/'数据-取费表'!G16,0)</f>
        <v>111</v>
      </c>
      <c r="K10" s="620"/>
      <c r="L10" s="2713"/>
      <c r="M10" s="2714"/>
      <c r="N10" s="2714"/>
      <c r="O10" s="2767"/>
      <c r="P10" s="3735"/>
      <c r="Q10" s="1341" t="str">
        <f t="shared" si="6"/>
        <v>土地使用年限（年）</v>
      </c>
      <c r="R10" s="701" t="s">
        <v>14</v>
      </c>
      <c r="S10" s="702">
        <f t="shared" si="0"/>
        <v>111</v>
      </c>
      <c r="T10" s="701" t="s">
        <v>14</v>
      </c>
      <c r="U10" s="702">
        <f t="shared" si="1"/>
        <v>111</v>
      </c>
      <c r="V10" s="701" t="s">
        <v>14</v>
      </c>
      <c r="W10" s="702">
        <f t="shared" si="2"/>
        <v>111</v>
      </c>
      <c r="X10" s="703"/>
      <c r="Y10" s="3632"/>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f>'数据-汇总表'!I7</f>
        <v>5.99</v>
      </c>
      <c r="D11" s="127">
        <v>100</v>
      </c>
      <c r="E11" s="380">
        <f>[1]土地案例!K7</f>
        <v>2.8</v>
      </c>
      <c r="F11" s="127">
        <f>LOOKUP(E11,79:79,80:80)-LOOKUP(C11,79:79,80:80)+100</f>
        <v>109</v>
      </c>
      <c r="G11" s="381">
        <f>[1]土地案例!K8</f>
        <v>4</v>
      </c>
      <c r="H11" s="127">
        <f>LOOKUP(G11,79:79,80:80)-LOOKUP(C11,79:79,80:80)+100</f>
        <v>103</v>
      </c>
      <c r="I11" s="380">
        <f>[1]土地案例!K9</f>
        <v>1.5</v>
      </c>
      <c r="J11" s="127">
        <f>LOOKUP(I11,79:79,80:80)-LOOKUP(C11,79:79,80:80)+100</f>
        <v>112</v>
      </c>
      <c r="K11" s="621">
        <v>3</v>
      </c>
      <c r="L11" s="2715"/>
      <c r="M11" s="2710"/>
      <c r="N11" s="2710"/>
      <c r="O11" s="2768"/>
      <c r="P11" s="3735"/>
      <c r="Q11" s="1341" t="str">
        <f t="shared" si="6"/>
        <v>容积率</v>
      </c>
      <c r="R11" s="701" t="s">
        <v>14</v>
      </c>
      <c r="S11" s="702">
        <f t="shared" si="0"/>
        <v>109</v>
      </c>
      <c r="T11" s="701" t="s">
        <v>14</v>
      </c>
      <c r="U11" s="702">
        <f t="shared" si="1"/>
        <v>103</v>
      </c>
      <c r="V11" s="701" t="s">
        <v>14</v>
      </c>
      <c r="W11" s="702">
        <f t="shared" si="2"/>
        <v>112</v>
      </c>
      <c r="X11" s="703"/>
      <c r="Y11" s="3632"/>
      <c r="Z11" s="52" t="str">
        <f t="shared" si="7"/>
        <v>容积率</v>
      </c>
      <c r="AA11" s="704">
        <f t="shared" si="3"/>
        <v>0.91743119266055051</v>
      </c>
      <c r="AB11" s="704">
        <f t="shared" si="4"/>
        <v>0.970873786407767</v>
      </c>
      <c r="AC11" s="704">
        <f t="shared" si="5"/>
        <v>0.8928571428571429</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5"/>
      <c r="Q12" s="1341"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hidden="1">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5"/>
      <c r="Q13" s="1341">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hidden="1"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5"/>
      <c r="Q14" s="1341">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6" t="s">
        <v>1689</v>
      </c>
      <c r="Q15" s="1350" t="str">
        <f t="shared" si="6"/>
        <v>居住社区成熟度</v>
      </c>
      <c r="R15" s="705" t="s">
        <v>14</v>
      </c>
      <c r="S15" s="706">
        <f t="shared" si="0"/>
        <v>100</v>
      </c>
      <c r="T15" s="705" t="s">
        <v>14</v>
      </c>
      <c r="U15" s="706">
        <f t="shared" si="1"/>
        <v>100</v>
      </c>
      <c r="V15" s="705" t="s">
        <v>14</v>
      </c>
      <c r="W15" s="706">
        <f t="shared" si="2"/>
        <v>100</v>
      </c>
      <c r="X15" s="1353"/>
      <c r="Y15" s="3736"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20"/>
      <c r="L16" s="2716"/>
      <c r="M16" s="2710"/>
      <c r="N16" s="2710"/>
      <c r="O16" s="2768"/>
      <c r="P16" s="3737"/>
      <c r="Q16" s="1350"/>
      <c r="R16" s="705"/>
      <c r="S16" s="706"/>
      <c r="T16" s="705"/>
      <c r="U16" s="706"/>
      <c r="V16" s="705"/>
      <c r="W16" s="706"/>
      <c r="X16" s="1353"/>
      <c r="Y16" s="3737"/>
      <c r="Z16" s="1354"/>
      <c r="AA16" s="1351">
        <v>1</v>
      </c>
      <c r="AB16" s="1351">
        <v>1</v>
      </c>
      <c r="AC16" s="1351">
        <v>1</v>
      </c>
    </row>
    <row r="17" spans="1:29" ht="15">
      <c r="A17" s="379"/>
      <c r="B17" s="402" t="s">
        <v>1775</v>
      </c>
      <c r="C17" s="1953" t="str">
        <f>估价对象房地状况!C16</f>
        <v>较好</v>
      </c>
      <c r="D17" s="401">
        <v>100</v>
      </c>
      <c r="E17" s="403" t="s">
        <v>3994</v>
      </c>
      <c r="F17" s="401">
        <f>SUMIF(89:89,E18,90:90)-SUMIF(89:89,C18,90:90)+100</f>
        <v>97</v>
      </c>
      <c r="G17" s="403" t="s">
        <v>3994</v>
      </c>
      <c r="H17" s="406">
        <f>SUMIF(89:89,G18,90:90)-SUMIF(89:89,C18,90:90)+100</f>
        <v>97</v>
      </c>
      <c r="I17" s="405" t="s">
        <v>3994</v>
      </c>
      <c r="J17" s="406">
        <f>SUMIF(89:89,I18,90:90)-SUMIF(89:89,C18,90:90)+100</f>
        <v>97</v>
      </c>
      <c r="K17" s="621">
        <v>3</v>
      </c>
      <c r="L17" s="2716"/>
      <c r="M17" s="2710"/>
      <c r="N17" s="2710"/>
      <c r="O17" s="2768"/>
      <c r="P17" s="3737"/>
      <c r="Q17" s="1350" t="str">
        <f>B17</f>
        <v>商业繁华度</v>
      </c>
      <c r="R17" s="705" t="s">
        <v>14</v>
      </c>
      <c r="S17" s="706">
        <f>F17</f>
        <v>97</v>
      </c>
      <c r="T17" s="705" t="s">
        <v>14</v>
      </c>
      <c r="U17" s="706">
        <f>H17</f>
        <v>97</v>
      </c>
      <c r="V17" s="705" t="s">
        <v>14</v>
      </c>
      <c r="W17" s="706">
        <f>J17</f>
        <v>97</v>
      </c>
      <c r="X17" s="1353"/>
      <c r="Y17" s="3737"/>
      <c r="Z17" s="1354" t="str">
        <f>Q17</f>
        <v>商业繁华度</v>
      </c>
      <c r="AA17" s="1351">
        <f t="shared" si="3"/>
        <v>1.0309278350515463</v>
      </c>
      <c r="AB17" s="1351">
        <f t="shared" si="4"/>
        <v>1.0309278350515463</v>
      </c>
      <c r="AC17" s="1351">
        <f t="shared" si="5"/>
        <v>1.0309278350515463</v>
      </c>
    </row>
    <row r="18" spans="1:29" ht="15">
      <c r="A18" s="379"/>
      <c r="B18" s="407"/>
      <c r="C18" s="1899" t="s">
        <v>3990</v>
      </c>
      <c r="D18" s="401"/>
      <c r="E18" s="1901" t="s">
        <v>3994</v>
      </c>
      <c r="F18" s="401"/>
      <c r="G18" s="1901" t="s">
        <v>3994</v>
      </c>
      <c r="H18" s="399"/>
      <c r="I18" s="1900" t="s">
        <v>3994</v>
      </c>
      <c r="J18" s="399"/>
      <c r="K18" s="620"/>
      <c r="L18" s="2716"/>
      <c r="M18" s="2710"/>
      <c r="N18" s="2710"/>
      <c r="O18" s="2768"/>
      <c r="P18" s="3737"/>
      <c r="Q18" s="1350"/>
      <c r="R18" s="705"/>
      <c r="S18" s="706"/>
      <c r="T18" s="705"/>
      <c r="U18" s="706"/>
      <c r="V18" s="705"/>
      <c r="W18" s="706"/>
      <c r="X18" s="1353"/>
      <c r="Y18" s="3737"/>
      <c r="Z18" s="1354"/>
      <c r="AA18" s="1351">
        <v>1</v>
      </c>
      <c r="AB18" s="1351">
        <v>1</v>
      </c>
      <c r="AC18" s="1351">
        <v>1</v>
      </c>
    </row>
    <row r="19" spans="1:29" ht="15">
      <c r="A19" s="379"/>
      <c r="B19" s="402" t="s">
        <v>1809</v>
      </c>
      <c r="C19" s="1953" t="str">
        <f>估价对象房地状况!C17</f>
        <v>较好</v>
      </c>
      <c r="D19" s="406">
        <v>100</v>
      </c>
      <c r="E19" s="408" t="s">
        <v>3994</v>
      </c>
      <c r="F19" s="406">
        <f>SUMIF(91:91,E20,92:92)-SUMIF(91:91,C20,92:92)+100</f>
        <v>97</v>
      </c>
      <c r="G19" s="408" t="s">
        <v>3994</v>
      </c>
      <c r="H19" s="401">
        <f>SUMIF(91:91,G20,92:92)-SUMIF(91:91,C20,92:92)+100</f>
        <v>97</v>
      </c>
      <c r="I19" s="410" t="s">
        <v>3994</v>
      </c>
      <c r="J19" s="401">
        <f>SUMIF(91:91,I20,92:92)-SUMIF(91:91,C20,92:92)+100</f>
        <v>97</v>
      </c>
      <c r="K19" s="621">
        <v>3</v>
      </c>
      <c r="L19" s="2716"/>
      <c r="M19" s="2710"/>
      <c r="N19" s="2710"/>
      <c r="O19" s="2768"/>
      <c r="P19" s="3737"/>
      <c r="Q19" s="1350" t="str">
        <f>B19</f>
        <v>办公集聚程度</v>
      </c>
      <c r="R19" s="705" t="s">
        <v>14</v>
      </c>
      <c r="S19" s="706">
        <f>F19</f>
        <v>97</v>
      </c>
      <c r="T19" s="705" t="s">
        <v>14</v>
      </c>
      <c r="U19" s="706">
        <f>H19</f>
        <v>97</v>
      </c>
      <c r="V19" s="705" t="s">
        <v>14</v>
      </c>
      <c r="W19" s="706">
        <f>J19</f>
        <v>97</v>
      </c>
      <c r="X19" s="1353"/>
      <c r="Y19" s="3737"/>
      <c r="Z19" s="1354" t="str">
        <f>Q19</f>
        <v>办公集聚程度</v>
      </c>
      <c r="AA19" s="1351">
        <f t="shared" si="3"/>
        <v>1.0309278350515463</v>
      </c>
      <c r="AB19" s="1351">
        <f t="shared" si="4"/>
        <v>1.0309278350515463</v>
      </c>
      <c r="AC19" s="1351">
        <f t="shared" si="5"/>
        <v>1.0309278350515463</v>
      </c>
    </row>
    <row r="20" spans="1:29" ht="15">
      <c r="A20" s="379"/>
      <c r="B20" s="407"/>
      <c r="C20" s="398" t="s">
        <v>3990</v>
      </c>
      <c r="D20" s="399"/>
      <c r="E20" s="1896" t="s">
        <v>3994</v>
      </c>
      <c r="F20" s="399"/>
      <c r="G20" s="1896" t="s">
        <v>3994</v>
      </c>
      <c r="H20" s="399"/>
      <c r="I20" s="1895" t="s">
        <v>3994</v>
      </c>
      <c r="J20" s="399"/>
      <c r="K20" s="620"/>
      <c r="L20" s="2716"/>
      <c r="M20" s="2710"/>
      <c r="N20" s="2710"/>
      <c r="O20" s="2768"/>
      <c r="P20" s="3737"/>
      <c r="Q20" s="1350"/>
      <c r="R20" s="705"/>
      <c r="S20" s="706"/>
      <c r="T20" s="705"/>
      <c r="U20" s="706"/>
      <c r="V20" s="705"/>
      <c r="W20" s="706"/>
      <c r="X20" s="1353"/>
      <c r="Y20" s="3737"/>
      <c r="Z20" s="1354"/>
      <c r="AA20" s="1351">
        <v>1</v>
      </c>
      <c r="AB20" s="1351">
        <v>1</v>
      </c>
      <c r="AC20" s="1351">
        <v>1</v>
      </c>
    </row>
    <row r="21" spans="1:29" ht="15">
      <c r="A21" s="379"/>
      <c r="B21" s="402" t="s">
        <v>1831</v>
      </c>
      <c r="C21" s="1898" t="str">
        <f>估价对象房地状况!C18</f>
        <v>一般</v>
      </c>
      <c r="D21" s="401">
        <v>100</v>
      </c>
      <c r="E21" s="403" t="s">
        <v>3994</v>
      </c>
      <c r="F21" s="406">
        <f>SUMIF(93:93,E22,94:94)-SUMIF(93:93,C22,94:94)+100</f>
        <v>100</v>
      </c>
      <c r="G21" s="403" t="s">
        <v>3994</v>
      </c>
      <c r="H21" s="401">
        <f>SUMIF(93:93,G22,94:94)-SUMIF(93:93,C22,94:94)+100</f>
        <v>100</v>
      </c>
      <c r="I21" s="405" t="s">
        <v>3994</v>
      </c>
      <c r="J21" s="401">
        <f>SUMIF(93:93,I22,94:94)-SUMIF(93:93,C22,94:94)+100</f>
        <v>100</v>
      </c>
      <c r="K21" s="621">
        <v>3</v>
      </c>
      <c r="L21" s="2716"/>
      <c r="M21" s="2710"/>
      <c r="N21" s="2710"/>
      <c r="O21" s="2768"/>
      <c r="P21" s="3737"/>
      <c r="Q21" s="1350" t="str">
        <f>B21</f>
        <v>交通便捷度</v>
      </c>
      <c r="R21" s="705" t="s">
        <v>14</v>
      </c>
      <c r="S21" s="706">
        <f>F21</f>
        <v>100</v>
      </c>
      <c r="T21" s="705" t="s">
        <v>14</v>
      </c>
      <c r="U21" s="706">
        <f>H21</f>
        <v>100</v>
      </c>
      <c r="V21" s="705" t="s">
        <v>14</v>
      </c>
      <c r="W21" s="706">
        <f>J21</f>
        <v>100</v>
      </c>
      <c r="X21" s="1353"/>
      <c r="Y21" s="3737"/>
      <c r="Z21" s="1354" t="str">
        <f>Q21</f>
        <v>交通便捷度</v>
      </c>
      <c r="AA21" s="1351">
        <f t="shared" si="3"/>
        <v>1</v>
      </c>
      <c r="AB21" s="1351">
        <f t="shared" si="4"/>
        <v>1</v>
      </c>
      <c r="AC21" s="1351">
        <f t="shared" si="5"/>
        <v>1</v>
      </c>
    </row>
    <row r="22" spans="1:29" ht="15">
      <c r="A22" s="379"/>
      <c r="B22" s="1130"/>
      <c r="C22" s="398" t="s">
        <v>3994</v>
      </c>
      <c r="D22" s="401"/>
      <c r="E22" s="1896" t="s">
        <v>3994</v>
      </c>
      <c r="F22" s="399"/>
      <c r="G22" s="1896" t="s">
        <v>3994</v>
      </c>
      <c r="H22" s="399"/>
      <c r="I22" s="1895" t="s">
        <v>3994</v>
      </c>
      <c r="J22" s="399"/>
      <c r="K22" s="620"/>
      <c r="L22" s="2716"/>
      <c r="M22" s="2710"/>
      <c r="N22" s="2710"/>
      <c r="O22" s="2768"/>
      <c r="P22" s="3737"/>
      <c r="Q22" s="1350"/>
      <c r="R22" s="705"/>
      <c r="S22" s="706"/>
      <c r="T22" s="705"/>
      <c r="U22" s="706"/>
      <c r="V22" s="705"/>
      <c r="W22" s="706"/>
      <c r="X22" s="1353"/>
      <c r="Y22" s="3737"/>
      <c r="Z22" s="1354"/>
      <c r="AA22" s="1351">
        <v>1</v>
      </c>
      <c r="AB22" s="1351">
        <v>1</v>
      </c>
      <c r="AC22" s="1351">
        <v>1</v>
      </c>
    </row>
    <row r="23" spans="1:29" ht="15">
      <c r="A23" s="358"/>
      <c r="B23" s="402" t="s">
        <v>1869</v>
      </c>
      <c r="C23" s="1135">
        <f>估价对象房地状况!C19</f>
        <v>0</v>
      </c>
      <c r="D23" s="406">
        <v>100</v>
      </c>
      <c r="E23" s="403">
        <v>0</v>
      </c>
      <c r="F23" s="406">
        <f>SUMIF(95:95,E24,96:96)-SUMIF(95:95,C24,96:96)+100</f>
        <v>100</v>
      </c>
      <c r="G23" s="405">
        <v>0</v>
      </c>
      <c r="H23" s="406">
        <f>SUMIF(95:95,G24,96:96)-SUMIF(95:95,C24,96:96)+100</f>
        <v>100</v>
      </c>
      <c r="I23" s="405">
        <v>0</v>
      </c>
      <c r="J23" s="406">
        <f>SUMIF(95:95,I24,96:96)-SUMIF(95:95,C24,96:96)+100</f>
        <v>100</v>
      </c>
      <c r="K23" s="621">
        <v>2</v>
      </c>
      <c r="L23" s="2716"/>
      <c r="M23" s="2710"/>
      <c r="N23" s="2710"/>
      <c r="O23" s="2768"/>
      <c r="P23" s="3737"/>
      <c r="Q23" s="1350" t="str">
        <f t="shared" ref="Q23:Q37" si="8">B23</f>
        <v>区域土地利用方向</v>
      </c>
      <c r="R23" s="705" t="s">
        <v>14</v>
      </c>
      <c r="S23" s="706">
        <f>F23</f>
        <v>100</v>
      </c>
      <c r="T23" s="705" t="s">
        <v>14</v>
      </c>
      <c r="U23" s="706">
        <f>H23</f>
        <v>100</v>
      </c>
      <c r="V23" s="705" t="s">
        <v>14</v>
      </c>
      <c r="W23" s="706">
        <f>J23</f>
        <v>100</v>
      </c>
      <c r="X23" s="1353"/>
      <c r="Y23" s="3737"/>
      <c r="Z23" s="1354" t="str">
        <f>Q23</f>
        <v>区域土地利用方向</v>
      </c>
      <c r="AA23" s="1351">
        <f t="shared" si="3"/>
        <v>1</v>
      </c>
      <c r="AB23" s="1351">
        <f t="shared" si="4"/>
        <v>1</v>
      </c>
      <c r="AC23" s="1351">
        <f t="shared" si="5"/>
        <v>1</v>
      </c>
    </row>
    <row r="24" spans="1:29" ht="15">
      <c r="A24" s="358"/>
      <c r="B24" s="407"/>
      <c r="C24" s="565" t="s">
        <v>3990</v>
      </c>
      <c r="D24" s="399"/>
      <c r="E24" s="1896" t="s">
        <v>3990</v>
      </c>
      <c r="F24" s="399"/>
      <c r="G24" s="1895" t="s">
        <v>3990</v>
      </c>
      <c r="H24" s="399"/>
      <c r="I24" s="1895" t="s">
        <v>3990</v>
      </c>
      <c r="J24" s="399"/>
      <c r="K24" s="740"/>
      <c r="L24" s="2716"/>
      <c r="M24" s="2710"/>
      <c r="N24" s="2710"/>
      <c r="O24" s="2768"/>
      <c r="P24" s="3737"/>
      <c r="Q24" s="1350"/>
      <c r="R24" s="705"/>
      <c r="S24" s="706"/>
      <c r="T24" s="705"/>
      <c r="U24" s="706"/>
      <c r="V24" s="705"/>
      <c r="W24" s="706"/>
      <c r="X24" s="1353"/>
      <c r="Y24" s="3737"/>
      <c r="Z24" s="1354"/>
      <c r="AA24" s="1351"/>
      <c r="AB24" s="1351"/>
      <c r="AC24" s="1351"/>
    </row>
    <row r="25" spans="1:29" ht="27">
      <c r="A25" s="358"/>
      <c r="B25" s="1130" t="s">
        <v>1870</v>
      </c>
      <c r="C25" s="1953" t="str">
        <f>估价对象房地状况!C20</f>
        <v>较好</v>
      </c>
      <c r="D25" s="401">
        <v>100</v>
      </c>
      <c r="E25" s="403" t="s">
        <v>3990</v>
      </c>
      <c r="F25" s="401">
        <f>SUMIF(97:97,E26,98:98)-SUMIF(97:97,C26,98:98)+100</f>
        <v>100</v>
      </c>
      <c r="G25" s="403" t="s">
        <v>3990</v>
      </c>
      <c r="H25" s="401">
        <f>SUMIF(97:97,G26,98:98)-SUMIF(97:97,C26,98:98)+100</f>
        <v>100</v>
      </c>
      <c r="I25" s="405" t="s">
        <v>3990</v>
      </c>
      <c r="J25" s="401">
        <f>SUMIF(97:97,I26,98:98)-SUMIF(97:97,C26,98:98)+100</f>
        <v>100</v>
      </c>
      <c r="K25" s="621">
        <v>2</v>
      </c>
      <c r="L25" s="2716"/>
      <c r="M25" s="2710"/>
      <c r="N25" s="2710"/>
      <c r="O25" s="2768"/>
      <c r="P25" s="3737"/>
      <c r="Q25" s="1350" t="str">
        <f t="shared" si="8"/>
        <v>自然及人文环境状况</v>
      </c>
      <c r="R25" s="705" t="s">
        <v>14</v>
      </c>
      <c r="S25" s="706">
        <f>F25</f>
        <v>100</v>
      </c>
      <c r="T25" s="705" t="s">
        <v>14</v>
      </c>
      <c r="U25" s="706">
        <f>H25</f>
        <v>100</v>
      </c>
      <c r="V25" s="705" t="s">
        <v>14</v>
      </c>
      <c r="W25" s="706">
        <f>J25</f>
        <v>100</v>
      </c>
      <c r="X25" s="1353"/>
      <c r="Y25" s="3737"/>
      <c r="Z25" s="1354" t="str">
        <f>Q25</f>
        <v>自然及人文环境状况</v>
      </c>
      <c r="AA25" s="1351">
        <f t="shared" si="3"/>
        <v>1</v>
      </c>
      <c r="AB25" s="1351">
        <f t="shared" si="4"/>
        <v>1</v>
      </c>
      <c r="AC25" s="1351">
        <f t="shared" si="5"/>
        <v>1</v>
      </c>
    </row>
    <row r="26" spans="1:29" ht="15">
      <c r="A26" s="358"/>
      <c r="B26" s="407"/>
      <c r="C26" s="398" t="s">
        <v>3990</v>
      </c>
      <c r="D26" s="399"/>
      <c r="E26" s="1902" t="s">
        <v>3990</v>
      </c>
      <c r="F26" s="399"/>
      <c r="G26" s="1902" t="s">
        <v>3990</v>
      </c>
      <c r="H26" s="399"/>
      <c r="I26" s="398" t="s">
        <v>3990</v>
      </c>
      <c r="J26" s="399"/>
      <c r="K26" s="620"/>
      <c r="L26" s="2716"/>
      <c r="M26" s="2710"/>
      <c r="N26" s="2710"/>
      <c r="O26" s="2768"/>
      <c r="P26" s="3737"/>
      <c r="Q26" s="1350"/>
      <c r="R26" s="705"/>
      <c r="S26" s="706"/>
      <c r="T26" s="705"/>
      <c r="U26" s="706"/>
      <c r="V26" s="705"/>
      <c r="W26" s="706"/>
      <c r="X26" s="1353"/>
      <c r="Y26" s="3737"/>
      <c r="Z26" s="1354"/>
      <c r="AA26" s="1351">
        <v>1</v>
      </c>
      <c r="AB26" s="1351">
        <v>1</v>
      </c>
      <c r="AC26" s="1351">
        <v>1</v>
      </c>
    </row>
    <row r="27" spans="1:29" s="108" customFormat="1" ht="15">
      <c r="A27" s="597"/>
      <c r="B27" s="1130" t="s">
        <v>1776</v>
      </c>
      <c r="C27" s="1898" t="str">
        <f>估价对象房地状况!C21</f>
        <v>较好</v>
      </c>
      <c r="D27" s="401">
        <v>100</v>
      </c>
      <c r="E27" s="403" t="s">
        <v>3994</v>
      </c>
      <c r="F27" s="401">
        <f>SUMIF(99:99,E28,100:100)-SUMIF(99:99,C28,100:100)+100</f>
        <v>98</v>
      </c>
      <c r="G27" s="403" t="s">
        <v>3990</v>
      </c>
      <c r="H27" s="401">
        <f>SUMIF(99:99,G28,100:100)-SUMIF(99:99,C28,100:100)+100</f>
        <v>100</v>
      </c>
      <c r="I27" s="405" t="s">
        <v>3994</v>
      </c>
      <c r="J27" s="401">
        <f>SUMIF(99:99,I28,100:100)-SUMIF(99:99,C28,100:100)+100</f>
        <v>98</v>
      </c>
      <c r="K27" s="621">
        <v>2</v>
      </c>
      <c r="L27" s="2711"/>
      <c r="M27" s="2712"/>
      <c r="N27" s="2712"/>
      <c r="O27" s="2766"/>
      <c r="P27" s="3737"/>
      <c r="Q27" s="1341" t="str">
        <f t="shared" si="8"/>
        <v>公共配套设施</v>
      </c>
      <c r="R27" s="701" t="s">
        <v>14</v>
      </c>
      <c r="S27" s="702">
        <f>F27</f>
        <v>98</v>
      </c>
      <c r="T27" s="701" t="s">
        <v>14</v>
      </c>
      <c r="U27" s="702">
        <f>H27</f>
        <v>100</v>
      </c>
      <c r="V27" s="701" t="s">
        <v>14</v>
      </c>
      <c r="W27" s="702">
        <f>J27</f>
        <v>98</v>
      </c>
      <c r="X27" s="703"/>
      <c r="Y27" s="3737"/>
      <c r="Z27" s="52" t="str">
        <f>Q27</f>
        <v>公共配套设施</v>
      </c>
      <c r="AA27" s="1351">
        <f>D27/F27</f>
        <v>1.0204081632653061</v>
      </c>
      <c r="AB27" s="1351">
        <f>D27/H27</f>
        <v>1</v>
      </c>
      <c r="AC27" s="1351">
        <f>D27/J27</f>
        <v>1.0204081632653061</v>
      </c>
    </row>
    <row r="28" spans="1:29" s="108" customFormat="1" ht="15">
      <c r="A28" s="597"/>
      <c r="B28" s="407"/>
      <c r="C28" s="1976" t="s">
        <v>3990</v>
      </c>
      <c r="D28" s="399"/>
      <c r="E28" s="1902" t="s">
        <v>3994</v>
      </c>
      <c r="F28" s="399"/>
      <c r="G28" s="1902" t="s">
        <v>3990</v>
      </c>
      <c r="H28" s="399"/>
      <c r="I28" s="398" t="s">
        <v>3994</v>
      </c>
      <c r="J28" s="399"/>
      <c r="K28" s="620"/>
      <c r="L28" s="2711"/>
      <c r="M28" s="2712"/>
      <c r="N28" s="2712"/>
      <c r="O28" s="2766"/>
      <c r="P28" s="3737"/>
      <c r="Q28" s="1341"/>
      <c r="R28" s="701"/>
      <c r="S28" s="702"/>
      <c r="T28" s="701"/>
      <c r="U28" s="702"/>
      <c r="V28" s="701"/>
      <c r="W28" s="702"/>
      <c r="X28" s="703"/>
      <c r="Y28" s="3737"/>
      <c r="Z28" s="52"/>
      <c r="AA28" s="1351">
        <v>1</v>
      </c>
      <c r="AB28" s="1351">
        <v>1</v>
      </c>
      <c r="AC28" s="1351">
        <v>1</v>
      </c>
    </row>
    <row r="29" spans="1:29" s="108" customFormat="1" ht="15">
      <c r="A29" s="597"/>
      <c r="B29" s="1130" t="s">
        <v>1777</v>
      </c>
      <c r="C29" s="1898" t="str">
        <f>估价对象房地状况!C22</f>
        <v>七通</v>
      </c>
      <c r="D29" s="401">
        <v>100</v>
      </c>
      <c r="E29" s="403" t="s">
        <v>3997</v>
      </c>
      <c r="F29" s="401">
        <f>SUMIF(101:101,E30,102:102)-SUMIF(101:101,C30,102:102)+100</f>
        <v>100</v>
      </c>
      <c r="G29" s="403" t="s">
        <v>3997</v>
      </c>
      <c r="H29" s="401">
        <f>SUMIF(101:101,G30,102:102)-SUMIF(101:101,C30,102:102)+100</f>
        <v>100</v>
      </c>
      <c r="I29" s="405" t="s">
        <v>3997</v>
      </c>
      <c r="J29" s="401">
        <f>SUMIF(101:101,I30,102:102)-SUMIF(101:101,C30,102:102)+100</f>
        <v>100</v>
      </c>
      <c r="K29" s="621">
        <v>2</v>
      </c>
      <c r="L29" s="2711"/>
      <c r="M29" s="2712"/>
      <c r="N29" s="2712"/>
      <c r="O29" s="2766"/>
      <c r="P29" s="3737"/>
      <c r="Q29" s="1341" t="str">
        <f t="shared" ref="Q29" si="9">B29</f>
        <v>基础设施水平</v>
      </c>
      <c r="R29" s="701" t="s">
        <v>14</v>
      </c>
      <c r="S29" s="702">
        <f>F29</f>
        <v>100</v>
      </c>
      <c r="T29" s="701" t="s">
        <v>14</v>
      </c>
      <c r="U29" s="702">
        <f>H29</f>
        <v>100</v>
      </c>
      <c r="V29" s="701" t="s">
        <v>14</v>
      </c>
      <c r="W29" s="702">
        <f>J29</f>
        <v>100</v>
      </c>
      <c r="X29" s="703"/>
      <c r="Y29" s="3737"/>
      <c r="Z29" s="52" t="str">
        <f>Q29</f>
        <v>基础设施水平</v>
      </c>
      <c r="AA29" s="1351">
        <f>D29/F29</f>
        <v>1</v>
      </c>
      <c r="AB29" s="1351">
        <f>D29/H29</f>
        <v>1</v>
      </c>
      <c r="AC29" s="1351">
        <f>D29/J29</f>
        <v>1</v>
      </c>
    </row>
    <row r="30" spans="1:29" s="108" customFormat="1" ht="15.75" thickBot="1">
      <c r="A30" s="597"/>
      <c r="B30" s="407"/>
      <c r="C30" s="1976" t="s">
        <v>3997</v>
      </c>
      <c r="D30" s="399"/>
      <c r="E30" s="1977" t="s">
        <v>3997</v>
      </c>
      <c r="F30" s="399"/>
      <c r="G30" s="1977" t="s">
        <v>3997</v>
      </c>
      <c r="H30" s="399"/>
      <c r="I30" s="1977" t="s">
        <v>3997</v>
      </c>
      <c r="J30" s="399"/>
      <c r="K30" s="620"/>
      <c r="L30" s="2711"/>
      <c r="M30" s="2712"/>
      <c r="N30" s="2712"/>
      <c r="O30" s="2766"/>
      <c r="P30" s="3737"/>
      <c r="Q30" s="1341"/>
      <c r="R30" s="701"/>
      <c r="S30" s="702"/>
      <c r="T30" s="701"/>
      <c r="U30" s="702"/>
      <c r="V30" s="701"/>
      <c r="W30" s="702"/>
      <c r="X30" s="703"/>
      <c r="Y30" s="3737"/>
      <c r="Z30" s="52"/>
      <c r="AA30" s="1351">
        <v>1</v>
      </c>
      <c r="AB30" s="1351">
        <v>1</v>
      </c>
      <c r="AC30" s="1351">
        <v>1</v>
      </c>
    </row>
    <row r="31" spans="1:29" ht="14.25" hidden="1" customHeight="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37"/>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37"/>
      <c r="Z31" s="1354" t="str">
        <f t="shared" ref="Z31:Z45" si="13">Q31</f>
        <v>临街状况</v>
      </c>
      <c r="AA31" s="1351">
        <f t="shared" si="3"/>
        <v>1</v>
      </c>
      <c r="AB31" s="1351">
        <f t="shared" si="4"/>
        <v>1</v>
      </c>
      <c r="AC31" s="1351">
        <f t="shared" si="5"/>
        <v>1</v>
      </c>
    </row>
    <row r="32" spans="1:29" ht="27" hidden="1">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37"/>
      <c r="Q32" s="1350" t="str">
        <f t="shared" si="8"/>
        <v>毗邻道路的类型与等级</v>
      </c>
      <c r="R32" s="705" t="s">
        <v>14</v>
      </c>
      <c r="S32" s="706">
        <f t="shared" si="10"/>
        <v>100</v>
      </c>
      <c r="T32" s="705" t="s">
        <v>14</v>
      </c>
      <c r="U32" s="706">
        <f t="shared" si="11"/>
        <v>100</v>
      </c>
      <c r="V32" s="705" t="s">
        <v>14</v>
      </c>
      <c r="W32" s="706">
        <f t="shared" si="12"/>
        <v>100</v>
      </c>
      <c r="X32" s="1353"/>
      <c r="Y32" s="3737"/>
      <c r="Z32" s="1354" t="str">
        <f t="shared" si="13"/>
        <v>毗邻道路的类型与等级</v>
      </c>
      <c r="AA32" s="1351">
        <f t="shared" si="3"/>
        <v>1</v>
      </c>
      <c r="AB32" s="1351">
        <f t="shared" si="4"/>
        <v>1</v>
      </c>
      <c r="AC32" s="1351">
        <f t="shared" si="5"/>
        <v>1</v>
      </c>
    </row>
    <row r="33" spans="1:29" ht="15" hidden="1">
      <c r="A33" s="379"/>
      <c r="B33" s="407"/>
      <c r="C33" s="398"/>
      <c r="D33" s="399"/>
      <c r="E33" s="1902"/>
      <c r="F33" s="399"/>
      <c r="G33" s="1902"/>
      <c r="H33" s="399"/>
      <c r="I33" s="398"/>
      <c r="J33" s="399"/>
      <c r="K33" s="562"/>
      <c r="L33" s="2716"/>
      <c r="M33" s="2710"/>
      <c r="N33" s="2710"/>
      <c r="O33" s="2768"/>
      <c r="P33" s="3737"/>
      <c r="Q33" s="1350"/>
      <c r="R33" s="705"/>
      <c r="S33" s="706"/>
      <c r="T33" s="705"/>
      <c r="U33" s="706"/>
      <c r="V33" s="705"/>
      <c r="W33" s="706"/>
      <c r="X33" s="1353"/>
      <c r="Y33" s="3737"/>
      <c r="Z33" s="1354"/>
      <c r="AA33" s="1351">
        <v>1</v>
      </c>
      <c r="AB33" s="1351">
        <v>1</v>
      </c>
      <c r="AC33" s="1351">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37"/>
      <c r="Q34" s="1350" t="str">
        <f t="shared" si="8"/>
        <v>土地级别</v>
      </c>
      <c r="R34" s="705" t="s">
        <v>14</v>
      </c>
      <c r="S34" s="706">
        <f t="shared" si="10"/>
        <v>100</v>
      </c>
      <c r="T34" s="705" t="s">
        <v>14</v>
      </c>
      <c r="U34" s="706">
        <f t="shared" si="11"/>
        <v>100</v>
      </c>
      <c r="V34" s="705" t="s">
        <v>14</v>
      </c>
      <c r="W34" s="706">
        <f t="shared" si="12"/>
        <v>100</v>
      </c>
      <c r="X34" s="1353"/>
      <c r="Y34" s="3737"/>
      <c r="Z34" s="1354" t="str">
        <f t="shared" si="13"/>
        <v>土地级别</v>
      </c>
      <c r="AA34" s="1351">
        <f t="shared" si="3"/>
        <v>1</v>
      </c>
      <c r="AB34" s="1351">
        <f t="shared" si="4"/>
        <v>1</v>
      </c>
      <c r="AC34" s="1351">
        <f t="shared" si="5"/>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37"/>
      <c r="Q35" s="1350">
        <f t="shared" si="8"/>
        <v>111</v>
      </c>
      <c r="R35" s="705" t="s">
        <v>14</v>
      </c>
      <c r="S35" s="706">
        <f t="shared" si="10"/>
        <v>100</v>
      </c>
      <c r="T35" s="705" t="s">
        <v>14</v>
      </c>
      <c r="U35" s="706">
        <f t="shared" si="11"/>
        <v>100</v>
      </c>
      <c r="V35" s="705" t="s">
        <v>14</v>
      </c>
      <c r="W35" s="706">
        <f t="shared" si="12"/>
        <v>100</v>
      </c>
      <c r="X35" s="1353"/>
      <c r="Y35" s="3737"/>
      <c r="Z35" s="1354">
        <f t="shared" si="13"/>
        <v>111</v>
      </c>
      <c r="AA35" s="1351">
        <f t="shared" si="3"/>
        <v>1</v>
      </c>
      <c r="AB35" s="1351">
        <f t="shared" si="4"/>
        <v>1</v>
      </c>
      <c r="AC35" s="1351">
        <f t="shared" si="5"/>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8" t="s">
        <v>1694</v>
      </c>
      <c r="Q36" s="1350">
        <f t="shared" si="8"/>
        <v>111</v>
      </c>
      <c r="R36" s="705" t="s">
        <v>14</v>
      </c>
      <c r="S36" s="706">
        <f t="shared" si="10"/>
        <v>100</v>
      </c>
      <c r="T36" s="705" t="s">
        <v>14</v>
      </c>
      <c r="U36" s="706">
        <f t="shared" si="11"/>
        <v>100</v>
      </c>
      <c r="V36" s="705" t="s">
        <v>14</v>
      </c>
      <c r="W36" s="706">
        <f t="shared" si="12"/>
        <v>100</v>
      </c>
      <c r="X36" s="1353"/>
      <c r="Y36" s="3739" t="s">
        <v>1694</v>
      </c>
      <c r="Z36" s="1354">
        <f t="shared" si="13"/>
        <v>111</v>
      </c>
      <c r="AA36" s="1351">
        <f t="shared" si="3"/>
        <v>1</v>
      </c>
      <c r="AB36" s="1351">
        <f t="shared" si="4"/>
        <v>1</v>
      </c>
      <c r="AC36" s="1351">
        <f t="shared" si="5"/>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39"/>
      <c r="Q37" s="1350">
        <f t="shared" si="8"/>
        <v>111</v>
      </c>
      <c r="R37" s="708" t="s">
        <v>14</v>
      </c>
      <c r="S37" s="709">
        <f t="shared" si="10"/>
        <v>100</v>
      </c>
      <c r="T37" s="708" t="s">
        <v>14</v>
      </c>
      <c r="U37" s="709">
        <f t="shared" si="11"/>
        <v>100</v>
      </c>
      <c r="V37" s="708" t="s">
        <v>14</v>
      </c>
      <c r="W37" s="709">
        <f t="shared" si="12"/>
        <v>100</v>
      </c>
      <c r="X37" s="710"/>
      <c r="Y37" s="3739"/>
      <c r="Z37" s="711">
        <f t="shared" si="13"/>
        <v>111</v>
      </c>
      <c r="AA37" s="1351">
        <f t="shared" si="3"/>
        <v>1</v>
      </c>
      <c r="AB37" s="1351">
        <f t="shared" si="4"/>
        <v>1</v>
      </c>
      <c r="AC37" s="1351">
        <f t="shared" si="5"/>
        <v>1</v>
      </c>
    </row>
    <row r="38" spans="1:29" ht="15">
      <c r="A38" s="423" t="s">
        <v>1692</v>
      </c>
      <c r="B38" s="407" t="s">
        <v>1872</v>
      </c>
      <c r="C38" s="627">
        <f>'数据-基础表'!A3</f>
        <v>16621</v>
      </c>
      <c r="D38" s="418">
        <v>100</v>
      </c>
      <c r="E38" s="627">
        <f>[1]土地案例!I7</f>
        <v>16122.82</v>
      </c>
      <c r="F38" s="418">
        <f>LOOKUP(E38,116:116,117:117)-LOOKUP(C38,116:116,117:117)+100</f>
        <v>100</v>
      </c>
      <c r="G38" s="627">
        <f>[1]土地案例!I8</f>
        <v>29991.73</v>
      </c>
      <c r="H38" s="418">
        <f>LOOKUP(G38,116:116,117:117)-LOOKUP(C38,116:116,117:117)+100</f>
        <v>102</v>
      </c>
      <c r="I38" s="479">
        <f>[1]土地案例!I9</f>
        <v>204418.11</v>
      </c>
      <c r="J38" s="418">
        <f>LOOKUP(I38,116:116,117:117)-LOOKUP(C38,116:116,117:117)+100</f>
        <v>104</v>
      </c>
      <c r="K38" s="562"/>
      <c r="L38" s="2716"/>
      <c r="M38" s="2710"/>
      <c r="N38" s="2710"/>
      <c r="O38" s="2768"/>
      <c r="P38" s="3739"/>
      <c r="Q38" s="1350" t="str">
        <f>B38</f>
        <v>宗地面积</v>
      </c>
      <c r="R38" s="705" t="s">
        <v>14</v>
      </c>
      <c r="S38" s="706">
        <f t="shared" si="10"/>
        <v>100</v>
      </c>
      <c r="T38" s="705" t="s">
        <v>14</v>
      </c>
      <c r="U38" s="706">
        <f t="shared" si="11"/>
        <v>102</v>
      </c>
      <c r="V38" s="705" t="s">
        <v>14</v>
      </c>
      <c r="W38" s="706">
        <f t="shared" si="12"/>
        <v>104</v>
      </c>
      <c r="X38" s="1353"/>
      <c r="Y38" s="3739"/>
      <c r="Z38" s="1354" t="str">
        <f t="shared" si="13"/>
        <v>宗地面积</v>
      </c>
      <c r="AA38" s="1351">
        <f t="shared" si="3"/>
        <v>1</v>
      </c>
      <c r="AB38" s="1351">
        <f t="shared" si="4"/>
        <v>0.98039215686274506</v>
      </c>
      <c r="AC38" s="1351">
        <f t="shared" si="5"/>
        <v>0.96153846153846156</v>
      </c>
    </row>
    <row r="39" spans="1:29" ht="15">
      <c r="A39" s="423"/>
      <c r="B39" s="375" t="s">
        <v>1873</v>
      </c>
      <c r="C39" s="1904" t="s">
        <v>4000</v>
      </c>
      <c r="D39" s="386">
        <v>100</v>
      </c>
      <c r="E39" s="1904" t="s">
        <v>4000</v>
      </c>
      <c r="F39" s="386">
        <f>SUMIF(118:118,E39,119:119)-SUMIF(118:118,C39,119:119)+100</f>
        <v>100</v>
      </c>
      <c r="G39" s="1904" t="s">
        <v>4000</v>
      </c>
      <c r="H39" s="386">
        <f>SUMIF(118:118,G39,119:119)-SUMIF(118:118,C39,119:119)+100</f>
        <v>100</v>
      </c>
      <c r="I39" s="1904" t="s">
        <v>4002</v>
      </c>
      <c r="J39" s="386">
        <f>SUMIF(118:118,I39,119:119)-SUMIF(118:118,C39,119:119)+100</f>
        <v>96</v>
      </c>
      <c r="K39" s="561">
        <v>4</v>
      </c>
      <c r="L39" s="2716"/>
      <c r="M39" s="2710"/>
      <c r="N39" s="2710"/>
      <c r="O39" s="2768"/>
      <c r="P39" s="3739"/>
      <c r="Q39" s="1350" t="str">
        <f t="shared" ref="Q39:Q45" si="14">B39</f>
        <v>宗地形状</v>
      </c>
      <c r="R39" s="705" t="s">
        <v>14</v>
      </c>
      <c r="S39" s="706">
        <f t="shared" si="10"/>
        <v>100</v>
      </c>
      <c r="T39" s="705" t="s">
        <v>14</v>
      </c>
      <c r="U39" s="706">
        <f t="shared" si="11"/>
        <v>100</v>
      </c>
      <c r="V39" s="705" t="s">
        <v>14</v>
      </c>
      <c r="W39" s="706">
        <f t="shared" si="12"/>
        <v>96</v>
      </c>
      <c r="X39" s="1353"/>
      <c r="Y39" s="3739"/>
      <c r="Z39" s="1354" t="str">
        <f t="shared" si="13"/>
        <v>宗地形状</v>
      </c>
      <c r="AA39" s="1351">
        <f t="shared" si="3"/>
        <v>1</v>
      </c>
      <c r="AB39" s="1351">
        <f t="shared" si="4"/>
        <v>1</v>
      </c>
      <c r="AC39" s="1351">
        <f t="shared" si="5"/>
        <v>1.0416666666666667</v>
      </c>
    </row>
    <row r="40" spans="1:29" ht="15">
      <c r="A40" s="423"/>
      <c r="B40" s="375" t="s">
        <v>1874</v>
      </c>
      <c r="C40" s="1904" t="s">
        <v>4006</v>
      </c>
      <c r="D40" s="386">
        <v>100</v>
      </c>
      <c r="E40" s="1904" t="s">
        <v>4006</v>
      </c>
      <c r="F40" s="386">
        <f>SUMIF(120:120,E40,121:121)-SUMIF(120:120,C40,121:121)+100</f>
        <v>100</v>
      </c>
      <c r="G40" s="1904" t="s">
        <v>4006</v>
      </c>
      <c r="H40" s="386">
        <f>SUMIF(120:120,G40,121:121)-SUMIF(120:120,C40,121:121)+100</f>
        <v>100</v>
      </c>
      <c r="I40" s="1904" t="s">
        <v>4006</v>
      </c>
      <c r="J40" s="386">
        <f>SUMIF(120:120,I40,121:121)-SUMIF(120:120,C40,121:121)+100</f>
        <v>100</v>
      </c>
      <c r="K40" s="561">
        <v>2</v>
      </c>
      <c r="L40" s="2716"/>
      <c r="M40" s="2710"/>
      <c r="N40" s="2710"/>
      <c r="O40" s="2768"/>
      <c r="P40" s="3739"/>
      <c r="Q40" s="1350" t="str">
        <f t="shared" si="14"/>
        <v>临街宽度及深度</v>
      </c>
      <c r="R40" s="705" t="s">
        <v>14</v>
      </c>
      <c r="S40" s="706">
        <f t="shared" si="10"/>
        <v>100</v>
      </c>
      <c r="T40" s="705" t="s">
        <v>14</v>
      </c>
      <c r="U40" s="706">
        <f t="shared" si="11"/>
        <v>100</v>
      </c>
      <c r="V40" s="705" t="s">
        <v>14</v>
      </c>
      <c r="W40" s="706">
        <f t="shared" si="12"/>
        <v>100</v>
      </c>
      <c r="X40" s="1353"/>
      <c r="Y40" s="3739"/>
      <c r="Z40" s="1354" t="str">
        <f t="shared" si="13"/>
        <v>临街宽度及深度</v>
      </c>
      <c r="AA40" s="1351">
        <f t="shared" si="3"/>
        <v>1</v>
      </c>
      <c r="AB40" s="1351">
        <f t="shared" si="4"/>
        <v>1</v>
      </c>
      <c r="AC40" s="1351">
        <f t="shared" si="5"/>
        <v>1</v>
      </c>
    </row>
    <row r="41" spans="1:29" s="108" customFormat="1" ht="15">
      <c r="A41" s="424"/>
      <c r="B41" s="375" t="s">
        <v>1875</v>
      </c>
      <c r="C41" s="1978" t="s">
        <v>3997</v>
      </c>
      <c r="D41" s="127">
        <v>100</v>
      </c>
      <c r="E41" s="1978" t="s">
        <v>4010</v>
      </c>
      <c r="F41" s="386">
        <f>SUMIF(122:122,E41,123:123)-SUMIF(122:122,C41,123:123)+100</f>
        <v>96</v>
      </c>
      <c r="G41" s="1978" t="s">
        <v>4032</v>
      </c>
      <c r="H41" s="386">
        <f>SUMIF(122:122,G41,123:123)-SUMIF(122:122,C41,123:123)+100</f>
        <v>99</v>
      </c>
      <c r="I41" s="1978" t="s">
        <v>4010</v>
      </c>
      <c r="J41" s="386">
        <f>SUMIF(122:122,I41,123:123)-SUMIF(122:122,C41,123:123)+100</f>
        <v>96</v>
      </c>
      <c r="K41" s="561">
        <v>1</v>
      </c>
      <c r="L41" s="2711"/>
      <c r="M41" s="2712"/>
      <c r="N41" s="2712"/>
      <c r="O41" s="2766"/>
      <c r="P41" s="3739"/>
      <c r="Q41" s="1350" t="str">
        <f t="shared" si="14"/>
        <v>宗地开发程度</v>
      </c>
      <c r="R41" s="701" t="s">
        <v>14</v>
      </c>
      <c r="S41" s="702">
        <f t="shared" si="10"/>
        <v>96</v>
      </c>
      <c r="T41" s="701" t="s">
        <v>14</v>
      </c>
      <c r="U41" s="702">
        <f t="shared" si="11"/>
        <v>99</v>
      </c>
      <c r="V41" s="701" t="s">
        <v>14</v>
      </c>
      <c r="W41" s="702">
        <f t="shared" si="12"/>
        <v>96</v>
      </c>
      <c r="X41" s="703"/>
      <c r="Y41" s="3739"/>
      <c r="Z41" s="52" t="str">
        <f t="shared" si="13"/>
        <v>宗地开发程度</v>
      </c>
      <c r="AA41" s="704">
        <f t="shared" si="3"/>
        <v>1.0416666666666667</v>
      </c>
      <c r="AB41" s="704">
        <f t="shared" si="4"/>
        <v>1.0101010101010102</v>
      </c>
      <c r="AC41" s="704">
        <f t="shared" si="5"/>
        <v>1.0416666666666667</v>
      </c>
    </row>
    <row r="42" spans="1:29" ht="15.75" thickBot="1">
      <c r="A42" s="423"/>
      <c r="B42" s="375" t="s">
        <v>1876</v>
      </c>
      <c r="C42" s="1904" t="s">
        <v>3990</v>
      </c>
      <c r="D42" s="386">
        <v>100</v>
      </c>
      <c r="E42" s="1904" t="s">
        <v>3990</v>
      </c>
      <c r="F42" s="386">
        <f>SUMIF(124:124,E42,125:125)-SUMIF(124:124,C42,125:125)+100</f>
        <v>100</v>
      </c>
      <c r="G42" s="1904" t="s">
        <v>3990</v>
      </c>
      <c r="H42" s="386">
        <f>SUMIF(124:124,G42,125:125)-SUMIF(124:124,C42,125:125)+100</f>
        <v>100</v>
      </c>
      <c r="I42" s="1904" t="s">
        <v>3990</v>
      </c>
      <c r="J42" s="386">
        <f>SUMIF(124:124,I42,125:125)-SUMIF(124:124,C42,125:125)+100</f>
        <v>100</v>
      </c>
      <c r="K42" s="561">
        <v>2</v>
      </c>
      <c r="L42" s="2716"/>
      <c r="M42" s="2710"/>
      <c r="N42" s="2710"/>
      <c r="O42" s="2768"/>
      <c r="P42" s="3739" t="s">
        <v>1694</v>
      </c>
      <c r="Q42" s="1350" t="str">
        <f t="shared" si="14"/>
        <v>工程地质条件</v>
      </c>
      <c r="R42" s="705" t="s">
        <v>14</v>
      </c>
      <c r="S42" s="706">
        <f t="shared" si="10"/>
        <v>100</v>
      </c>
      <c r="T42" s="705" t="s">
        <v>14</v>
      </c>
      <c r="U42" s="706">
        <f t="shared" si="11"/>
        <v>100</v>
      </c>
      <c r="V42" s="705" t="s">
        <v>14</v>
      </c>
      <c r="W42" s="706">
        <f t="shared" si="12"/>
        <v>100</v>
      </c>
      <c r="X42" s="1353"/>
      <c r="Y42" s="3739" t="s">
        <v>1694</v>
      </c>
      <c r="Z42" s="1354" t="str">
        <f t="shared" si="13"/>
        <v>工程地质条件</v>
      </c>
      <c r="AA42" s="1351">
        <f t="shared" si="3"/>
        <v>1</v>
      </c>
      <c r="AB42" s="1351">
        <f t="shared" si="4"/>
        <v>1</v>
      </c>
      <c r="AC42" s="1351">
        <f t="shared" si="5"/>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39"/>
      <c r="Q43" s="1350">
        <f t="shared" si="14"/>
        <v>111</v>
      </c>
      <c r="R43" s="705" t="s">
        <v>14</v>
      </c>
      <c r="S43" s="706">
        <f t="shared" si="10"/>
        <v>100</v>
      </c>
      <c r="T43" s="705" t="s">
        <v>14</v>
      </c>
      <c r="U43" s="706">
        <f t="shared" si="11"/>
        <v>100</v>
      </c>
      <c r="V43" s="705" t="s">
        <v>14</v>
      </c>
      <c r="W43" s="706">
        <f t="shared" si="12"/>
        <v>100</v>
      </c>
      <c r="X43" s="1353"/>
      <c r="Y43" s="3739"/>
      <c r="Z43" s="1354">
        <f t="shared" si="13"/>
        <v>111</v>
      </c>
      <c r="AA43" s="1351">
        <f t="shared" si="3"/>
        <v>1</v>
      </c>
      <c r="AB43" s="1351">
        <f t="shared" si="4"/>
        <v>1</v>
      </c>
      <c r="AC43" s="1351">
        <f t="shared" si="5"/>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39"/>
      <c r="Q44" s="1350">
        <f t="shared" si="14"/>
        <v>111</v>
      </c>
      <c r="R44" s="705" t="s">
        <v>14</v>
      </c>
      <c r="S44" s="706">
        <f t="shared" si="10"/>
        <v>100</v>
      </c>
      <c r="T44" s="705" t="s">
        <v>14</v>
      </c>
      <c r="U44" s="706">
        <f t="shared" si="11"/>
        <v>100</v>
      </c>
      <c r="V44" s="705" t="s">
        <v>14</v>
      </c>
      <c r="W44" s="706">
        <f t="shared" si="12"/>
        <v>100</v>
      </c>
      <c r="X44" s="1353"/>
      <c r="Y44" s="3739"/>
      <c r="Z44" s="1354">
        <f t="shared" si="13"/>
        <v>111</v>
      </c>
      <c r="AA44" s="1351">
        <f t="shared" si="3"/>
        <v>1</v>
      </c>
      <c r="AB44" s="1351">
        <f t="shared" si="4"/>
        <v>1</v>
      </c>
      <c r="AC44" s="1351">
        <f t="shared" si="5"/>
        <v>1</v>
      </c>
    </row>
    <row r="45" spans="1:29" s="422" customFormat="1" ht="15.75" hidden="1"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39"/>
      <c r="Q45" s="1350">
        <f t="shared" si="14"/>
        <v>111</v>
      </c>
      <c r="R45" s="708" t="s">
        <v>14</v>
      </c>
      <c r="S45" s="709">
        <f t="shared" si="10"/>
        <v>100</v>
      </c>
      <c r="T45" s="708" t="s">
        <v>14</v>
      </c>
      <c r="U45" s="709">
        <f t="shared" si="11"/>
        <v>100</v>
      </c>
      <c r="V45" s="708" t="s">
        <v>14</v>
      </c>
      <c r="W45" s="709">
        <f t="shared" si="12"/>
        <v>100</v>
      </c>
      <c r="X45" s="710"/>
      <c r="Y45" s="3739"/>
      <c r="Z45" s="711">
        <f t="shared" si="13"/>
        <v>111</v>
      </c>
      <c r="AA45" s="1351">
        <f t="shared" si="3"/>
        <v>1</v>
      </c>
      <c r="AB45" s="1351">
        <f t="shared" si="4"/>
        <v>1</v>
      </c>
      <c r="AC45" s="1351">
        <f t="shared" si="5"/>
        <v>1</v>
      </c>
    </row>
    <row r="46" spans="1:29" ht="15">
      <c r="A46" s="430" t="s">
        <v>1842</v>
      </c>
      <c r="B46" s="1980" t="s">
        <v>1877</v>
      </c>
      <c r="C46" s="630" t="s">
        <v>0</v>
      </c>
      <c r="D46" s="432"/>
      <c r="E46" s="433">
        <f>[1]土地案例!AT7</f>
        <v>16835</v>
      </c>
      <c r="F46" s="434"/>
      <c r="G46" s="435">
        <f>[1]土地案例!AT8</f>
        <v>13779</v>
      </c>
      <c r="H46" s="436"/>
      <c r="I46" s="433">
        <f>[1]土地案例!AT9</f>
        <v>16778</v>
      </c>
      <c r="J46" s="436"/>
      <c r="K46" s="714"/>
      <c r="L46" s="2718"/>
      <c r="M46" s="2719"/>
      <c r="N46" s="2710"/>
      <c r="O46" s="2719"/>
      <c r="P46" s="3735" t="str">
        <f>A46</f>
        <v>成交单价</v>
      </c>
      <c r="Q46" s="3735"/>
      <c r="R46" s="3740">
        <f>E46</f>
        <v>16835</v>
      </c>
      <c r="S46" s="3740"/>
      <c r="T46" s="3740">
        <f>G46</f>
        <v>13779</v>
      </c>
      <c r="U46" s="3740"/>
      <c r="V46" s="3740">
        <f>I46</f>
        <v>16778</v>
      </c>
      <c r="W46" s="3740"/>
      <c r="X46" s="690"/>
      <c r="Y46" s="712"/>
      <c r="Z46" s="690"/>
      <c r="AA46" s="690"/>
      <c r="AB46" s="690"/>
      <c r="AC46" s="690"/>
    </row>
    <row r="47" spans="1:29" ht="15.75" thickBot="1">
      <c r="A47" s="437" t="s">
        <v>1791</v>
      </c>
      <c r="B47" s="631"/>
      <c r="C47" s="440">
        <f>R48</f>
        <v>14874</v>
      </c>
      <c r="D47" s="2315" t="s">
        <v>2136</v>
      </c>
      <c r="E47" s="440">
        <f>R47</f>
        <v>16007</v>
      </c>
      <c r="F47" s="2316"/>
      <c r="G47" s="439">
        <f>T47</f>
        <v>12970</v>
      </c>
      <c r="H47" s="2316"/>
      <c r="I47" s="440">
        <f>V47</f>
        <v>15646</v>
      </c>
      <c r="J47" s="2316"/>
      <c r="K47" s="2318">
        <f>F47+H47+J47</f>
        <v>0</v>
      </c>
      <c r="L47" s="2718"/>
      <c r="M47" s="2719"/>
      <c r="N47" s="2719"/>
      <c r="O47" s="2719"/>
      <c r="P47" s="3735" t="str">
        <f>A47</f>
        <v>比较价值（元/平方米）</v>
      </c>
      <c r="Q47" s="3735"/>
      <c r="R47" s="3728">
        <f>ROUND(PRODUCT(R46,AA7:AA45),0)</f>
        <v>16007</v>
      </c>
      <c r="S47" s="3728"/>
      <c r="T47" s="3728">
        <f>ROUND(PRODUCT(T46,AB7:AB45),0)</f>
        <v>12970</v>
      </c>
      <c r="U47" s="3728"/>
      <c r="V47" s="3728">
        <f>ROUND(PRODUCT(V46,AC7:AC45),0)</f>
        <v>15646</v>
      </c>
      <c r="W47" s="3728"/>
      <c r="X47" s="690"/>
      <c r="Y47" s="690"/>
      <c r="Z47" s="690"/>
      <c r="AA47" s="690"/>
      <c r="AB47" s="690"/>
      <c r="AC47" s="690"/>
    </row>
    <row r="48" spans="1:29" ht="15.75" thickBot="1">
      <c r="A48" s="441" t="s">
        <v>1878</v>
      </c>
      <c r="B48" s="442"/>
      <c r="C48" s="443">
        <f>R48</f>
        <v>14874</v>
      </c>
      <c r="D48" s="443"/>
      <c r="E48" s="443"/>
      <c r="F48" s="443"/>
      <c r="G48" s="443"/>
      <c r="H48" s="443"/>
      <c r="I48" s="443"/>
      <c r="J48" s="443"/>
      <c r="K48" s="715"/>
      <c r="L48" s="2718"/>
      <c r="M48" s="2719"/>
      <c r="N48" s="2719"/>
      <c r="O48" s="2719"/>
      <c r="P48" s="3729" t="str">
        <f>A48</f>
        <v>估价对象XX用房的比较价值（楼面单价，元/平方米）</v>
      </c>
      <c r="Q48" s="3730"/>
      <c r="R48" s="3731">
        <f>ROUND(IF(D47="简单平均",AVERAGE(R47:W47),R47*F47+T47*H47+V47*J47),0)</f>
        <v>14874</v>
      </c>
      <c r="S48" s="3731"/>
      <c r="T48" s="3731"/>
      <c r="U48" s="3731"/>
      <c r="V48" s="3731"/>
      <c r="W48" s="3731"/>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f>IF(E46&lt;E47,E47/E46-1,E46/E47-1)</f>
        <v>5.1727369275941681E-2</v>
      </c>
      <c r="F51" s="449" t="str">
        <f>IF(OR(E51&gt;=0.3,E51&lt;=-0.3),"超过30%","")</f>
        <v/>
      </c>
      <c r="G51" s="448">
        <f>IF(G46&lt;G47,G47/G46-1,G46/G47-1)</f>
        <v>6.2374710871241357E-2</v>
      </c>
      <c r="H51" s="449" t="str">
        <f>IF(OR(G51&gt;=0.3,G51&lt;=-0.3),"超过30%","")</f>
        <v/>
      </c>
      <c r="I51" s="448">
        <f>IF(I46&lt;I47,I47/I46-1,I46/I47-1)</f>
        <v>7.2350760577783557E-2</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f>IF(E47&lt;G47,G47/E47-1,E47/G47-1)</f>
        <v>0.23415574402467243</v>
      </c>
      <c r="F52" s="449" t="str">
        <f>IF(OR(E52&gt;=0.2,E52&lt;=-0.2),"超过20%","")</f>
        <v>超过20%</v>
      </c>
      <c r="G52" s="448">
        <f>IF(G47&lt;I47,I47/G47-1,G47/I47-1)</f>
        <v>0.20632228218966842</v>
      </c>
      <c r="H52" s="449" t="str">
        <f>IF(OR(G52&gt;=0.2,G52&lt;=-0.2),"超过20%","")</f>
        <v>超过20%</v>
      </c>
      <c r="I52" s="448">
        <f>IF(I47&lt;E47,E47/I47-1,I47/E47-1)</f>
        <v>2.3072989901572249E-2</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f>IF(E46&lt;G46,G46/E46-1,E46/G46-1)</f>
        <v>0.22178677697946148</v>
      </c>
      <c r="F53" s="449" t="str">
        <f>IF(OR(E53&gt;=0.3,E53&lt;=-0.3),"超过30%","")</f>
        <v/>
      </c>
      <c r="G53" s="448">
        <f>IF(G46&lt;I46,I46/G46-1,G46/I46-1)</f>
        <v>0.21765004717323455</v>
      </c>
      <c r="H53" s="449" t="str">
        <f>IF(OR(G53&gt;=0.3,G53&lt;=-0.3),"超过30%","")</f>
        <v/>
      </c>
      <c r="I53" s="448">
        <f>IF(I46&lt;E46,E46/I46-1,I46/E46-1)</f>
        <v>3.3973059959471197E-3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1" t="s">
        <v>1881</v>
      </c>
      <c r="D55" s="1982" t="s">
        <v>1882</v>
      </c>
      <c r="E55" s="634" t="s">
        <v>1883</v>
      </c>
      <c r="F55" s="890" t="s">
        <v>1884</v>
      </c>
      <c r="G55" s="3732" t="s">
        <v>1885</v>
      </c>
      <c r="H55" s="3733"/>
      <c r="I55" s="135" t="s">
        <v>1886</v>
      </c>
      <c r="J55" s="1983" t="str">
        <f>项目基本情况!F35</f>
        <v>通州区</v>
      </c>
      <c r="K55" s="1984"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f>C48</f>
        <v>14874</v>
      </c>
      <c r="C56" s="638">
        <v>1</v>
      </c>
      <c r="D56" s="944">
        <v>1</v>
      </c>
      <c r="E56" s="638">
        <f>'数据-汇总表'!E8+'数据-汇总表'!E9</f>
        <v>99445.269999999888</v>
      </c>
      <c r="F56" s="886">
        <f t="shared" ref="F56:F64" si="15">ROUND(B56*E56/10000,0)</f>
        <v>147915</v>
      </c>
      <c r="G56" s="3734"/>
      <c r="H56" s="373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f>ROUND($C$48*C57*D57,0)</f>
        <v>2231</v>
      </c>
      <c r="C57" s="171">
        <f t="shared" ref="C57:C64" si="16">IF($C$55="北京市系数",I57,J57)</f>
        <v>0.6</v>
      </c>
      <c r="D57" s="945">
        <v>0.25</v>
      </c>
      <c r="E57" s="642">
        <f>地下!E413</f>
        <v>12382.5</v>
      </c>
      <c r="F57" s="886">
        <f t="shared" si="15"/>
        <v>2763</v>
      </c>
      <c r="G57" s="3000" t="s">
        <v>1890</v>
      </c>
      <c r="H57" s="887" t="str">
        <f>项目基本情况!B37</f>
        <v>四级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f t="shared" ref="B58:B64" si="17">ROUND($C$48*C58*D58,0)</f>
        <v>1116</v>
      </c>
      <c r="C58" s="171">
        <f t="shared" si="16"/>
        <v>0.3</v>
      </c>
      <c r="D58" s="945">
        <v>0.25</v>
      </c>
      <c r="E58" s="642">
        <f>地下!E334</f>
        <v>4462.28</v>
      </c>
      <c r="F58" s="886">
        <f t="shared" si="15"/>
        <v>498</v>
      </c>
      <c r="G58" s="3001"/>
      <c r="H58" s="887" t="str">
        <f>项目基本情况!B37</f>
        <v>四级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f t="shared" si="17"/>
        <v>930</v>
      </c>
      <c r="C59" s="171">
        <f t="shared" si="16"/>
        <v>0.25</v>
      </c>
      <c r="D59" s="945">
        <v>0.25</v>
      </c>
      <c r="E59" s="642"/>
      <c r="F59" s="886">
        <f t="shared" si="15"/>
        <v>0</v>
      </c>
      <c r="G59" s="3001"/>
      <c r="H59" s="887" t="str">
        <f>项目基本情况!B37</f>
        <v>四级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f t="shared" si="17"/>
        <v>930</v>
      </c>
      <c r="C60" s="171">
        <f t="shared" si="16"/>
        <v>0.25</v>
      </c>
      <c r="D60" s="945">
        <v>0.25</v>
      </c>
      <c r="E60" s="217">
        <f>'数据-汇总表'!E11</f>
        <v>0</v>
      </c>
      <c r="F60" s="886">
        <f t="shared" si="15"/>
        <v>0</v>
      </c>
      <c r="G60" s="1985" t="s">
        <v>1894</v>
      </c>
      <c r="H60" s="887" t="str">
        <f>项目基本情况!C37</f>
        <v>四级</v>
      </c>
      <c r="I60" s="891">
        <f>SUMIF(修正!A57:A68,H60,修正!E57:E68)</f>
        <v>0.25</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f t="shared" si="17"/>
        <v>930</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四级</v>
      </c>
      <c r="I61" s="891">
        <f>SUMIF(修正!A57:A68,H61,修正!F57:F68)</f>
        <v>0.25</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f t="shared" si="17"/>
        <v>558</v>
      </c>
      <c r="C62" s="171">
        <f t="shared" si="16"/>
        <v>0.15</v>
      </c>
      <c r="D62" s="945">
        <v>0.25</v>
      </c>
      <c r="E62" s="217">
        <f>'数据-汇总表'!E13</f>
        <v>11525.369999999966</v>
      </c>
      <c r="F62" s="886">
        <f t="shared" si="15"/>
        <v>643</v>
      </c>
      <c r="G62" s="892" t="s">
        <v>1898</v>
      </c>
      <c r="H62" s="887" t="str">
        <f>IF(G62="商业",项目基本情况!B37,IF(G62="办公",项目基本情况!C37,IF(G62="住宅",项目基本情况!D37,项目基本情况!E37)))</f>
        <v>四级</v>
      </c>
      <c r="I62" s="891">
        <f>SUMIF(修正!A57:A68,H62,修正!G57:G68)</f>
        <v>0.15</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f t="shared" si="17"/>
        <v>558</v>
      </c>
      <c r="C63" s="171">
        <f t="shared" si="16"/>
        <v>0.15</v>
      </c>
      <c r="D63" s="945">
        <v>0.25</v>
      </c>
      <c r="E63" s="217">
        <f>'数据-汇总表'!E14</f>
        <v>0</v>
      </c>
      <c r="F63" s="886">
        <f t="shared" si="15"/>
        <v>0</v>
      </c>
      <c r="G63" s="1985" t="s">
        <v>1890</v>
      </c>
      <c r="H63" s="887" t="str">
        <f>项目基本情况!B37</f>
        <v>四级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f t="shared" si="17"/>
        <v>558</v>
      </c>
      <c r="C64" s="171">
        <f t="shared" si="16"/>
        <v>0.15</v>
      </c>
      <c r="D64" s="945">
        <v>0.25</v>
      </c>
      <c r="E64" s="217">
        <f>'数据-汇总表'!E15</f>
        <v>0</v>
      </c>
      <c r="F64" s="886">
        <f t="shared" si="15"/>
        <v>0</v>
      </c>
      <c r="G64" s="1986" t="s">
        <v>1894</v>
      </c>
      <c r="H64" s="897" t="str">
        <f>项目基本情况!C37</f>
        <v>四级</v>
      </c>
      <c r="I64" s="893">
        <f>SUMIF(修正!A57:A68,H64,修正!G57:G68)</f>
        <v>0.15</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127815.41999999985</v>
      </c>
      <c r="F65" s="645">
        <f>IF(B46="楼面地价",SUM(F56:F64),ROUND(C48*E65/10000,0))</f>
        <v>151819</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7" t="s">
        <v>1902</v>
      </c>
      <c r="B69" s="1108"/>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0"/>
      <c r="Q69" s="2735"/>
      <c r="R69" s="2735"/>
      <c r="S69" s="2735"/>
      <c r="T69" s="2735"/>
      <c r="U69" s="2735"/>
      <c r="V69" s="2735"/>
      <c r="W69" s="2735"/>
      <c r="X69" s="2735"/>
      <c r="Y69" s="2735"/>
      <c r="Z69" s="2735"/>
      <c r="AA69" s="2735"/>
      <c r="AB69" s="2735"/>
      <c r="AC69" s="2735"/>
    </row>
    <row r="70" spans="1:29" s="108" customFormat="1" ht="30" customHeight="1">
      <c r="A70" s="1988" t="s">
        <v>1903</v>
      </c>
      <c r="B70" s="288" t="str">
        <f>"北京市平均增长率"&amp;TEXT(SUMIF('基准地价修正-商业'!N25:N29,A70,'基准地价修正-商业'!P25:P29),"0.00%")</f>
        <v>北京市平均增长率0.00%</v>
      </c>
      <c r="C70" s="552">
        <v>100</v>
      </c>
      <c r="D70" s="544">
        <f>C70-0.2</f>
        <v>99.8</v>
      </c>
      <c r="E70" s="544">
        <f t="shared" ref="E70:O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28.5">
      <c r="A74" s="476" t="s">
        <v>1717</v>
      </c>
      <c r="B74" s="477" t="s">
        <v>1683</v>
      </c>
      <c r="C74" s="479" t="str">
        <f>土地案例!$P$4</f>
        <v xml:space="preserve"> F3其他类多功能用地 </v>
      </c>
      <c r="D74" s="479" t="str">
        <f>土地案例!$P$6</f>
        <v xml:space="preserve"> B4综合性商业金融服务业用地 </v>
      </c>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102</v>
      </c>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v>
      </c>
      <c r="L78" s="496" t="str">
        <f t="shared" si="21"/>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v>8</v>
      </c>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97</v>
      </c>
      <c r="E90" s="493">
        <f>D90-$K17</f>
        <v>94</v>
      </c>
      <c r="F90" s="493">
        <f>E90-$K17</f>
        <v>91</v>
      </c>
      <c r="G90" s="493">
        <f>F90-$K17</f>
        <v>88</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97</v>
      </c>
      <c r="E92" s="493">
        <f>D92-$K19</f>
        <v>94</v>
      </c>
      <c r="F92" s="493">
        <f>E92-$K19</f>
        <v>91</v>
      </c>
      <c r="G92" s="493">
        <f>F92-$K19</f>
        <v>88</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97</v>
      </c>
      <c r="E94" s="493">
        <f>D94-$K21</f>
        <v>94</v>
      </c>
      <c r="F94" s="493">
        <f>E94-$K21</f>
        <v>91</v>
      </c>
      <c r="G94" s="493">
        <f>F94-$K21</f>
        <v>88</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28.5">
      <c r="A115" s="476" t="s">
        <v>1692</v>
      </c>
      <c r="B115" s="477" t="s">
        <v>1911</v>
      </c>
      <c r="C115" s="478" t="str">
        <f>C116&amp;"(含)"&amp;"-"&amp;D116</f>
        <v>0(含)-10000</v>
      </c>
      <c r="D115" s="478" t="str">
        <f t="shared" ref="D115:M115" si="26">D116&amp;"(含)"&amp;"-"&amp;E116</f>
        <v>10000(含)-20000</v>
      </c>
      <c r="E115" s="478" t="str">
        <f t="shared" si="26"/>
        <v>20000(含)-100000</v>
      </c>
      <c r="F115" s="478" t="str">
        <f t="shared" si="26"/>
        <v>100000(含)-300000</v>
      </c>
      <c r="G115" s="478" t="str">
        <f t="shared" si="26"/>
        <v>300000(含)-</v>
      </c>
      <c r="H115" s="478" t="str">
        <f t="shared" si="26"/>
        <v>(含)-</v>
      </c>
      <c r="I115" s="478" t="str">
        <f t="shared" si="26"/>
        <v>(含)-</v>
      </c>
      <c r="J115" s="478" t="str">
        <f t="shared" si="26"/>
        <v>(含)-</v>
      </c>
      <c r="K115" s="478" t="str">
        <f t="shared" si="26"/>
        <v>(含)-</v>
      </c>
      <c r="L115" s="478" t="str">
        <f t="shared" si="26"/>
        <v>(含)-</v>
      </c>
      <c r="M115" s="478"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100000</v>
      </c>
      <c r="G116" s="544">
        <v>300000</v>
      </c>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v>102</v>
      </c>
      <c r="E117" s="540">
        <v>104</v>
      </c>
      <c r="F117" s="540">
        <v>106</v>
      </c>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3529" t="s">
        <v>3999</v>
      </c>
      <c r="D118" s="3529" t="s">
        <v>4001</v>
      </c>
      <c r="E118" s="3529" t="s">
        <v>4003</v>
      </c>
      <c r="F118" s="3529" t="s">
        <v>4004</v>
      </c>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7">C119-$K39</f>
        <v>96</v>
      </c>
      <c r="E119" s="493">
        <f t="shared" si="27"/>
        <v>92</v>
      </c>
      <c r="F119" s="493">
        <f t="shared" si="27"/>
        <v>88</v>
      </c>
      <c r="G119" s="493">
        <f t="shared" si="27"/>
        <v>84</v>
      </c>
      <c r="H119" s="493">
        <f t="shared" si="27"/>
        <v>80</v>
      </c>
      <c r="I119" s="493">
        <f t="shared" si="27"/>
        <v>76</v>
      </c>
      <c r="J119" s="493">
        <f t="shared" si="27"/>
        <v>72</v>
      </c>
      <c r="K119" s="493">
        <f t="shared" si="27"/>
        <v>68</v>
      </c>
      <c r="L119" s="493">
        <f t="shared" si="27"/>
        <v>64</v>
      </c>
      <c r="M119" s="494">
        <f t="shared" si="27"/>
        <v>60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3530" t="s">
        <v>4005</v>
      </c>
      <c r="D120" s="3530" t="s">
        <v>4007</v>
      </c>
      <c r="E120" s="3530" t="s">
        <v>4008</v>
      </c>
      <c r="F120" s="3529" t="s">
        <v>4009</v>
      </c>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t="str">
        <f>C99</f>
        <v>好</v>
      </c>
      <c r="D124" s="503" t="str">
        <f>D99</f>
        <v>较好</v>
      </c>
      <c r="E124" s="503" t="str">
        <f>E99</f>
        <v>一般</v>
      </c>
      <c r="F124" s="503" t="str">
        <f>F99</f>
        <v>较差</v>
      </c>
      <c r="G124" s="503" t="str">
        <f>G99</f>
        <v>差</v>
      </c>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90" zoomScaleNormal="90" workbookViewId="0">
      <selection activeCell="J76" sqref="J76"/>
    </sheetView>
  </sheetViews>
  <sheetFormatPr defaultRowHeight="14.25"/>
  <cols>
    <col min="1" max="1" width="20" style="3513" customWidth="1"/>
    <col min="2" max="4" width="20" style="3513" hidden="1" customWidth="1"/>
    <col min="5" max="5" width="13" style="3513" customWidth="1"/>
    <col min="6" max="6" width="20" style="3513" hidden="1" customWidth="1"/>
    <col min="7" max="7" width="29.125" style="3513" customWidth="1"/>
    <col min="8" max="8" width="20" style="3513" hidden="1" customWidth="1"/>
    <col min="9" max="9" width="11.25" style="3513" customWidth="1"/>
    <col min="10" max="10" width="10.125" style="3513" customWidth="1"/>
    <col min="11" max="15" width="20" style="3513" hidden="1" customWidth="1"/>
    <col min="16" max="16" width="20" style="3513" customWidth="1"/>
    <col min="17" max="17" width="20" style="3513" hidden="1" customWidth="1"/>
    <col min="18" max="19" width="20" style="3513" customWidth="1"/>
    <col min="20" max="20" width="11.625" style="3513" customWidth="1"/>
    <col min="21" max="32" width="20" style="3513" hidden="1" customWidth="1"/>
    <col min="33" max="33" width="14.625" style="3513" customWidth="1"/>
    <col min="34" max="34" width="11.875" style="3513" customWidth="1"/>
    <col min="35" max="35" width="9.75" style="3513" customWidth="1"/>
    <col min="36" max="36" width="20" style="3513" customWidth="1"/>
    <col min="37" max="42" width="20" style="3513" hidden="1" customWidth="1"/>
    <col min="43" max="43" width="9.5" style="3513" customWidth="1"/>
    <col min="44" max="44" width="20" style="3513" hidden="1" customWidth="1"/>
    <col min="45" max="45" width="10.125" style="3513" customWidth="1"/>
    <col min="46" max="46" width="20" style="3513" hidden="1" customWidth="1"/>
    <col min="47" max="47" width="9.625" style="3513" customWidth="1"/>
    <col min="48" max="48" width="20" style="3513" hidden="1" customWidth="1"/>
    <col min="49" max="49" width="12" style="3513" customWidth="1"/>
    <col min="50" max="51" width="20" style="3513" hidden="1" customWidth="1"/>
    <col min="52" max="52" width="20" style="3513" customWidth="1"/>
    <col min="53" max="59" width="20" style="3513" hidden="1" customWidth="1"/>
    <col min="60" max="60" width="20" style="3513" customWidth="1"/>
    <col min="61" max="65" width="20" style="3513" hidden="1" customWidth="1"/>
    <col min="66" max="66" width="20" style="3513" customWidth="1"/>
    <col min="67" max="16384" width="9" style="3513"/>
  </cols>
  <sheetData>
    <row r="1" spans="1:65">
      <c r="A1" s="3513" t="s">
        <v>3795</v>
      </c>
      <c r="B1" s="3513" t="s">
        <v>3796</v>
      </c>
      <c r="C1" s="3513" t="s">
        <v>3797</v>
      </c>
      <c r="D1" s="3513" t="s">
        <v>3798</v>
      </c>
      <c r="E1" s="3513" t="s">
        <v>3799</v>
      </c>
      <c r="F1" s="3513" t="s">
        <v>3800</v>
      </c>
      <c r="G1" s="3513" t="s">
        <v>3801</v>
      </c>
      <c r="H1" s="3513" t="s">
        <v>3802</v>
      </c>
      <c r="I1" s="3513" t="s">
        <v>3803</v>
      </c>
      <c r="J1" s="3513" t="s">
        <v>3804</v>
      </c>
      <c r="K1" s="3513" t="s">
        <v>3805</v>
      </c>
      <c r="L1" s="3513" t="s">
        <v>3806</v>
      </c>
      <c r="M1" s="3513" t="s">
        <v>3807</v>
      </c>
      <c r="N1" s="3513" t="s">
        <v>3808</v>
      </c>
      <c r="O1" s="3513" t="s">
        <v>3809</v>
      </c>
      <c r="P1" s="3513" t="s">
        <v>3810</v>
      </c>
      <c r="Q1" s="3513" t="s">
        <v>3811</v>
      </c>
      <c r="R1" s="3513" t="s">
        <v>3812</v>
      </c>
      <c r="S1" s="3513" t="s">
        <v>3813</v>
      </c>
      <c r="T1" s="3513" t="s">
        <v>3814</v>
      </c>
      <c r="U1" s="3513" t="s">
        <v>3815</v>
      </c>
      <c r="V1" s="3513" t="s">
        <v>3816</v>
      </c>
      <c r="W1" s="3513" t="s">
        <v>3817</v>
      </c>
      <c r="X1" s="3513" t="s">
        <v>3818</v>
      </c>
      <c r="Y1" s="3513" t="s">
        <v>3819</v>
      </c>
      <c r="Z1" s="3513" t="s">
        <v>3820</v>
      </c>
      <c r="AA1" s="3513" t="s">
        <v>3821</v>
      </c>
      <c r="AB1" s="3513" t="s">
        <v>3822</v>
      </c>
      <c r="AC1" s="3513" t="s">
        <v>3823</v>
      </c>
      <c r="AD1" s="3513" t="s">
        <v>3824</v>
      </c>
      <c r="AE1" s="3513" t="s">
        <v>3825</v>
      </c>
      <c r="AF1" s="3513" t="s">
        <v>3826</v>
      </c>
      <c r="AG1" s="3513" t="s">
        <v>3827</v>
      </c>
      <c r="AH1" s="3513" t="s">
        <v>3828</v>
      </c>
      <c r="AI1" s="3513" t="s">
        <v>3829</v>
      </c>
      <c r="AJ1" s="3513" t="s">
        <v>3830</v>
      </c>
      <c r="AK1" s="3513" t="s">
        <v>3831</v>
      </c>
      <c r="AL1" s="3513" t="s">
        <v>3832</v>
      </c>
      <c r="AM1" s="3513" t="s">
        <v>3833</v>
      </c>
      <c r="AN1" s="3513" t="s">
        <v>3834</v>
      </c>
      <c r="AO1" s="3513" t="s">
        <v>3835</v>
      </c>
      <c r="AP1" s="3513" t="s">
        <v>3836</v>
      </c>
      <c r="AQ1" s="3513" t="s">
        <v>3837</v>
      </c>
      <c r="AR1" s="3513" t="s">
        <v>3838</v>
      </c>
      <c r="AS1" s="3513" t="s">
        <v>3839</v>
      </c>
      <c r="AT1" s="3513" t="s">
        <v>3840</v>
      </c>
      <c r="AU1" s="3513" t="s">
        <v>3841</v>
      </c>
      <c r="AV1" s="3513" t="s">
        <v>3842</v>
      </c>
      <c r="AW1" s="3513" t="s">
        <v>3843</v>
      </c>
      <c r="AX1" s="3513" t="s">
        <v>3844</v>
      </c>
      <c r="AY1" s="3513" t="s">
        <v>3845</v>
      </c>
      <c r="AZ1" s="3513" t="s">
        <v>3846</v>
      </c>
      <c r="BA1" s="3513" t="s">
        <v>3847</v>
      </c>
      <c r="BB1" s="3513" t="s">
        <v>3848</v>
      </c>
      <c r="BC1" s="3513" t="s">
        <v>3849</v>
      </c>
      <c r="BD1" s="3513" t="s">
        <v>3850</v>
      </c>
      <c r="BE1" s="3513" t="s">
        <v>3851</v>
      </c>
      <c r="BF1" s="3513" t="s">
        <v>3852</v>
      </c>
      <c r="BG1" s="3513" t="s">
        <v>3853</v>
      </c>
      <c r="BH1" s="3513" t="s">
        <v>3854</v>
      </c>
      <c r="BI1" s="3513" t="s">
        <v>3855</v>
      </c>
      <c r="BJ1" s="3513" t="s">
        <v>3856</v>
      </c>
      <c r="BK1" s="3513" t="s">
        <v>3857</v>
      </c>
      <c r="BL1" s="3513" t="s">
        <v>3858</v>
      </c>
      <c r="BM1" s="3513" t="s">
        <v>3859</v>
      </c>
    </row>
    <row r="2" spans="1:65" s="3516" customFormat="1">
      <c r="A2" s="3514" t="s">
        <v>3860</v>
      </c>
      <c r="B2" s="3514" t="s">
        <v>3861</v>
      </c>
      <c r="C2" s="3514" t="s">
        <v>3862</v>
      </c>
      <c r="D2" s="3514" t="s">
        <v>3863</v>
      </c>
      <c r="E2" s="3514" t="s">
        <v>3864</v>
      </c>
      <c r="F2" s="3514" t="s">
        <v>3865</v>
      </c>
      <c r="G2" s="3514" t="s">
        <v>3865</v>
      </c>
      <c r="H2" s="3514" t="s">
        <v>3866</v>
      </c>
      <c r="I2" s="3514">
        <v>41129.769999999997</v>
      </c>
      <c r="J2" s="3514">
        <v>90485.49</v>
      </c>
      <c r="K2" s="3514" t="s">
        <v>3867</v>
      </c>
      <c r="L2" s="3514" t="s">
        <v>3867</v>
      </c>
      <c r="M2" s="3514">
        <v>0</v>
      </c>
      <c r="N2" s="3514">
        <v>0</v>
      </c>
      <c r="O2" s="3514" t="s">
        <v>3868</v>
      </c>
      <c r="P2" s="3514" t="s">
        <v>3869</v>
      </c>
      <c r="Q2" s="3514" t="s">
        <v>3870</v>
      </c>
      <c r="R2" s="3514" t="s">
        <v>3871</v>
      </c>
      <c r="S2" s="3514">
        <v>2.2000000000000002</v>
      </c>
      <c r="T2" s="3514">
        <v>2.2000000000000002</v>
      </c>
      <c r="U2" s="3514" t="s">
        <v>3867</v>
      </c>
      <c r="V2" s="3514" t="s">
        <v>3867</v>
      </c>
      <c r="W2" s="3514" t="s">
        <v>3872</v>
      </c>
      <c r="X2" s="3514" t="s">
        <v>3873</v>
      </c>
      <c r="Y2" s="3514" t="s">
        <v>3874</v>
      </c>
      <c r="Z2" s="3514" t="s">
        <v>3867</v>
      </c>
      <c r="AA2" s="3514" t="s">
        <v>3867</v>
      </c>
      <c r="AB2" s="3514" t="s">
        <v>3867</v>
      </c>
      <c r="AC2" s="3514" t="s">
        <v>3867</v>
      </c>
      <c r="AD2" s="3515">
        <v>45512.000497685185</v>
      </c>
      <c r="AE2" s="3515">
        <v>45532.000497685185</v>
      </c>
      <c r="AF2" s="3515">
        <v>45546.000497685185</v>
      </c>
      <c r="AG2" s="3515">
        <v>45546.000497685185</v>
      </c>
      <c r="AH2" s="3514" t="s">
        <v>3875</v>
      </c>
      <c r="AI2" s="3514" t="s">
        <v>3876</v>
      </c>
      <c r="AJ2" s="3514" t="s">
        <v>3877</v>
      </c>
      <c r="AK2" s="3514" t="s">
        <v>3878</v>
      </c>
      <c r="AL2" s="3514" t="s">
        <v>3879</v>
      </c>
      <c r="AM2" s="3514" t="s">
        <v>3867</v>
      </c>
      <c r="AN2" s="3514">
        <v>80900</v>
      </c>
      <c r="AO2" s="3514">
        <v>16200</v>
      </c>
      <c r="AP2" s="3515">
        <v>45545.708831018521</v>
      </c>
      <c r="AQ2" s="3514">
        <v>80900</v>
      </c>
      <c r="AR2" s="3514">
        <v>19669.45</v>
      </c>
      <c r="AS2" s="3514">
        <v>19669.45</v>
      </c>
      <c r="AT2" s="3514">
        <v>1311.3</v>
      </c>
      <c r="AU2" s="3514">
        <v>1311.3</v>
      </c>
      <c r="AV2" s="3514">
        <v>8941</v>
      </c>
      <c r="AW2" s="3514">
        <v>8941</v>
      </c>
      <c r="AX2" s="3514" t="s">
        <v>3867</v>
      </c>
      <c r="AY2" s="3514" t="s">
        <v>3867</v>
      </c>
      <c r="AZ2" s="3514">
        <v>0</v>
      </c>
      <c r="BA2" s="3514" t="s">
        <v>3867</v>
      </c>
      <c r="BB2" s="3514" t="s">
        <v>3867</v>
      </c>
      <c r="BC2" s="3514" t="s">
        <v>3867</v>
      </c>
      <c r="BD2" s="3514" t="s">
        <v>3867</v>
      </c>
      <c r="BE2" s="3514" t="s">
        <v>3867</v>
      </c>
      <c r="BF2" s="3514" t="s">
        <v>3867</v>
      </c>
      <c r="BG2" s="3514" t="s">
        <v>3867</v>
      </c>
      <c r="BH2" s="3514" t="s">
        <v>3880</v>
      </c>
      <c r="BI2" s="3514" t="s">
        <v>3881</v>
      </c>
      <c r="BJ2" s="3514" t="s">
        <v>3882</v>
      </c>
      <c r="BK2" s="3514" t="s">
        <v>3883</v>
      </c>
      <c r="BL2" s="3515">
        <v>45578.000497685185</v>
      </c>
      <c r="BM2" s="3514">
        <v>80900</v>
      </c>
    </row>
    <row r="3" spans="1:65" s="3519" customFormat="1">
      <c r="A3" s="3517" t="s">
        <v>3884</v>
      </c>
      <c r="B3" s="3517" t="s">
        <v>3861</v>
      </c>
      <c r="C3" s="3517" t="s">
        <v>3862</v>
      </c>
      <c r="D3" s="3517" t="s">
        <v>3863</v>
      </c>
      <c r="E3" s="3517" t="s">
        <v>3885</v>
      </c>
      <c r="F3" s="3517" t="s">
        <v>3886</v>
      </c>
      <c r="G3" s="3517" t="s">
        <v>3886</v>
      </c>
      <c r="H3" s="3517" t="s">
        <v>3887</v>
      </c>
      <c r="I3" s="3517">
        <v>19810.400000000001</v>
      </c>
      <c r="J3" s="3517">
        <v>700</v>
      </c>
      <c r="K3" s="3517" t="s">
        <v>3867</v>
      </c>
      <c r="L3" s="3517" t="s">
        <v>3867</v>
      </c>
      <c r="M3" s="3517">
        <v>0</v>
      </c>
      <c r="N3" s="3517">
        <v>0</v>
      </c>
      <c r="O3" s="3517" t="s">
        <v>3868</v>
      </c>
      <c r="P3" s="3517" t="s">
        <v>3888</v>
      </c>
      <c r="Q3" s="3517" t="s">
        <v>3889</v>
      </c>
      <c r="R3" s="3517" t="s">
        <v>3871</v>
      </c>
      <c r="S3" s="3517" t="s">
        <v>3890</v>
      </c>
      <c r="T3" s="3517">
        <v>0.74</v>
      </c>
      <c r="U3" s="3517" t="s">
        <v>3867</v>
      </c>
      <c r="V3" s="3517" t="s">
        <v>3867</v>
      </c>
      <c r="W3" s="3517" t="s">
        <v>3867</v>
      </c>
      <c r="X3" s="3517" t="s">
        <v>3873</v>
      </c>
      <c r="Y3" s="3517" t="s">
        <v>3874</v>
      </c>
      <c r="Z3" s="3517" t="s">
        <v>3867</v>
      </c>
      <c r="AA3" s="3517" t="s">
        <v>3867</v>
      </c>
      <c r="AB3" s="3517" t="s">
        <v>3867</v>
      </c>
      <c r="AC3" s="3517" t="s">
        <v>3867</v>
      </c>
      <c r="AD3" s="3518">
        <v>45426.000497685185</v>
      </c>
      <c r="AE3" s="3518">
        <v>45446.000497685185</v>
      </c>
      <c r="AF3" s="3518">
        <v>45461.000497685185</v>
      </c>
      <c r="AG3" s="3518">
        <v>45461.000497685185</v>
      </c>
      <c r="AH3" s="3517" t="s">
        <v>3875</v>
      </c>
      <c r="AI3" s="3517" t="s">
        <v>3876</v>
      </c>
      <c r="AJ3" s="3517" t="s">
        <v>3891</v>
      </c>
      <c r="AK3" s="3517" t="s">
        <v>3892</v>
      </c>
      <c r="AL3" s="3517" t="s">
        <v>3879</v>
      </c>
      <c r="AM3" s="3517" t="s">
        <v>3893</v>
      </c>
      <c r="AN3" s="3517">
        <v>6600</v>
      </c>
      <c r="AO3" s="3517">
        <v>1400</v>
      </c>
      <c r="AP3" s="3518">
        <v>45460.708831018521</v>
      </c>
      <c r="AQ3" s="3517">
        <v>6600</v>
      </c>
      <c r="AR3" s="3517">
        <v>3331.58</v>
      </c>
      <c r="AS3" s="3517">
        <v>3331.58</v>
      </c>
      <c r="AT3" s="3517">
        <v>222.11</v>
      </c>
      <c r="AU3" s="3517">
        <v>222.11</v>
      </c>
      <c r="AV3" s="3517">
        <v>94286</v>
      </c>
      <c r="AW3" s="3517">
        <v>94286</v>
      </c>
      <c r="AX3" s="3517" t="s">
        <v>3867</v>
      </c>
      <c r="AY3" s="3517" t="s">
        <v>3867</v>
      </c>
      <c r="AZ3" s="3517">
        <v>0</v>
      </c>
      <c r="BA3" s="3517" t="s">
        <v>3867</v>
      </c>
      <c r="BB3" s="3517" t="s">
        <v>3867</v>
      </c>
      <c r="BC3" s="3517" t="s">
        <v>3867</v>
      </c>
      <c r="BD3" s="3517" t="s">
        <v>3867</v>
      </c>
      <c r="BE3" s="3517" t="s">
        <v>3867</v>
      </c>
      <c r="BF3" s="3517" t="s">
        <v>3867</v>
      </c>
      <c r="BG3" s="3517" t="s">
        <v>3867</v>
      </c>
      <c r="BH3" s="3517" t="s">
        <v>3894</v>
      </c>
      <c r="BI3" s="3517" t="s">
        <v>3881</v>
      </c>
      <c r="BJ3" s="3517" t="s">
        <v>3882</v>
      </c>
      <c r="BK3" s="3517" t="s">
        <v>3883</v>
      </c>
      <c r="BL3" s="3517" t="s">
        <v>3867</v>
      </c>
      <c r="BM3" s="3517" t="s">
        <v>3867</v>
      </c>
    </row>
    <row r="4" spans="1:65" s="3520" customFormat="1">
      <c r="A4" s="3520" t="s">
        <v>3895</v>
      </c>
      <c r="B4" s="3520" t="s">
        <v>3861</v>
      </c>
      <c r="C4" s="3520" t="s">
        <v>3862</v>
      </c>
      <c r="D4" s="3520" t="s">
        <v>3863</v>
      </c>
      <c r="E4" s="3520" t="s">
        <v>3885</v>
      </c>
      <c r="F4" s="3520" t="s">
        <v>3896</v>
      </c>
      <c r="G4" s="3520" t="s">
        <v>3896</v>
      </c>
      <c r="H4" s="3520" t="s">
        <v>3897</v>
      </c>
      <c r="I4" s="3520">
        <v>9632.01</v>
      </c>
      <c r="J4" s="3520">
        <v>15025.93</v>
      </c>
      <c r="K4" s="3520" t="s">
        <v>3867</v>
      </c>
      <c r="L4" s="3520" t="s">
        <v>3867</v>
      </c>
      <c r="M4" s="3520">
        <v>0</v>
      </c>
      <c r="N4" s="3520">
        <v>0</v>
      </c>
      <c r="O4" s="3520" t="s">
        <v>3868</v>
      </c>
      <c r="P4" s="3520" t="s">
        <v>3869</v>
      </c>
      <c r="Q4" s="3520" t="s">
        <v>3870</v>
      </c>
      <c r="R4" s="3520" t="s">
        <v>3898</v>
      </c>
      <c r="S4" s="3520">
        <v>1.56</v>
      </c>
      <c r="T4" s="3520">
        <v>1.56</v>
      </c>
      <c r="U4" s="3520" t="s">
        <v>3867</v>
      </c>
      <c r="V4" s="3520" t="s">
        <v>3867</v>
      </c>
      <c r="W4" s="3520">
        <v>24</v>
      </c>
      <c r="X4" s="3520" t="s">
        <v>3873</v>
      </c>
      <c r="Y4" s="3520" t="s">
        <v>3874</v>
      </c>
      <c r="Z4" s="3520" t="s">
        <v>3867</v>
      </c>
      <c r="AA4" s="3520" t="s">
        <v>3867</v>
      </c>
      <c r="AB4" s="3520" t="s">
        <v>3867</v>
      </c>
      <c r="AC4" s="3520" t="s">
        <v>3867</v>
      </c>
      <c r="AD4" s="3521">
        <v>45155.000497685185</v>
      </c>
      <c r="AE4" s="3521">
        <v>45175.000497685185</v>
      </c>
      <c r="AF4" s="3521">
        <v>45189.000497685185</v>
      </c>
      <c r="AG4" s="3521">
        <v>45189.000497685185</v>
      </c>
      <c r="AH4" s="3520" t="s">
        <v>3875</v>
      </c>
      <c r="AI4" s="3520" t="s">
        <v>3876</v>
      </c>
      <c r="AJ4" s="3520" t="s">
        <v>3899</v>
      </c>
      <c r="AK4" s="3520" t="s">
        <v>3892</v>
      </c>
      <c r="AL4" s="3520" t="s">
        <v>3879</v>
      </c>
      <c r="AM4" s="3520" t="s">
        <v>3893</v>
      </c>
      <c r="AN4" s="3520">
        <v>13700</v>
      </c>
      <c r="AO4" s="3520">
        <v>3000</v>
      </c>
      <c r="AP4" s="3521">
        <v>45189.625497685185</v>
      </c>
      <c r="AQ4" s="3520">
        <v>13700</v>
      </c>
      <c r="AR4" s="3520">
        <v>14223.4</v>
      </c>
      <c r="AS4" s="3520">
        <v>14223.4</v>
      </c>
      <c r="AT4" s="3520">
        <v>948.23</v>
      </c>
      <c r="AU4" s="3520">
        <v>948.23</v>
      </c>
      <c r="AV4" s="3520">
        <v>9118</v>
      </c>
      <c r="AW4" s="3520">
        <v>9118</v>
      </c>
      <c r="AX4" s="3520" t="s">
        <v>3867</v>
      </c>
      <c r="AY4" s="3520" t="s">
        <v>3867</v>
      </c>
      <c r="AZ4" s="3520">
        <v>0</v>
      </c>
      <c r="BA4" s="3520" t="s">
        <v>3867</v>
      </c>
      <c r="BB4" s="3520" t="s">
        <v>3867</v>
      </c>
      <c r="BC4" s="3520" t="s">
        <v>3867</v>
      </c>
      <c r="BD4" s="3520" t="s">
        <v>3867</v>
      </c>
      <c r="BE4" s="3520" t="s">
        <v>3867</v>
      </c>
      <c r="BF4" s="3520" t="s">
        <v>3867</v>
      </c>
      <c r="BG4" s="3520" t="s">
        <v>3867</v>
      </c>
      <c r="BH4" s="3520" t="s">
        <v>3894</v>
      </c>
      <c r="BI4" s="3520" t="s">
        <v>3881</v>
      </c>
      <c r="BJ4" s="3520" t="s">
        <v>3882</v>
      </c>
      <c r="BK4" s="3520" t="s">
        <v>3883</v>
      </c>
      <c r="BL4" s="3521">
        <v>45220.000497685185</v>
      </c>
      <c r="BM4" s="3520">
        <v>13700</v>
      </c>
    </row>
    <row r="5" spans="1:65" s="3520" customFormat="1">
      <c r="A5" s="3520" t="s">
        <v>3900</v>
      </c>
      <c r="B5" s="3520" t="s">
        <v>3861</v>
      </c>
      <c r="C5" s="3520" t="s">
        <v>3862</v>
      </c>
      <c r="D5" s="3520" t="s">
        <v>3863</v>
      </c>
      <c r="E5" s="3520" t="s">
        <v>3901</v>
      </c>
      <c r="F5" s="3520" t="s">
        <v>3902</v>
      </c>
      <c r="G5" s="3520" t="s">
        <v>3902</v>
      </c>
      <c r="H5" s="3520" t="s">
        <v>3903</v>
      </c>
      <c r="I5" s="3520">
        <v>15459.22</v>
      </c>
      <c r="J5" s="3520">
        <v>52599.12</v>
      </c>
      <c r="K5" s="3520" t="s">
        <v>3867</v>
      </c>
      <c r="L5" s="3520" t="s">
        <v>3867</v>
      </c>
      <c r="M5" s="3520">
        <v>0</v>
      </c>
      <c r="N5" s="3520">
        <v>0</v>
      </c>
      <c r="O5" s="3520" t="s">
        <v>3868</v>
      </c>
      <c r="P5" s="3520" t="s">
        <v>3904</v>
      </c>
      <c r="Q5" s="3520" t="s">
        <v>3870</v>
      </c>
      <c r="R5" s="3520" t="s">
        <v>3905</v>
      </c>
      <c r="S5" s="3520" t="s">
        <v>3906</v>
      </c>
      <c r="T5" s="3520">
        <v>3.82</v>
      </c>
      <c r="U5" s="3520" t="s">
        <v>3867</v>
      </c>
      <c r="V5" s="3520" t="s">
        <v>3867</v>
      </c>
      <c r="W5" s="3520" t="s">
        <v>3907</v>
      </c>
      <c r="X5" s="3520" t="s">
        <v>3873</v>
      </c>
      <c r="Y5" s="3520" t="s">
        <v>3874</v>
      </c>
      <c r="Z5" s="3520" t="s">
        <v>3867</v>
      </c>
      <c r="AA5" s="3520" t="s">
        <v>3867</v>
      </c>
      <c r="AB5" s="3520" t="s">
        <v>3867</v>
      </c>
      <c r="AC5" s="3520" t="s">
        <v>3867</v>
      </c>
      <c r="AD5" s="3521">
        <v>45079.000497685185</v>
      </c>
      <c r="AE5" s="3521">
        <v>45102.000497685185</v>
      </c>
      <c r="AF5" s="3521">
        <v>45114.000497685185</v>
      </c>
      <c r="AG5" s="3521">
        <v>45114.000497685185</v>
      </c>
      <c r="AH5" s="3520" t="s">
        <v>3875</v>
      </c>
      <c r="AI5" s="3520" t="s">
        <v>3876</v>
      </c>
      <c r="AJ5" s="3520" t="s">
        <v>3899</v>
      </c>
      <c r="AK5" s="3520" t="s">
        <v>3892</v>
      </c>
      <c r="AL5" s="3520" t="s">
        <v>3879</v>
      </c>
      <c r="AM5" s="3520" t="s">
        <v>3893</v>
      </c>
      <c r="AN5" s="3520">
        <v>53100</v>
      </c>
      <c r="AO5" s="3520">
        <v>11000</v>
      </c>
      <c r="AP5" s="3520" t="s">
        <v>3867</v>
      </c>
      <c r="AQ5" s="3520">
        <v>53100</v>
      </c>
      <c r="AR5" s="3520">
        <v>34348.43</v>
      </c>
      <c r="AS5" s="3520">
        <v>34348.43</v>
      </c>
      <c r="AT5" s="3520">
        <v>2289.9</v>
      </c>
      <c r="AU5" s="3520">
        <v>2289.9</v>
      </c>
      <c r="AV5" s="3520">
        <v>10095</v>
      </c>
      <c r="AW5" s="3520">
        <v>10095</v>
      </c>
      <c r="AX5" s="3520" t="s">
        <v>3867</v>
      </c>
      <c r="AY5" s="3520" t="s">
        <v>3867</v>
      </c>
      <c r="AZ5" s="3520">
        <v>0</v>
      </c>
      <c r="BA5" s="3520" t="s">
        <v>3867</v>
      </c>
      <c r="BB5" s="3520" t="s">
        <v>3867</v>
      </c>
      <c r="BC5" s="3520" t="s">
        <v>3867</v>
      </c>
      <c r="BD5" s="3520" t="s">
        <v>3867</v>
      </c>
      <c r="BE5" s="3520" t="s">
        <v>3867</v>
      </c>
      <c r="BF5" s="3520" t="s">
        <v>3867</v>
      </c>
      <c r="BG5" s="3520" t="s">
        <v>3867</v>
      </c>
      <c r="BH5" s="3520" t="s">
        <v>3894</v>
      </c>
      <c r="BI5" s="3520" t="s">
        <v>3881</v>
      </c>
      <c r="BJ5" s="3520" t="s">
        <v>3882</v>
      </c>
      <c r="BK5" s="3520" t="s">
        <v>3883</v>
      </c>
      <c r="BL5" s="3521">
        <v>45149.000497685185</v>
      </c>
      <c r="BM5" s="3520">
        <v>53100</v>
      </c>
    </row>
    <row r="6" spans="1:65" s="3520" customFormat="1">
      <c r="A6" s="3520" t="s">
        <v>3908</v>
      </c>
      <c r="B6" s="3520" t="s">
        <v>3861</v>
      </c>
      <c r="C6" s="3520" t="s">
        <v>3862</v>
      </c>
      <c r="D6" s="3520" t="s">
        <v>3863</v>
      </c>
      <c r="E6" s="3520" t="s">
        <v>3909</v>
      </c>
      <c r="F6" s="3520" t="s">
        <v>3910</v>
      </c>
      <c r="G6" s="3520" t="s">
        <v>3910</v>
      </c>
      <c r="H6" s="3520" t="s">
        <v>3911</v>
      </c>
      <c r="I6" s="3520">
        <v>5500.65</v>
      </c>
      <c r="J6" s="3520">
        <v>15401.81</v>
      </c>
      <c r="K6" s="3520" t="s">
        <v>3867</v>
      </c>
      <c r="L6" s="3520" t="s">
        <v>3867</v>
      </c>
      <c r="M6" s="3520">
        <v>0</v>
      </c>
      <c r="N6" s="3520">
        <v>0</v>
      </c>
      <c r="O6" s="3520" t="s">
        <v>3868</v>
      </c>
      <c r="P6" s="3520" t="s">
        <v>3912</v>
      </c>
      <c r="Q6" s="3520" t="s">
        <v>3913</v>
      </c>
      <c r="R6" s="3520" t="s">
        <v>3914</v>
      </c>
      <c r="S6" s="3520" t="s">
        <v>3915</v>
      </c>
      <c r="T6" s="3520">
        <v>2.8</v>
      </c>
      <c r="U6" s="3520" t="s">
        <v>3867</v>
      </c>
      <c r="V6" s="3520" t="s">
        <v>3867</v>
      </c>
      <c r="W6" s="3520">
        <v>60</v>
      </c>
      <c r="X6" s="3520" t="s">
        <v>3873</v>
      </c>
      <c r="Y6" s="3520" t="s">
        <v>3874</v>
      </c>
      <c r="Z6" s="3520" t="s">
        <v>3867</v>
      </c>
      <c r="AA6" s="3520" t="s">
        <v>3867</v>
      </c>
      <c r="AB6" s="3520" t="s">
        <v>3867</v>
      </c>
      <c r="AC6" s="3520" t="s">
        <v>3867</v>
      </c>
      <c r="AD6" s="3521">
        <v>44995.000497685185</v>
      </c>
      <c r="AE6" s="3521">
        <v>45015.000497685185</v>
      </c>
      <c r="AF6" s="3521">
        <v>45030.000497685185</v>
      </c>
      <c r="AG6" s="3521">
        <v>45030.000497685185</v>
      </c>
      <c r="AH6" s="3520" t="s">
        <v>3875</v>
      </c>
      <c r="AI6" s="3520" t="s">
        <v>3876</v>
      </c>
      <c r="AJ6" s="3520" t="s">
        <v>3916</v>
      </c>
      <c r="AK6" s="3520" t="s">
        <v>3917</v>
      </c>
      <c r="AL6" s="3520" t="s">
        <v>3918</v>
      </c>
      <c r="AM6" s="3520" t="s">
        <v>3867</v>
      </c>
      <c r="AN6" s="3520">
        <v>17000</v>
      </c>
      <c r="AO6" s="3520">
        <v>4000</v>
      </c>
      <c r="AP6" s="3520" t="s">
        <v>3867</v>
      </c>
      <c r="AQ6" s="3520">
        <v>17000</v>
      </c>
      <c r="AR6" s="3520">
        <v>30905.43</v>
      </c>
      <c r="AS6" s="3520">
        <v>30905.43</v>
      </c>
      <c r="AT6" s="3520">
        <v>2060.36</v>
      </c>
      <c r="AU6" s="3520">
        <v>2060.36</v>
      </c>
      <c r="AV6" s="3520">
        <v>11038</v>
      </c>
      <c r="AW6" s="3520">
        <v>11038</v>
      </c>
      <c r="AX6" s="3520" t="s">
        <v>3867</v>
      </c>
      <c r="AY6" s="3520" t="s">
        <v>3867</v>
      </c>
      <c r="AZ6" s="3520">
        <v>0</v>
      </c>
      <c r="BA6" s="3520" t="s">
        <v>3867</v>
      </c>
      <c r="BB6" s="3520" t="s">
        <v>3867</v>
      </c>
      <c r="BC6" s="3520" t="s">
        <v>3867</v>
      </c>
      <c r="BD6" s="3520" t="s">
        <v>3867</v>
      </c>
      <c r="BE6" s="3520" t="s">
        <v>3867</v>
      </c>
      <c r="BF6" s="3520" t="s">
        <v>3867</v>
      </c>
      <c r="BG6" s="3520" t="s">
        <v>3867</v>
      </c>
      <c r="BH6" s="3520" t="s">
        <v>3880</v>
      </c>
      <c r="BI6" s="3520" t="s">
        <v>3881</v>
      </c>
      <c r="BJ6" s="3520" t="s">
        <v>3882</v>
      </c>
      <c r="BK6" s="3520" t="s">
        <v>3883</v>
      </c>
      <c r="BL6" s="3521">
        <v>45060.000497685185</v>
      </c>
      <c r="BM6" s="3520">
        <v>17000</v>
      </c>
    </row>
    <row r="7" spans="1:65">
      <c r="A7" s="3513" t="s">
        <v>3919</v>
      </c>
      <c r="B7" s="3513" t="s">
        <v>3861</v>
      </c>
      <c r="C7" s="3513" t="s">
        <v>3862</v>
      </c>
      <c r="D7" s="3513" t="s">
        <v>3863</v>
      </c>
      <c r="E7" s="3513" t="s">
        <v>3920</v>
      </c>
      <c r="F7" s="3513" t="s">
        <v>3921</v>
      </c>
      <c r="G7" s="3513" t="s">
        <v>3921</v>
      </c>
      <c r="H7" s="3513" t="s">
        <v>3922</v>
      </c>
      <c r="I7" s="3513">
        <v>10000</v>
      </c>
      <c r="J7" s="3513">
        <v>22000</v>
      </c>
      <c r="K7" s="3513" t="s">
        <v>3867</v>
      </c>
      <c r="L7" s="3513" t="s">
        <v>3867</v>
      </c>
      <c r="M7" s="3513">
        <v>0</v>
      </c>
      <c r="N7" s="3513">
        <v>0</v>
      </c>
      <c r="O7" s="3513" t="s">
        <v>3868</v>
      </c>
      <c r="P7" s="3513" t="s">
        <v>3869</v>
      </c>
      <c r="Q7" s="3513" t="s">
        <v>3870</v>
      </c>
      <c r="R7" s="3513" t="s">
        <v>3923</v>
      </c>
      <c r="S7" s="3513" t="s">
        <v>3924</v>
      </c>
      <c r="T7" s="3513">
        <v>2.2000000000000002</v>
      </c>
      <c r="U7" s="3513" t="s">
        <v>3867</v>
      </c>
      <c r="V7" s="3513" t="s">
        <v>3867</v>
      </c>
      <c r="W7" s="3513" t="s">
        <v>3867</v>
      </c>
      <c r="X7" s="3513" t="s">
        <v>3873</v>
      </c>
      <c r="Y7" s="3513" t="s">
        <v>3874</v>
      </c>
      <c r="Z7" s="3513" t="s">
        <v>3867</v>
      </c>
      <c r="AA7" s="3513" t="s">
        <v>3867</v>
      </c>
      <c r="AB7" s="3513" t="s">
        <v>3867</v>
      </c>
      <c r="AC7" s="3513" t="s">
        <v>3867</v>
      </c>
      <c r="AD7" s="3522">
        <v>44760.000497685185</v>
      </c>
      <c r="AE7" s="3522">
        <v>44782.000497685185</v>
      </c>
      <c r="AF7" s="3522">
        <v>44795.000497685185</v>
      </c>
      <c r="AG7" s="3522">
        <v>44795.000497685185</v>
      </c>
      <c r="AH7" s="3513" t="s">
        <v>3875</v>
      </c>
      <c r="AI7" s="3513" t="s">
        <v>3925</v>
      </c>
      <c r="AJ7" s="3513" t="s">
        <v>3926</v>
      </c>
      <c r="AK7" s="3513" t="s">
        <v>3927</v>
      </c>
      <c r="AL7" s="3513" t="s">
        <v>3879</v>
      </c>
      <c r="AM7" s="3513" t="s">
        <v>3867</v>
      </c>
      <c r="AN7" s="3513">
        <v>36400</v>
      </c>
      <c r="AO7" s="3513">
        <v>7300</v>
      </c>
      <c r="AP7" s="3522">
        <v>44796.625497685185</v>
      </c>
      <c r="AQ7" s="3513">
        <v>36400</v>
      </c>
      <c r="AR7" s="3513">
        <v>36400</v>
      </c>
      <c r="AS7" s="3513">
        <v>36400</v>
      </c>
      <c r="AT7" s="3513">
        <v>2426.67</v>
      </c>
      <c r="AU7" s="3513">
        <v>2426.67</v>
      </c>
      <c r="AV7" s="3513">
        <v>16545</v>
      </c>
      <c r="AW7" s="3513">
        <v>16545</v>
      </c>
      <c r="AX7" s="3513" t="s">
        <v>3867</v>
      </c>
      <c r="AY7" s="3513" t="s">
        <v>3867</v>
      </c>
      <c r="AZ7" s="3513">
        <v>0</v>
      </c>
      <c r="BA7" s="3513" t="s">
        <v>3867</v>
      </c>
      <c r="BB7" s="3513" t="s">
        <v>3867</v>
      </c>
      <c r="BC7" s="3513" t="s">
        <v>3867</v>
      </c>
      <c r="BD7" s="3513" t="s">
        <v>3867</v>
      </c>
      <c r="BE7" s="3513" t="s">
        <v>3867</v>
      </c>
      <c r="BF7" s="3513" t="s">
        <v>3867</v>
      </c>
      <c r="BG7" s="3513" t="s">
        <v>3867</v>
      </c>
      <c r="BH7" s="3513" t="s">
        <v>3880</v>
      </c>
      <c r="BI7" s="3513" t="s">
        <v>3881</v>
      </c>
      <c r="BJ7" s="3513" t="s">
        <v>3882</v>
      </c>
      <c r="BK7" s="3513" t="s">
        <v>3883</v>
      </c>
      <c r="BL7" s="3522">
        <v>44836.000497685185</v>
      </c>
      <c r="BM7" s="3513">
        <v>36400</v>
      </c>
    </row>
    <row r="8" spans="1:65">
      <c r="A8" s="3513" t="s">
        <v>3928</v>
      </c>
      <c r="B8" s="3513" t="s">
        <v>3861</v>
      </c>
      <c r="C8" s="3513" t="s">
        <v>3862</v>
      </c>
      <c r="D8" s="3513" t="s">
        <v>3863</v>
      </c>
      <c r="E8" s="3513" t="s">
        <v>3920</v>
      </c>
      <c r="F8" s="3513" t="s">
        <v>3929</v>
      </c>
      <c r="G8" s="3513" t="s">
        <v>3929</v>
      </c>
      <c r="H8" s="3513" t="s">
        <v>3922</v>
      </c>
      <c r="I8" s="3513">
        <v>5500</v>
      </c>
      <c r="J8" s="3513">
        <v>12100</v>
      </c>
      <c r="K8" s="3513" t="s">
        <v>3867</v>
      </c>
      <c r="L8" s="3513" t="s">
        <v>3867</v>
      </c>
      <c r="M8" s="3513">
        <v>0</v>
      </c>
      <c r="N8" s="3513">
        <v>0</v>
      </c>
      <c r="O8" s="3513" t="s">
        <v>3868</v>
      </c>
      <c r="P8" s="3513" t="s">
        <v>3869</v>
      </c>
      <c r="Q8" s="3513" t="s">
        <v>3870</v>
      </c>
      <c r="R8" s="3513" t="s">
        <v>3923</v>
      </c>
      <c r="S8" s="3513" t="s">
        <v>3924</v>
      </c>
      <c r="T8" s="3513">
        <v>2.2000000000000002</v>
      </c>
      <c r="U8" s="3513" t="s">
        <v>3867</v>
      </c>
      <c r="V8" s="3513" t="s">
        <v>3867</v>
      </c>
      <c r="W8" s="3513" t="s">
        <v>3867</v>
      </c>
      <c r="X8" s="3513" t="s">
        <v>3873</v>
      </c>
      <c r="Y8" s="3513" t="s">
        <v>3874</v>
      </c>
      <c r="Z8" s="3513" t="s">
        <v>3867</v>
      </c>
      <c r="AA8" s="3513" t="s">
        <v>3867</v>
      </c>
      <c r="AB8" s="3513" t="s">
        <v>3867</v>
      </c>
      <c r="AC8" s="3513" t="s">
        <v>3867</v>
      </c>
      <c r="AD8" s="3522">
        <v>44760.000497685185</v>
      </c>
      <c r="AE8" s="3522">
        <v>44782.000497685185</v>
      </c>
      <c r="AF8" s="3522">
        <v>44796.000497685185</v>
      </c>
      <c r="AG8" s="3522">
        <v>44796.000497685185</v>
      </c>
      <c r="AH8" s="3513" t="s">
        <v>3875</v>
      </c>
      <c r="AI8" s="3513" t="s">
        <v>3925</v>
      </c>
      <c r="AJ8" s="3513" t="s">
        <v>3930</v>
      </c>
      <c r="AK8" s="3513" t="s">
        <v>3867</v>
      </c>
      <c r="AL8" s="3513" t="s">
        <v>3867</v>
      </c>
      <c r="AM8" s="3513" t="s">
        <v>3867</v>
      </c>
      <c r="AN8" s="3513">
        <v>20000</v>
      </c>
      <c r="AO8" s="3513">
        <v>4000</v>
      </c>
      <c r="AP8" s="3522">
        <v>44796.625497685185</v>
      </c>
      <c r="AQ8" s="3513">
        <v>20000</v>
      </c>
      <c r="AR8" s="3513">
        <v>36363.629999999997</v>
      </c>
      <c r="AS8" s="3513">
        <v>36363.629999999997</v>
      </c>
      <c r="AT8" s="3513">
        <v>2424.2399999999998</v>
      </c>
      <c r="AU8" s="3513">
        <v>2424.2399999999998</v>
      </c>
      <c r="AV8" s="3513">
        <v>16529</v>
      </c>
      <c r="AW8" s="3513">
        <v>16529</v>
      </c>
      <c r="AX8" s="3513" t="s">
        <v>3867</v>
      </c>
      <c r="AY8" s="3513" t="s">
        <v>3867</v>
      </c>
      <c r="AZ8" s="3513">
        <v>0</v>
      </c>
      <c r="BA8" s="3513" t="s">
        <v>3867</v>
      </c>
      <c r="BB8" s="3513" t="s">
        <v>3867</v>
      </c>
      <c r="BC8" s="3513" t="s">
        <v>3867</v>
      </c>
      <c r="BD8" s="3513" t="s">
        <v>3867</v>
      </c>
      <c r="BE8" s="3513" t="s">
        <v>3867</v>
      </c>
      <c r="BF8" s="3513" t="s">
        <v>3867</v>
      </c>
      <c r="BG8" s="3513" t="s">
        <v>3867</v>
      </c>
      <c r="BH8" s="3513" t="s">
        <v>3880</v>
      </c>
      <c r="BI8" s="3513" t="s">
        <v>3881</v>
      </c>
      <c r="BJ8" s="3513" t="s">
        <v>3882</v>
      </c>
      <c r="BK8" s="3513" t="s">
        <v>3883</v>
      </c>
      <c r="BL8" s="3522">
        <v>44836.000497685185</v>
      </c>
      <c r="BM8" s="3513">
        <v>20000</v>
      </c>
    </row>
    <row r="9" spans="1:65" s="3516" customFormat="1">
      <c r="A9" s="3514" t="s">
        <v>3931</v>
      </c>
      <c r="B9" s="3514" t="s">
        <v>3861</v>
      </c>
      <c r="C9" s="3514" t="s">
        <v>3862</v>
      </c>
      <c r="D9" s="3514" t="s">
        <v>3863</v>
      </c>
      <c r="E9" s="3514" t="s">
        <v>3864</v>
      </c>
      <c r="F9" s="3514" t="s">
        <v>3932</v>
      </c>
      <c r="G9" s="3514" t="s">
        <v>3932</v>
      </c>
      <c r="H9" s="3514" t="s">
        <v>3933</v>
      </c>
      <c r="I9" s="3514">
        <v>16122.82</v>
      </c>
      <c r="J9" s="3514">
        <v>45143.91</v>
      </c>
      <c r="K9" s="3514" t="s">
        <v>3867</v>
      </c>
      <c r="L9" s="3514" t="s">
        <v>3867</v>
      </c>
      <c r="M9" s="3514">
        <v>0</v>
      </c>
      <c r="N9" s="3514">
        <v>0</v>
      </c>
      <c r="O9" s="3514" t="s">
        <v>3868</v>
      </c>
      <c r="P9" s="3514" t="s">
        <v>3869</v>
      </c>
      <c r="Q9" s="3514" t="s">
        <v>3870</v>
      </c>
      <c r="R9" s="3514" t="s">
        <v>3934</v>
      </c>
      <c r="S9" s="3514" t="s">
        <v>3915</v>
      </c>
      <c r="T9" s="3514">
        <v>2.8</v>
      </c>
      <c r="U9" s="3514" t="s">
        <v>3867</v>
      </c>
      <c r="V9" s="3514" t="s">
        <v>3867</v>
      </c>
      <c r="W9" s="3514" t="s">
        <v>3867</v>
      </c>
      <c r="X9" s="3514" t="s">
        <v>3873</v>
      </c>
      <c r="Y9" s="3514" t="s">
        <v>3874</v>
      </c>
      <c r="Z9" s="3514" t="s">
        <v>3867</v>
      </c>
      <c r="AA9" s="3514" t="s">
        <v>3867</v>
      </c>
      <c r="AB9" s="3514" t="s">
        <v>3867</v>
      </c>
      <c r="AC9" s="3514" t="s">
        <v>3867</v>
      </c>
      <c r="AD9" s="3515">
        <v>44725.000497685185</v>
      </c>
      <c r="AE9" s="3515">
        <v>44747.000497685185</v>
      </c>
      <c r="AF9" s="3515">
        <v>44761.000497685185</v>
      </c>
      <c r="AG9" s="3515">
        <v>44761.000497685185</v>
      </c>
      <c r="AH9" s="3514" t="s">
        <v>3875</v>
      </c>
      <c r="AI9" s="3514" t="s">
        <v>3925</v>
      </c>
      <c r="AJ9" s="3514" t="s">
        <v>3935</v>
      </c>
      <c r="AK9" s="3514" t="s">
        <v>3936</v>
      </c>
      <c r="AL9" s="3514" t="s">
        <v>3879</v>
      </c>
      <c r="AM9" s="3514" t="s">
        <v>3867</v>
      </c>
      <c r="AN9" s="3514">
        <v>76000</v>
      </c>
      <c r="AO9" s="3514">
        <v>16000</v>
      </c>
      <c r="AP9" s="3515">
        <v>44761.625497685185</v>
      </c>
      <c r="AQ9" s="3514">
        <v>76000</v>
      </c>
      <c r="AR9" s="3514">
        <v>47138.15</v>
      </c>
      <c r="AS9" s="3514">
        <v>47138.15</v>
      </c>
      <c r="AT9" s="3514">
        <v>3142.54</v>
      </c>
      <c r="AU9" s="3514">
        <v>3142.54</v>
      </c>
      <c r="AV9" s="3514">
        <v>16835</v>
      </c>
      <c r="AW9" s="3523">
        <v>16835</v>
      </c>
      <c r="AX9" s="3514" t="s">
        <v>3867</v>
      </c>
      <c r="AY9" s="3514" t="s">
        <v>3867</v>
      </c>
      <c r="AZ9" s="3514">
        <v>0</v>
      </c>
      <c r="BA9" s="3514" t="s">
        <v>3867</v>
      </c>
      <c r="BB9" s="3514" t="s">
        <v>3867</v>
      </c>
      <c r="BC9" s="3514" t="s">
        <v>3867</v>
      </c>
      <c r="BD9" s="3514" t="s">
        <v>3867</v>
      </c>
      <c r="BE9" s="3514" t="s">
        <v>3867</v>
      </c>
      <c r="BF9" s="3514" t="s">
        <v>3867</v>
      </c>
      <c r="BG9" s="3514" t="s">
        <v>3867</v>
      </c>
      <c r="BH9" s="3514" t="s">
        <v>3880</v>
      </c>
      <c r="BI9" s="3514" t="s">
        <v>3881</v>
      </c>
      <c r="BJ9" s="3514" t="s">
        <v>3882</v>
      </c>
      <c r="BK9" s="3514" t="s">
        <v>3883</v>
      </c>
      <c r="BL9" s="3515">
        <v>44797.000497685185</v>
      </c>
      <c r="BM9" s="3514">
        <v>76000</v>
      </c>
    </row>
    <row r="10" spans="1:65">
      <c r="A10" s="3513" t="s">
        <v>3937</v>
      </c>
      <c r="B10" s="3513" t="s">
        <v>3861</v>
      </c>
      <c r="C10" s="3513" t="s">
        <v>3862</v>
      </c>
      <c r="D10" s="3513" t="s">
        <v>3863</v>
      </c>
      <c r="E10" s="3513" t="s">
        <v>3938</v>
      </c>
      <c r="F10" s="3513" t="s">
        <v>3939</v>
      </c>
      <c r="G10" s="3513" t="s">
        <v>3939</v>
      </c>
      <c r="H10" s="3513" t="s">
        <v>3940</v>
      </c>
      <c r="I10" s="3513">
        <v>29991.73</v>
      </c>
      <c r="J10" s="3513">
        <v>119966.93</v>
      </c>
      <c r="K10" s="3513" t="s">
        <v>3867</v>
      </c>
      <c r="L10" s="3513" t="s">
        <v>3867</v>
      </c>
      <c r="M10" s="3513">
        <v>0</v>
      </c>
      <c r="N10" s="3513">
        <v>0</v>
      </c>
      <c r="O10" s="3513" t="s">
        <v>3868</v>
      </c>
      <c r="P10" s="3513" t="s">
        <v>3869</v>
      </c>
      <c r="Q10" s="3513" t="s">
        <v>3870</v>
      </c>
      <c r="R10" s="3513" t="s">
        <v>3941</v>
      </c>
      <c r="S10" s="3513">
        <v>4</v>
      </c>
      <c r="T10" s="3513">
        <v>4</v>
      </c>
      <c r="U10" s="3513" t="s">
        <v>3867</v>
      </c>
      <c r="V10" s="3513" t="s">
        <v>3867</v>
      </c>
      <c r="W10" s="3513">
        <v>100</v>
      </c>
      <c r="X10" s="3513" t="s">
        <v>3873</v>
      </c>
      <c r="Y10" s="3513" t="s">
        <v>3874</v>
      </c>
      <c r="Z10" s="3513" t="s">
        <v>3867</v>
      </c>
      <c r="AA10" s="3513" t="s">
        <v>3867</v>
      </c>
      <c r="AB10" s="3513" t="s">
        <v>3867</v>
      </c>
      <c r="AC10" s="3513" t="s">
        <v>3867</v>
      </c>
      <c r="AD10" s="3522">
        <v>44531.000497685185</v>
      </c>
      <c r="AE10" s="3522">
        <v>44551.000497685185</v>
      </c>
      <c r="AF10" s="3522">
        <v>44566.000497685185</v>
      </c>
      <c r="AG10" s="3522">
        <v>44566.000497685185</v>
      </c>
      <c r="AH10" s="3513" t="s">
        <v>3875</v>
      </c>
      <c r="AI10" s="3513" t="s">
        <v>3925</v>
      </c>
      <c r="AJ10" s="3513" t="s">
        <v>3942</v>
      </c>
      <c r="AK10" s="3513" t="s">
        <v>3867</v>
      </c>
      <c r="AL10" s="3513" t="s">
        <v>3867</v>
      </c>
      <c r="AM10" s="3513" t="s">
        <v>3867</v>
      </c>
      <c r="AN10" s="3513">
        <v>165300</v>
      </c>
      <c r="AO10" s="3513">
        <v>33100</v>
      </c>
      <c r="AP10" s="3513" t="s">
        <v>3867</v>
      </c>
      <c r="AQ10" s="3513">
        <v>165300</v>
      </c>
      <c r="AR10" s="3513">
        <v>55115.19</v>
      </c>
      <c r="AS10" s="3513">
        <v>55115.19</v>
      </c>
      <c r="AT10" s="3513">
        <v>3674.35</v>
      </c>
      <c r="AU10" s="3513">
        <v>3674.35</v>
      </c>
      <c r="AV10" s="3513">
        <v>13779</v>
      </c>
      <c r="AW10" s="3524">
        <v>13779</v>
      </c>
      <c r="AX10" s="3513" t="s">
        <v>3867</v>
      </c>
      <c r="AY10" s="3513" t="s">
        <v>3867</v>
      </c>
      <c r="AZ10" s="3513">
        <v>0</v>
      </c>
      <c r="BA10" s="3513" t="s">
        <v>3867</v>
      </c>
      <c r="BB10" s="3513" t="s">
        <v>3867</v>
      </c>
      <c r="BC10" s="3513" t="s">
        <v>3867</v>
      </c>
      <c r="BD10" s="3513" t="s">
        <v>3867</v>
      </c>
      <c r="BE10" s="3513" t="s">
        <v>3867</v>
      </c>
      <c r="BF10" s="3513" t="s">
        <v>3867</v>
      </c>
      <c r="BG10" s="3513" t="s">
        <v>3867</v>
      </c>
      <c r="BH10" s="3513" t="s">
        <v>3880</v>
      </c>
      <c r="BI10" s="3513" t="s">
        <v>3881</v>
      </c>
      <c r="BJ10" s="3513" t="s">
        <v>3882</v>
      </c>
      <c r="BK10" s="3513" t="s">
        <v>3883</v>
      </c>
      <c r="BL10" s="3522">
        <v>44567.000497685185</v>
      </c>
      <c r="BM10" s="3513">
        <v>165300</v>
      </c>
    </row>
    <row r="11" spans="1:65">
      <c r="A11" s="3513" t="s">
        <v>3943</v>
      </c>
      <c r="B11" s="3513" t="s">
        <v>3861</v>
      </c>
      <c r="C11" s="3513" t="s">
        <v>3862</v>
      </c>
      <c r="D11" s="3513" t="s">
        <v>3863</v>
      </c>
      <c r="E11" s="3513" t="s">
        <v>3864</v>
      </c>
      <c r="F11" s="3513" t="s">
        <v>3944</v>
      </c>
      <c r="G11" s="3513" t="s">
        <v>3944</v>
      </c>
      <c r="H11" s="3513" t="s">
        <v>3933</v>
      </c>
      <c r="I11" s="3513">
        <v>204418.11</v>
      </c>
      <c r="J11" s="3513">
        <v>302000</v>
      </c>
      <c r="K11" s="3513" t="s">
        <v>3867</v>
      </c>
      <c r="L11" s="3513" t="s">
        <v>3867</v>
      </c>
      <c r="M11" s="3513">
        <v>0</v>
      </c>
      <c r="N11" s="3513">
        <v>0</v>
      </c>
      <c r="O11" s="3513" t="s">
        <v>3868</v>
      </c>
      <c r="P11" s="3513" t="s">
        <v>3869</v>
      </c>
      <c r="Q11" s="3513" t="s">
        <v>3870</v>
      </c>
      <c r="R11" s="3513" t="s">
        <v>3941</v>
      </c>
      <c r="S11" s="3513">
        <v>1.5</v>
      </c>
      <c r="T11" s="3513">
        <v>1.5</v>
      </c>
      <c r="U11" s="3513" t="s">
        <v>3867</v>
      </c>
      <c r="V11" s="3513" t="s">
        <v>3867</v>
      </c>
      <c r="W11" s="3513">
        <v>36</v>
      </c>
      <c r="X11" s="3513" t="s">
        <v>3873</v>
      </c>
      <c r="Y11" s="3513" t="s">
        <v>3874</v>
      </c>
      <c r="Z11" s="3513" t="s">
        <v>3867</v>
      </c>
      <c r="AA11" s="3513" t="s">
        <v>3867</v>
      </c>
      <c r="AB11" s="3513" t="s">
        <v>3867</v>
      </c>
      <c r="AC11" s="3513" t="s">
        <v>3867</v>
      </c>
      <c r="AD11" s="3522">
        <v>44457.000497685185</v>
      </c>
      <c r="AE11" s="3522">
        <v>44481.000497685185</v>
      </c>
      <c r="AF11" s="3522">
        <v>44495.000497685185</v>
      </c>
      <c r="AG11" s="3522">
        <v>44495.000497685185</v>
      </c>
      <c r="AH11" s="3513" t="s">
        <v>3875</v>
      </c>
      <c r="AI11" s="3513" t="s">
        <v>3925</v>
      </c>
      <c r="AJ11" s="3513" t="s">
        <v>3945</v>
      </c>
      <c r="AK11" s="3513" t="s">
        <v>3946</v>
      </c>
      <c r="AL11" s="3513" t="s">
        <v>3947</v>
      </c>
      <c r="AM11" s="3513" t="s">
        <v>3948</v>
      </c>
      <c r="AN11" s="3513">
        <v>506700</v>
      </c>
      <c r="AO11" s="3513">
        <v>101400</v>
      </c>
      <c r="AP11" s="3522">
        <v>44494.625497685185</v>
      </c>
      <c r="AQ11" s="3513">
        <v>506700</v>
      </c>
      <c r="AR11" s="3513">
        <v>24787.43</v>
      </c>
      <c r="AS11" s="3513">
        <v>24787.43</v>
      </c>
      <c r="AT11" s="3513">
        <v>1652.5</v>
      </c>
      <c r="AU11" s="3513">
        <v>1652.5</v>
      </c>
      <c r="AV11" s="3513">
        <v>16778</v>
      </c>
      <c r="AW11" s="3524">
        <v>16778</v>
      </c>
      <c r="AX11" s="3513" t="s">
        <v>3867</v>
      </c>
      <c r="AY11" s="3513" t="s">
        <v>3867</v>
      </c>
      <c r="AZ11" s="3513">
        <v>0</v>
      </c>
      <c r="BA11" s="3513" t="s">
        <v>3867</v>
      </c>
      <c r="BB11" s="3513" t="s">
        <v>3867</v>
      </c>
      <c r="BC11" s="3513" t="s">
        <v>3867</v>
      </c>
      <c r="BD11" s="3513" t="s">
        <v>3867</v>
      </c>
      <c r="BE11" s="3513" t="s">
        <v>3867</v>
      </c>
      <c r="BF11" s="3513" t="s">
        <v>3867</v>
      </c>
      <c r="BG11" s="3513" t="s">
        <v>3867</v>
      </c>
      <c r="BH11" s="3513" t="s">
        <v>3880</v>
      </c>
      <c r="BI11" s="3513" t="s">
        <v>3881</v>
      </c>
      <c r="BJ11" s="3513" t="s">
        <v>3882</v>
      </c>
      <c r="BK11" s="3513" t="s">
        <v>3883</v>
      </c>
      <c r="BL11" s="3522">
        <v>44548.000497685185</v>
      </c>
      <c r="BM11" s="3513">
        <v>506700</v>
      </c>
    </row>
    <row r="12" spans="1:65">
      <c r="A12" s="3513" t="s">
        <v>3949</v>
      </c>
      <c r="B12" s="3513" t="s">
        <v>3861</v>
      </c>
      <c r="C12" s="3513" t="s">
        <v>3862</v>
      </c>
      <c r="D12" s="3513" t="s">
        <v>3863</v>
      </c>
      <c r="E12" s="3513" t="s">
        <v>3950</v>
      </c>
      <c r="F12" s="3513" t="s">
        <v>3951</v>
      </c>
      <c r="G12" s="3513" t="s">
        <v>3951</v>
      </c>
      <c r="H12" s="3513" t="s">
        <v>3952</v>
      </c>
      <c r="I12" s="3513">
        <v>17147.95</v>
      </c>
      <c r="J12" s="3513">
        <v>53158.65</v>
      </c>
      <c r="K12" s="3513" t="s">
        <v>3867</v>
      </c>
      <c r="L12" s="3513" t="s">
        <v>3867</v>
      </c>
      <c r="M12" s="3513">
        <v>0</v>
      </c>
      <c r="N12" s="3513">
        <v>0</v>
      </c>
      <c r="O12" s="3513" t="s">
        <v>3868</v>
      </c>
      <c r="P12" s="3513" t="s">
        <v>3953</v>
      </c>
      <c r="Q12" s="3513" t="s">
        <v>3954</v>
      </c>
      <c r="R12" s="3513" t="s">
        <v>3955</v>
      </c>
      <c r="S12" s="3513" t="s">
        <v>3956</v>
      </c>
      <c r="T12" s="3513">
        <v>3.1</v>
      </c>
      <c r="U12" s="3513" t="s">
        <v>3867</v>
      </c>
      <c r="V12" s="3513" t="s">
        <v>3867</v>
      </c>
      <c r="W12" s="3513" t="s">
        <v>3957</v>
      </c>
      <c r="X12" s="3513" t="s">
        <v>3873</v>
      </c>
      <c r="Y12" s="3513" t="s">
        <v>3874</v>
      </c>
      <c r="Z12" s="3513" t="s">
        <v>3867</v>
      </c>
      <c r="AA12" s="3513" t="s">
        <v>3867</v>
      </c>
      <c r="AB12" s="3513" t="s">
        <v>3867</v>
      </c>
      <c r="AC12" s="3513" t="s">
        <v>3867</v>
      </c>
      <c r="AD12" s="3522">
        <v>44300.000497685185</v>
      </c>
      <c r="AE12" s="3522">
        <v>44322.000497685185</v>
      </c>
      <c r="AF12" s="3522">
        <v>44335.000497685185</v>
      </c>
      <c r="AG12" s="3522">
        <v>44335.000497685185</v>
      </c>
      <c r="AH12" s="3513" t="s">
        <v>3875</v>
      </c>
      <c r="AI12" s="3513" t="s">
        <v>3925</v>
      </c>
      <c r="AJ12" s="3513" t="s">
        <v>3891</v>
      </c>
      <c r="AK12" s="3513" t="s">
        <v>3892</v>
      </c>
      <c r="AL12" s="3513" t="s">
        <v>3879</v>
      </c>
      <c r="AM12" s="3513" t="s">
        <v>3893</v>
      </c>
      <c r="AN12" s="3513">
        <v>69200</v>
      </c>
      <c r="AO12" s="3513">
        <v>14000</v>
      </c>
      <c r="AP12" s="3513" t="s">
        <v>3867</v>
      </c>
      <c r="AQ12" s="3513">
        <v>69200</v>
      </c>
      <c r="AR12" s="3513">
        <v>40354.68</v>
      </c>
      <c r="AS12" s="3513">
        <v>40354.68</v>
      </c>
      <c r="AT12" s="3513">
        <v>2690.31</v>
      </c>
      <c r="AU12" s="3513">
        <v>2690.31</v>
      </c>
      <c r="AV12" s="3513">
        <v>13018</v>
      </c>
      <c r="AW12" s="3513">
        <v>13018</v>
      </c>
      <c r="AX12" s="3513" t="s">
        <v>3867</v>
      </c>
      <c r="AY12" s="3513" t="s">
        <v>3867</v>
      </c>
      <c r="AZ12" s="3513">
        <v>0</v>
      </c>
      <c r="BA12" s="3513" t="s">
        <v>3867</v>
      </c>
      <c r="BB12" s="3513" t="s">
        <v>3867</v>
      </c>
      <c r="BC12" s="3513" t="s">
        <v>3867</v>
      </c>
      <c r="BD12" s="3513" t="s">
        <v>3867</v>
      </c>
      <c r="BE12" s="3513" t="s">
        <v>3867</v>
      </c>
      <c r="BF12" s="3513" t="s">
        <v>3867</v>
      </c>
      <c r="BG12" s="3513" t="s">
        <v>3867</v>
      </c>
      <c r="BH12" s="3513" t="s">
        <v>3880</v>
      </c>
      <c r="BI12" s="3513" t="s">
        <v>3881</v>
      </c>
      <c r="BJ12" s="3513" t="s">
        <v>3882</v>
      </c>
      <c r="BK12" s="3513" t="s">
        <v>3883</v>
      </c>
      <c r="BL12" s="3522">
        <v>44356.000497685185</v>
      </c>
      <c r="BM12" s="3513">
        <v>69200</v>
      </c>
    </row>
    <row r="13" spans="1:65">
      <c r="A13" s="3513" t="s">
        <v>3958</v>
      </c>
      <c r="B13" s="3513" t="s">
        <v>3861</v>
      </c>
      <c r="C13" s="3513" t="s">
        <v>3862</v>
      </c>
      <c r="D13" s="3513" t="s">
        <v>3863</v>
      </c>
      <c r="E13" s="3513" t="s">
        <v>3864</v>
      </c>
      <c r="F13" s="3513" t="s">
        <v>3959</v>
      </c>
      <c r="G13" s="3513" t="s">
        <v>3959</v>
      </c>
      <c r="H13" s="3513" t="s">
        <v>3960</v>
      </c>
      <c r="I13" s="3513">
        <v>22058.78</v>
      </c>
      <c r="J13" s="3513">
        <v>47390</v>
      </c>
      <c r="K13" s="3513" t="s">
        <v>3867</v>
      </c>
      <c r="L13" s="3513" t="s">
        <v>3867</v>
      </c>
      <c r="M13" s="3513">
        <v>0</v>
      </c>
      <c r="N13" s="3513">
        <v>0</v>
      </c>
      <c r="O13" s="3513" t="s">
        <v>3868</v>
      </c>
      <c r="P13" s="3513" t="s">
        <v>3869</v>
      </c>
      <c r="Q13" s="3513" t="s">
        <v>3870</v>
      </c>
      <c r="R13" s="3513" t="s">
        <v>3955</v>
      </c>
      <c r="S13" s="3513" t="s">
        <v>3961</v>
      </c>
      <c r="T13" s="3513">
        <v>2.15</v>
      </c>
      <c r="U13" s="3513" t="s">
        <v>3867</v>
      </c>
      <c r="V13" s="3513" t="s">
        <v>3867</v>
      </c>
      <c r="W13" s="3513" t="s">
        <v>3962</v>
      </c>
      <c r="X13" s="3513" t="s">
        <v>3873</v>
      </c>
      <c r="Y13" s="3513" t="s">
        <v>3874</v>
      </c>
      <c r="Z13" s="3513" t="s">
        <v>3867</v>
      </c>
      <c r="AA13" s="3513" t="s">
        <v>3867</v>
      </c>
      <c r="AB13" s="3513" t="s">
        <v>3867</v>
      </c>
      <c r="AC13" s="3513" t="s">
        <v>3867</v>
      </c>
      <c r="AD13" s="3522">
        <v>44201.000497685185</v>
      </c>
      <c r="AE13" s="3522">
        <v>44221.000497685185</v>
      </c>
      <c r="AF13" s="3522">
        <v>44234.000497685185</v>
      </c>
      <c r="AG13" s="3522">
        <v>44234.000497685185</v>
      </c>
      <c r="AH13" s="3513" t="s">
        <v>3875</v>
      </c>
      <c r="AI13" s="3513" t="s">
        <v>3925</v>
      </c>
      <c r="AJ13" s="3513" t="s">
        <v>3963</v>
      </c>
      <c r="AK13" s="3513" t="s">
        <v>3964</v>
      </c>
      <c r="AL13" s="3513" t="s">
        <v>3879</v>
      </c>
      <c r="AM13" s="3513" t="s">
        <v>3893</v>
      </c>
      <c r="AN13" s="3513">
        <v>32700</v>
      </c>
      <c r="AO13" s="3513">
        <v>6600</v>
      </c>
      <c r="AP13" s="3513" t="s">
        <v>3867</v>
      </c>
      <c r="AQ13" s="3513">
        <v>32700</v>
      </c>
      <c r="AR13" s="3513">
        <v>14824.02</v>
      </c>
      <c r="AS13" s="3513">
        <v>14824.02</v>
      </c>
      <c r="AT13" s="3513">
        <v>988.27</v>
      </c>
      <c r="AU13" s="3513">
        <v>988.27</v>
      </c>
      <c r="AV13" s="3513">
        <v>6900</v>
      </c>
      <c r="AW13" s="3513">
        <v>6900</v>
      </c>
      <c r="AX13" s="3513" t="s">
        <v>3867</v>
      </c>
      <c r="AY13" s="3513" t="s">
        <v>3867</v>
      </c>
      <c r="AZ13" s="3513">
        <v>0</v>
      </c>
      <c r="BA13" s="3513" t="s">
        <v>3867</v>
      </c>
      <c r="BB13" s="3513" t="s">
        <v>3867</v>
      </c>
      <c r="BC13" s="3513" t="s">
        <v>3867</v>
      </c>
      <c r="BD13" s="3513" t="s">
        <v>3867</v>
      </c>
      <c r="BE13" s="3513" t="s">
        <v>3867</v>
      </c>
      <c r="BF13" s="3513" t="s">
        <v>3867</v>
      </c>
      <c r="BG13" s="3513" t="s">
        <v>3867</v>
      </c>
      <c r="BH13" s="3513" t="s">
        <v>3880</v>
      </c>
      <c r="BI13" s="3513" t="s">
        <v>3881</v>
      </c>
      <c r="BJ13" s="3513" t="s">
        <v>3882</v>
      </c>
      <c r="BK13" s="3513" t="s">
        <v>3883</v>
      </c>
      <c r="BL13" s="3522">
        <v>44268.000497685185</v>
      </c>
      <c r="BM13" s="3513">
        <v>32700</v>
      </c>
    </row>
    <row r="14" spans="1:65">
      <c r="A14" s="3513" t="s">
        <v>3965</v>
      </c>
      <c r="B14" s="3513" t="s">
        <v>3861</v>
      </c>
      <c r="C14" s="3513" t="s">
        <v>3862</v>
      </c>
      <c r="D14" s="3513" t="s">
        <v>3863</v>
      </c>
      <c r="E14" s="3513" t="s">
        <v>3950</v>
      </c>
      <c r="F14" s="3513" t="s">
        <v>3966</v>
      </c>
      <c r="G14" s="3513" t="s">
        <v>3966</v>
      </c>
      <c r="H14" s="3513" t="s">
        <v>3967</v>
      </c>
      <c r="I14" s="3513">
        <v>28003.32</v>
      </c>
      <c r="J14" s="3513">
        <v>70008</v>
      </c>
      <c r="K14" s="3513" t="s">
        <v>3867</v>
      </c>
      <c r="L14" s="3513" t="s">
        <v>3867</v>
      </c>
      <c r="M14" s="3513">
        <v>0</v>
      </c>
      <c r="N14" s="3513">
        <v>0</v>
      </c>
      <c r="O14" s="3513" t="s">
        <v>3868</v>
      </c>
      <c r="P14" s="3513" t="s">
        <v>3869</v>
      </c>
      <c r="Q14" s="3513" t="s">
        <v>3870</v>
      </c>
      <c r="R14" s="3513" t="s">
        <v>3968</v>
      </c>
      <c r="S14" s="3513" t="s">
        <v>3969</v>
      </c>
      <c r="T14" s="3513">
        <v>2.5</v>
      </c>
      <c r="U14" s="3513" t="s">
        <v>3867</v>
      </c>
      <c r="V14" s="3513" t="s">
        <v>3970</v>
      </c>
      <c r="W14" s="3513" t="s">
        <v>3971</v>
      </c>
      <c r="X14" s="3513" t="s">
        <v>3873</v>
      </c>
      <c r="Y14" s="3513" t="s">
        <v>3874</v>
      </c>
      <c r="Z14" s="3513" t="s">
        <v>3867</v>
      </c>
      <c r="AA14" s="3513" t="s">
        <v>3867</v>
      </c>
      <c r="AB14" s="3513" t="s">
        <v>3867</v>
      </c>
      <c r="AC14" s="3513" t="s">
        <v>3867</v>
      </c>
      <c r="AD14" s="3522">
        <v>43707.000497685185</v>
      </c>
      <c r="AE14" s="3522">
        <v>43737.000497685185</v>
      </c>
      <c r="AF14" s="3522">
        <v>43755.000497685185</v>
      </c>
      <c r="AG14" s="3522">
        <v>43755.000497685185</v>
      </c>
      <c r="AH14" s="3513" t="s">
        <v>3875</v>
      </c>
      <c r="AI14" s="3513" t="s">
        <v>3925</v>
      </c>
      <c r="AJ14" s="3513" t="s">
        <v>3972</v>
      </c>
      <c r="AK14" s="3513" t="s">
        <v>3973</v>
      </c>
      <c r="AL14" s="3513" t="s">
        <v>3974</v>
      </c>
      <c r="AM14" s="3513" t="s">
        <v>3867</v>
      </c>
      <c r="AN14" s="3513">
        <v>96800</v>
      </c>
      <c r="AO14" s="3513">
        <v>19500</v>
      </c>
      <c r="AP14" s="3522">
        <v>43754.625497685185</v>
      </c>
      <c r="AQ14" s="3513">
        <v>97800</v>
      </c>
      <c r="AR14" s="3513">
        <v>34567.33</v>
      </c>
      <c r="AS14" s="3513">
        <v>34924.43</v>
      </c>
      <c r="AT14" s="3513">
        <v>2304.4899999999998</v>
      </c>
      <c r="AU14" s="3513">
        <v>2328.3000000000002</v>
      </c>
      <c r="AV14" s="3513">
        <v>13827</v>
      </c>
      <c r="AW14" s="3513">
        <v>13970</v>
      </c>
      <c r="AX14" s="3513" t="s">
        <v>3867</v>
      </c>
      <c r="AY14" s="3513" t="s">
        <v>3867</v>
      </c>
      <c r="AZ14" s="3513">
        <v>1.03</v>
      </c>
      <c r="BA14" s="3513" t="s">
        <v>3867</v>
      </c>
      <c r="BB14" s="3513" t="s">
        <v>3867</v>
      </c>
      <c r="BC14" s="3513" t="s">
        <v>3867</v>
      </c>
      <c r="BD14" s="3513" t="s">
        <v>3867</v>
      </c>
      <c r="BE14" s="3513" t="s">
        <v>3867</v>
      </c>
      <c r="BF14" s="3513" t="s">
        <v>3867</v>
      </c>
      <c r="BG14" s="3513" t="s">
        <v>3867</v>
      </c>
      <c r="BH14" s="3513" t="s">
        <v>3894</v>
      </c>
      <c r="BI14" s="3513" t="s">
        <v>3881</v>
      </c>
      <c r="BJ14" s="3513" t="s">
        <v>3882</v>
      </c>
      <c r="BK14" s="3513" t="s">
        <v>3883</v>
      </c>
      <c r="BL14" s="3513" t="s">
        <v>3867</v>
      </c>
      <c r="BM14" s="3513" t="s">
        <v>3867</v>
      </c>
    </row>
    <row r="15" spans="1:65">
      <c r="A15" s="3513" t="s">
        <v>3975</v>
      </c>
      <c r="B15" s="3513" t="s">
        <v>3861</v>
      </c>
      <c r="C15" s="3513" t="s">
        <v>3862</v>
      </c>
      <c r="D15" s="3513" t="s">
        <v>3863</v>
      </c>
      <c r="E15" s="3513" t="s">
        <v>3976</v>
      </c>
      <c r="F15" s="3513" t="s">
        <v>3977</v>
      </c>
      <c r="G15" s="3513" t="s">
        <v>3977</v>
      </c>
      <c r="H15" s="3513" t="s">
        <v>3978</v>
      </c>
      <c r="I15" s="3513">
        <v>35230.230000000003</v>
      </c>
      <c r="J15" s="3513">
        <v>88076</v>
      </c>
      <c r="K15" s="3513" t="s">
        <v>3867</v>
      </c>
      <c r="L15" s="3513" t="s">
        <v>3867</v>
      </c>
      <c r="M15" s="3513">
        <v>0</v>
      </c>
      <c r="N15" s="3513">
        <v>0</v>
      </c>
      <c r="O15" s="3513" t="s">
        <v>3868</v>
      </c>
      <c r="P15" s="3513" t="s">
        <v>3869</v>
      </c>
      <c r="Q15" s="3513" t="s">
        <v>3870</v>
      </c>
      <c r="R15" s="3513" t="s">
        <v>3968</v>
      </c>
      <c r="S15" s="3513">
        <v>2.5</v>
      </c>
      <c r="T15" s="3513">
        <v>2.5</v>
      </c>
      <c r="U15" s="3513" t="s">
        <v>3867</v>
      </c>
      <c r="V15" s="3513" t="s">
        <v>3867</v>
      </c>
      <c r="W15" s="3513" t="s">
        <v>3867</v>
      </c>
      <c r="X15" s="3513" t="s">
        <v>3873</v>
      </c>
      <c r="Y15" s="3513" t="s">
        <v>3874</v>
      </c>
      <c r="Z15" s="3513" t="s">
        <v>3867</v>
      </c>
      <c r="AA15" s="3513" t="s">
        <v>3867</v>
      </c>
      <c r="AB15" s="3513" t="s">
        <v>3867</v>
      </c>
      <c r="AC15" s="3513" t="s">
        <v>3867</v>
      </c>
      <c r="AD15" s="3522">
        <v>42831.000497685185</v>
      </c>
      <c r="AE15" s="3522">
        <v>42852.000497685185</v>
      </c>
      <c r="AF15" s="3522">
        <v>42867.000497685185</v>
      </c>
      <c r="AG15" s="3522">
        <v>42867.000497685185</v>
      </c>
      <c r="AH15" s="3513" t="s">
        <v>3875</v>
      </c>
      <c r="AI15" s="3513" t="s">
        <v>3925</v>
      </c>
      <c r="AJ15" s="3513" t="s">
        <v>3979</v>
      </c>
      <c r="AK15" s="3513" t="s">
        <v>3980</v>
      </c>
      <c r="AL15" s="3513" t="s">
        <v>3867</v>
      </c>
      <c r="AM15" s="3513" t="s">
        <v>3867</v>
      </c>
      <c r="AN15" s="3513">
        <v>62000</v>
      </c>
      <c r="AO15" s="3513">
        <v>18600</v>
      </c>
      <c r="AP15" s="3513" t="s">
        <v>3867</v>
      </c>
      <c r="AQ15" s="3513">
        <v>62000</v>
      </c>
      <c r="AR15" s="3513">
        <v>17598.52</v>
      </c>
      <c r="AS15" s="3513">
        <v>17598.52</v>
      </c>
      <c r="AT15" s="3513">
        <v>1173.23</v>
      </c>
      <c r="AU15" s="3513">
        <v>1173.23</v>
      </c>
      <c r="AV15" s="3513">
        <v>7039</v>
      </c>
      <c r="AW15" s="3513">
        <v>7039</v>
      </c>
      <c r="AX15" s="3513" t="s">
        <v>3867</v>
      </c>
      <c r="AY15" s="3513" t="s">
        <v>3867</v>
      </c>
      <c r="AZ15" s="3513">
        <v>0</v>
      </c>
      <c r="BA15" s="3513" t="s">
        <v>3867</v>
      </c>
      <c r="BB15" s="3513" t="s">
        <v>3867</v>
      </c>
      <c r="BC15" s="3513" t="s">
        <v>3867</v>
      </c>
      <c r="BD15" s="3513" t="s">
        <v>3867</v>
      </c>
      <c r="BE15" s="3513" t="s">
        <v>3867</v>
      </c>
      <c r="BF15" s="3513" t="s">
        <v>3867</v>
      </c>
      <c r="BG15" s="3513" t="s">
        <v>3867</v>
      </c>
      <c r="BH15" s="3513" t="s">
        <v>3981</v>
      </c>
      <c r="BI15" s="3513" t="s">
        <v>3881</v>
      </c>
      <c r="BJ15" s="3513" t="s">
        <v>3882</v>
      </c>
      <c r="BK15" s="3513" t="s">
        <v>3883</v>
      </c>
      <c r="BL15" s="3522">
        <v>42917.000497685185</v>
      </c>
      <c r="BM15" s="3513">
        <v>62000</v>
      </c>
    </row>
    <row r="16" spans="1:65">
      <c r="A16" s="3513" t="s">
        <v>3982</v>
      </c>
      <c r="B16" s="3513" t="s">
        <v>3861</v>
      </c>
      <c r="C16" s="3513" t="s">
        <v>3862</v>
      </c>
      <c r="D16" s="3513" t="s">
        <v>3863</v>
      </c>
      <c r="E16" s="3513" t="s">
        <v>3864</v>
      </c>
      <c r="F16" s="3513" t="s">
        <v>3983</v>
      </c>
      <c r="G16" s="3513" t="s">
        <v>3983</v>
      </c>
      <c r="H16" s="3513" t="s">
        <v>3984</v>
      </c>
      <c r="I16" s="3513">
        <v>2070793</v>
      </c>
      <c r="J16" s="3513">
        <v>1642730</v>
      </c>
      <c r="K16" s="3513" t="s">
        <v>3867</v>
      </c>
      <c r="L16" s="3513" t="s">
        <v>3867</v>
      </c>
      <c r="M16" s="3513">
        <v>0</v>
      </c>
      <c r="N16" s="3513">
        <v>0</v>
      </c>
      <c r="O16" s="3513" t="s">
        <v>3868</v>
      </c>
      <c r="P16" s="3513" t="s">
        <v>3985</v>
      </c>
      <c r="Q16" s="3513" t="s">
        <v>3986</v>
      </c>
      <c r="R16" s="3513" t="s">
        <v>3923</v>
      </c>
      <c r="S16" s="3513">
        <v>0.79</v>
      </c>
      <c r="T16" s="3513">
        <v>0.79</v>
      </c>
      <c r="U16" s="3513" t="s">
        <v>3867</v>
      </c>
      <c r="V16" s="3513" t="s">
        <v>3867</v>
      </c>
      <c r="W16" s="3513" t="s">
        <v>3867</v>
      </c>
      <c r="X16" s="3513" t="s">
        <v>3873</v>
      </c>
      <c r="Y16" s="3513" t="s">
        <v>3874</v>
      </c>
      <c r="Z16" s="3513" t="s">
        <v>3867</v>
      </c>
      <c r="AA16" s="3513" t="s">
        <v>3867</v>
      </c>
      <c r="AB16" s="3513" t="s">
        <v>3867</v>
      </c>
      <c r="AC16" s="3513" t="s">
        <v>3867</v>
      </c>
      <c r="AD16" s="3522">
        <v>42524.000497685185</v>
      </c>
      <c r="AE16" s="3522">
        <v>42544.000497685185</v>
      </c>
      <c r="AF16" s="3522">
        <v>42558.000497685185</v>
      </c>
      <c r="AG16" s="3522">
        <v>42558.000497685185</v>
      </c>
      <c r="AH16" s="3513" t="s">
        <v>3875</v>
      </c>
      <c r="AI16" s="3513" t="s">
        <v>3925</v>
      </c>
      <c r="AJ16" s="3513" t="s">
        <v>3987</v>
      </c>
      <c r="AK16" s="3513" t="s">
        <v>3936</v>
      </c>
      <c r="AL16" s="3513" t="s">
        <v>3879</v>
      </c>
      <c r="AM16" s="3513" t="s">
        <v>3867</v>
      </c>
      <c r="AN16" s="3513">
        <v>870000</v>
      </c>
      <c r="AO16" s="3513">
        <v>220000</v>
      </c>
      <c r="AP16" s="3513" t="s">
        <v>3867</v>
      </c>
      <c r="AQ16" s="3513">
        <v>870000</v>
      </c>
      <c r="AR16" s="3513">
        <v>4201.28</v>
      </c>
      <c r="AS16" s="3513">
        <v>4201.28</v>
      </c>
      <c r="AT16" s="3513">
        <v>280.08999999999997</v>
      </c>
      <c r="AU16" s="3513">
        <v>280.08999999999997</v>
      </c>
      <c r="AV16" s="3513">
        <v>5296</v>
      </c>
      <c r="AW16" s="3513">
        <v>5296</v>
      </c>
      <c r="AX16" s="3513" t="s">
        <v>3867</v>
      </c>
      <c r="AY16" s="3513" t="s">
        <v>3867</v>
      </c>
      <c r="AZ16" s="3513">
        <v>0</v>
      </c>
      <c r="BA16" s="3513" t="s">
        <v>3867</v>
      </c>
      <c r="BB16" s="3513" t="s">
        <v>3867</v>
      </c>
      <c r="BC16" s="3513" t="s">
        <v>3867</v>
      </c>
      <c r="BD16" s="3513" t="s">
        <v>3867</v>
      </c>
      <c r="BE16" s="3513" t="s">
        <v>3867</v>
      </c>
      <c r="BF16" s="3513" t="s">
        <v>3867</v>
      </c>
      <c r="BG16" s="3513" t="s">
        <v>3867</v>
      </c>
      <c r="BH16" s="3513" t="s">
        <v>3880</v>
      </c>
      <c r="BI16" s="3513" t="s">
        <v>3881</v>
      </c>
      <c r="BJ16" s="3513" t="s">
        <v>3882</v>
      </c>
      <c r="BK16" s="3513" t="s">
        <v>3883</v>
      </c>
      <c r="BL16" s="3513" t="s">
        <v>3867</v>
      </c>
      <c r="BM16" s="3513" t="s">
        <v>3867</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N18" sqref="N1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0" width="12" style="1996"/>
    <col min="21" max="21" width="12.625" style="1996" bestFit="1" customWidth="1"/>
    <col min="22"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65301.39</v>
      </c>
      <c r="E1" s="1993"/>
      <c r="F1" s="1993"/>
      <c r="G1" s="1993"/>
      <c r="H1" s="1993"/>
      <c r="I1" s="1993"/>
      <c r="J1" s="1993"/>
      <c r="K1" s="1118"/>
      <c r="L1" s="1994" t="s">
        <v>1926</v>
      </c>
      <c r="M1" s="863">
        <f>SUMPRODUCT((区片价!B5:B9=I2)*(区片价!C3:G3=E2)*(区片价!C5:G9))</f>
        <v>0</v>
      </c>
      <c r="N1" s="866">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102990</v>
      </c>
      <c r="C2" s="1997" t="s">
        <v>1933</v>
      </c>
      <c r="D2" s="1998" t="s">
        <v>1934</v>
      </c>
      <c r="E2" s="3416" t="s">
        <v>673</v>
      </c>
      <c r="F2" s="1998" t="s">
        <v>1935</v>
      </c>
      <c r="G2" s="1999" t="str">
        <f>IF(E2="商业",项目基本情况!B37,IF(E2="办公",项目基本情况!C37,IF(E2="住宅",项目基本情况!D37,IF(E2="工业",项目基本情况!E37,项目基本情况!F37))))</f>
        <v>四级</v>
      </c>
      <c r="H2" s="1998" t="s">
        <v>1936</v>
      </c>
      <c r="I2" s="1999" t="str">
        <f>IF(E2="商业",项目基本情况!B38,IF(E2="办公",项目基本情况!C38,IF(E2="住宅",项目基本情况!D38,IF(E2="工业",项目基本情况!E38,项目基本情况!F38))))</f>
        <v>Ⅳ-通1</v>
      </c>
      <c r="J2" s="2000"/>
      <c r="K2" s="1118"/>
      <c r="L2" s="2001" t="s">
        <v>1937</v>
      </c>
      <c r="M2" s="864">
        <f>SUMPRODUCT((区片价!B10:B29=I2)*(区片价!C3:G3=E2)*(区片价!C10:G29))</f>
        <v>0</v>
      </c>
      <c r="N2" s="866">
        <f>SUMPRODUCT((因素修正幅度!B10:B29=I2)*(因素修正幅度!C3:G3=E2)*(因素修正幅度!C10:G29))</f>
        <v>0</v>
      </c>
      <c r="O2" s="1118"/>
      <c r="P2" s="1118"/>
      <c r="Q2" s="1118"/>
      <c r="R2" s="1210">
        <v>1</v>
      </c>
      <c r="S2" s="3355">
        <f>ROUND(SUMPRODUCT((B106:B110=R2)*(C105:N105=G2)*(C106:N110)),4)</f>
        <v>1.5019</v>
      </c>
      <c r="T2" s="3355">
        <f t="shared" ref="T2:T16" si="0">ROUND($C$5*$C$22*$C$23*$C$24*S2*$C$28,0)</f>
        <v>23633</v>
      </c>
      <c r="U2" s="1211">
        <f>'数据-取费表'!V20</f>
        <v>12114.1525</v>
      </c>
      <c r="V2" s="3355">
        <f>ROUND(T2*U2/10000,0)</f>
        <v>28629</v>
      </c>
      <c r="W2" s="1214"/>
      <c r="X2" s="1214"/>
      <c r="Y2" s="1214"/>
      <c r="Z2" s="1214"/>
      <c r="AA2" s="1214"/>
      <c r="AB2" s="1214"/>
      <c r="AC2" s="1215"/>
      <c r="AD2" s="1216"/>
      <c r="AE2" s="1216"/>
      <c r="AF2" s="1216"/>
      <c r="AG2" s="1216"/>
      <c r="AH2" s="1216"/>
      <c r="AI2" s="1216"/>
      <c r="AJ2" s="1217"/>
    </row>
    <row r="3" spans="1:36" ht="15.75">
      <c r="A3" s="203" t="s">
        <v>1938</v>
      </c>
      <c r="B3" s="204">
        <f>ROUND(B2*10000/D1,0)</f>
        <v>15771</v>
      </c>
      <c r="C3" s="1997" t="s">
        <v>1939</v>
      </c>
      <c r="D3" s="1998" t="s">
        <v>1940</v>
      </c>
      <c r="E3" s="3414" t="s">
        <v>2431</v>
      </c>
      <c r="F3" s="2002" t="s">
        <v>4020</v>
      </c>
      <c r="G3" s="752">
        <f>IF(F3="宗地容积率",'数据-汇总表'!I4,IF(F3="估价对象容积率",'数据-汇总表'!I6,'数据-汇总表'!I7))</f>
        <v>5.99</v>
      </c>
      <c r="H3" s="170" t="s">
        <v>1941</v>
      </c>
      <c r="I3" s="775">
        <v>1</v>
      </c>
      <c r="J3" s="2000" t="s">
        <v>1942</v>
      </c>
      <c r="K3" s="1118"/>
      <c r="L3" s="2001" t="s">
        <v>1943</v>
      </c>
      <c r="M3" s="864">
        <f>SUMPRODUCT((区片价!B30:B54=I2)*(区片价!C3:G3=E2)*(区片价!C30:G54))</f>
        <v>0</v>
      </c>
      <c r="N3" s="866">
        <f>SUMPRODUCT((因素修正幅度!B30:B54=I2)*(因素修正幅度!C3:G3=E2)*(因素修正幅度!C30:G54))</f>
        <v>0</v>
      </c>
      <c r="O3" s="1118"/>
      <c r="P3" s="1118"/>
      <c r="Q3" s="1118"/>
      <c r="R3" s="1210">
        <v>2</v>
      </c>
      <c r="S3" s="3355">
        <f>ROUND(SUMPRODUCT((B106:B110=R3)*(C105:N105=G2)*(C106:N110)),4)</f>
        <v>1.1838</v>
      </c>
      <c r="T3" s="3355">
        <f t="shared" si="0"/>
        <v>18628</v>
      </c>
      <c r="U3" s="1211">
        <f>'数据-取费表'!V21</f>
        <v>12114.1525</v>
      </c>
      <c r="V3" s="3355">
        <f t="shared" ref="V3:V16" si="1">ROUND(T3*U3/10000,0)</f>
        <v>22566</v>
      </c>
      <c r="W3" s="1214"/>
      <c r="X3" s="1214"/>
      <c r="Y3" s="1214"/>
      <c r="Z3" s="1214"/>
      <c r="AA3" s="1214"/>
      <c r="AB3" s="1214"/>
      <c r="AC3" s="1215"/>
      <c r="AD3" s="1216"/>
      <c r="AE3" s="1216"/>
      <c r="AF3" s="1216"/>
      <c r="AG3" s="1216"/>
      <c r="AH3" s="1216"/>
      <c r="AI3" s="1216"/>
      <c r="AJ3" s="1217"/>
    </row>
    <row r="4" spans="1:36" ht="15.75">
      <c r="A4" s="3777"/>
      <c r="B4" s="3778"/>
      <c r="C4" s="3778"/>
      <c r="D4" s="3779"/>
      <c r="E4" s="3779"/>
      <c r="F4" s="3779"/>
      <c r="G4" s="3779"/>
      <c r="H4" s="3779"/>
      <c r="I4" s="3779"/>
      <c r="J4" s="3780"/>
      <c r="K4" s="1118"/>
      <c r="L4" s="2001" t="s">
        <v>1944</v>
      </c>
      <c r="M4" s="864">
        <f>SUMPRODUCT((区片价!B55:B86=I2)*(区片价!C3:G3=E2)*(区片价!C55:G86))</f>
        <v>16610</v>
      </c>
      <c r="N4" s="866">
        <f>SUMPRODUCT((因素修正幅度!B55:B86=I2)*(因素修正幅度!C3:G3=E2)*(因素修正幅度!C55:G86))</f>
        <v>9.8000000000000004E-2</v>
      </c>
      <c r="O4" s="1118"/>
      <c r="P4" s="1118"/>
      <c r="Q4" s="1118"/>
      <c r="R4" s="1210">
        <v>3</v>
      </c>
      <c r="S4" s="3355">
        <f>ROUND(SUMPRODUCT((B106:B110=R4)*(C105:N105=G2)*(C106:N110)),4)</f>
        <v>1.0004999999999999</v>
      </c>
      <c r="T4" s="3355">
        <f t="shared" si="0"/>
        <v>15743</v>
      </c>
      <c r="U4" s="1211">
        <f>'数据-取费表'!V22</f>
        <v>12114.1525</v>
      </c>
      <c r="V4" s="3355">
        <f t="shared" si="1"/>
        <v>19071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16610</v>
      </c>
      <c r="D5" s="1337">
        <f>ROUND(C6*C17+C20,0)</f>
        <v>16610</v>
      </c>
      <c r="E5" s="1337"/>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8"/>
      <c r="P5" s="1118"/>
      <c r="Q5" s="1118"/>
      <c r="R5" s="1210">
        <v>4</v>
      </c>
      <c r="S5" s="3355">
        <f>ROUND(SUMPRODUCT((B106:B110=R5)*(C105:N105=G2)*(C106:N110)),4)</f>
        <v>0.88239999999999996</v>
      </c>
      <c r="T5" s="3355">
        <f t="shared" si="0"/>
        <v>13885</v>
      </c>
      <c r="U5" s="1211">
        <f>'数据-取费表'!V23</f>
        <v>12114.1525</v>
      </c>
      <c r="V5" s="3355">
        <f t="shared" si="1"/>
        <v>16821</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16610</v>
      </c>
      <c r="D6" s="2015"/>
      <c r="E6" s="2016"/>
      <c r="F6" s="2016"/>
      <c r="G6" s="2017"/>
      <c r="H6" s="2017"/>
      <c r="I6" s="2017"/>
      <c r="J6" s="2018"/>
      <c r="K6" s="1382"/>
      <c r="L6" s="2001" t="s">
        <v>1949</v>
      </c>
      <c r="M6" s="864">
        <f>SUMPRODUCT((区片价!B127:B189=I2)*(区片价!C3:G3=E2)*(区片价!C127:G189))</f>
        <v>0</v>
      </c>
      <c r="N6" s="866">
        <f>SUMPRODUCT((因素修正幅度!B127:B189=I2)*(因素修正幅度!C3:G3=E2)*(因素修正幅度!C127:G189))</f>
        <v>0</v>
      </c>
      <c r="O6" s="1118"/>
      <c r="P6" s="1118"/>
      <c r="Q6" s="1118"/>
      <c r="R6" s="1210">
        <v>5</v>
      </c>
      <c r="S6" s="3355">
        <f>ROUND(SUMPRODUCT((B106:B110=R6)*(C105:N105=G2)*(C106:N110)),4)</f>
        <v>0.84799999999999998</v>
      </c>
      <c r="T6" s="3355">
        <f t="shared" si="0"/>
        <v>13344</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3229</v>
      </c>
      <c r="B7" s="2019" t="s">
        <v>1950</v>
      </c>
      <c r="C7" s="755">
        <f>IF(C8="不临65条商业街",1,ROUND(1+(1.6*E8+1.2*E9+0.8*E10+0.4*E11)*C9,4))</f>
        <v>1</v>
      </c>
      <c r="D7" s="2020" t="s">
        <v>1951</v>
      </c>
      <c r="E7" s="776"/>
      <c r="F7" s="2021"/>
      <c r="G7" s="2022"/>
      <c r="H7" s="2022"/>
      <c r="I7" s="2022"/>
      <c r="J7" s="2023"/>
      <c r="K7" s="1382"/>
      <c r="L7" s="2001" t="s">
        <v>1952</v>
      </c>
      <c r="M7" s="864">
        <f>SUMPRODUCT((区片价!B190:B233=I2)*(区片价!C3:G3=E2)*(区片价!C190:G233))</f>
        <v>0</v>
      </c>
      <c r="N7" s="866">
        <f>SUMPRODUCT((因素修正幅度!B190:B233=I2)*(因素修正幅度!C3:G3=E2)*(因素修正幅度!C190:G233))</f>
        <v>0</v>
      </c>
      <c r="O7" s="1118"/>
      <c r="P7" s="1118"/>
      <c r="Q7" s="1118"/>
      <c r="R7" s="1210">
        <v>6</v>
      </c>
      <c r="S7" s="3413"/>
      <c r="T7" s="3355">
        <f t="shared" si="0"/>
        <v>0</v>
      </c>
      <c r="U7" s="1211"/>
      <c r="V7" s="3355">
        <f t="shared" si="1"/>
        <v>0</v>
      </c>
      <c r="W7" s="1356" t="s">
        <v>1953</v>
      </c>
      <c r="X7" s="1212" t="str">
        <f>G2</f>
        <v>四级</v>
      </c>
      <c r="Y7" s="1212" t="s">
        <v>1954</v>
      </c>
      <c r="Z7" s="1213">
        <f>G3</f>
        <v>5.99</v>
      </c>
      <c r="AA7" s="1214"/>
      <c r="AB7" s="1214"/>
      <c r="AC7" s="1215"/>
      <c r="AD7" s="1216"/>
      <c r="AE7" s="1216"/>
      <c r="AF7" s="1216"/>
      <c r="AG7" s="1216"/>
      <c r="AH7" s="1216"/>
      <c r="AI7" s="1216"/>
      <c r="AJ7" s="1217"/>
    </row>
    <row r="8" spans="1:36" ht="25.5">
      <c r="A8" s="3293"/>
      <c r="B8" s="170" t="s">
        <v>1955</v>
      </c>
      <c r="C8" s="2024" t="s">
        <v>4021</v>
      </c>
      <c r="D8" s="756" t="s">
        <v>112</v>
      </c>
      <c r="E8" s="757" t="e">
        <f>ROUND(C11/E7,4)</f>
        <v>#DIV/0!</v>
      </c>
      <c r="F8" s="2025" t="s">
        <v>1956</v>
      </c>
      <c r="G8" s="2026"/>
      <c r="H8" s="2026"/>
      <c r="I8" s="2026"/>
      <c r="J8" s="2027"/>
      <c r="K8" s="1118"/>
      <c r="L8" s="2001" t="s">
        <v>1957</v>
      </c>
      <c r="M8" s="864">
        <f>SUMPRODUCT((区片价!B234:B276=I2)*(区片价!C3:G3=E2)*(区片价!C234:G276))</f>
        <v>0</v>
      </c>
      <c r="N8" s="866">
        <f>SUMPRODUCT((因素修正幅度!B234:B276=I2)*(因素修正幅度!C3:G3=E2)*(因素修正幅度!C234:G276))</f>
        <v>0</v>
      </c>
      <c r="O8" s="1118"/>
      <c r="P8" s="1118"/>
      <c r="Q8" s="1118"/>
      <c r="R8" s="1210">
        <v>7</v>
      </c>
      <c r="S8" s="1211"/>
      <c r="T8" s="3355">
        <f t="shared" si="0"/>
        <v>0</v>
      </c>
      <c r="U8" s="1211"/>
      <c r="V8" s="3355">
        <f t="shared" si="1"/>
        <v>0</v>
      </c>
      <c r="W8" s="3774" t="s">
        <v>1958</v>
      </c>
      <c r="X8" s="377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8">
        <f>SUMIF(修正!C71:C138,C8,修正!E71:E138)</f>
        <v>0</v>
      </c>
      <c r="D9" s="171" t="s">
        <v>113</v>
      </c>
      <c r="E9" s="171" t="e">
        <f>ROUND(C11/E7,4)</f>
        <v>#DIV/0!</v>
      </c>
      <c r="F9" s="2025" t="s">
        <v>1972</v>
      </c>
      <c r="G9" s="2026"/>
      <c r="H9" s="2026"/>
      <c r="I9" s="2026"/>
      <c r="J9" s="2027"/>
      <c r="K9" s="1118"/>
      <c r="L9" s="2001" t="s">
        <v>1973</v>
      </c>
      <c r="M9" s="864">
        <f>SUMPRODUCT((区片价!B277:B326=I2)*(区片价!C3:G3=E2)*(区片价!C277:G326))</f>
        <v>0</v>
      </c>
      <c r="N9" s="866">
        <f>SUMPRODUCT((因素修正幅度!B277:B326=I2)*(因素修正幅度!C3:G3=E2)*(因素修正幅度!C277:G326))</f>
        <v>0</v>
      </c>
      <c r="O9" s="1118"/>
      <c r="P9" s="1118"/>
      <c r="Q9" s="1118"/>
      <c r="R9" s="1210">
        <v>8</v>
      </c>
      <c r="S9" s="1211"/>
      <c r="T9" s="3355">
        <f t="shared" si="0"/>
        <v>0</v>
      </c>
      <c r="U9" s="1211"/>
      <c r="V9" s="3355">
        <f t="shared" si="1"/>
        <v>0</v>
      </c>
      <c r="W9" s="3776"/>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8"/>
      <c r="L10" s="2001" t="s">
        <v>1976</v>
      </c>
      <c r="M10" s="864">
        <f>SUMPRODUCT((区片价!B327:B357=I2)*(区片价!C3:G3=E2)*(区片价!C327:G357))</f>
        <v>0</v>
      </c>
      <c r="N10" s="866">
        <f>SUMPRODUCT((因素修正幅度!B327:B357=I2)*(因素修正幅度!C3:G3=E2)*(因素修正幅度!C327:G357))</f>
        <v>0</v>
      </c>
      <c r="O10" s="1118"/>
      <c r="P10" s="1118"/>
      <c r="Q10" s="1118"/>
      <c r="R10" s="1210">
        <v>9</v>
      </c>
      <c r="S10" s="1211"/>
      <c r="T10" s="3355">
        <f t="shared" si="0"/>
        <v>0</v>
      </c>
      <c r="U10" s="1211"/>
      <c r="V10" s="3355">
        <f t="shared" si="1"/>
        <v>0</v>
      </c>
      <c r="W10" s="377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1977</v>
      </c>
      <c r="C11" s="759">
        <f>C10/4</f>
        <v>0</v>
      </c>
      <c r="D11" s="759" t="s">
        <v>115</v>
      </c>
      <c r="E11" s="759" t="e">
        <f>ROUND(C11/E7,4)</f>
        <v>#DIV/0!</v>
      </c>
      <c r="F11" s="2029" t="s">
        <v>1978</v>
      </c>
      <c r="G11" s="2030"/>
      <c r="H11" s="2030"/>
      <c r="I11" s="2030"/>
      <c r="J11" s="2031"/>
      <c r="K11" s="1118"/>
      <c r="L11" s="2001" t="s">
        <v>1979</v>
      </c>
      <c r="M11" s="864">
        <f>SUMPRODUCT((区片价!B358:B377=I2)*(区片价!C3:G3=E2)*(区片价!C358:G377))</f>
        <v>0</v>
      </c>
      <c r="N11" s="866">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7" t="s">
        <v>1982</v>
      </c>
      <c r="M12" s="865">
        <f>SUMPRODUCT((区片价!B378:B384=I2)*(区片价!C3:G3=E2)*(区片价!C378:G384))</f>
        <v>0</v>
      </c>
      <c r="N12" s="866">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3234</v>
      </c>
      <c r="B13" s="2032" t="s">
        <v>1980</v>
      </c>
      <c r="C13" s="755">
        <f>ROUND(C16*D16*E16*F16*G16*H16*I16*J16,4)</f>
        <v>0</v>
      </c>
      <c r="D13" s="2033" t="s">
        <v>1981</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1983</v>
      </c>
      <c r="C14" s="2039" t="s">
        <v>1984</v>
      </c>
      <c r="D14" s="1348" t="s">
        <v>1985</v>
      </c>
      <c r="E14" s="27" t="s">
        <v>1986</v>
      </c>
      <c r="F14" s="3306" t="s">
        <v>3235</v>
      </c>
      <c r="G14" s="3306" t="s">
        <v>3235</v>
      </c>
      <c r="H14" s="3306" t="s">
        <v>3235</v>
      </c>
      <c r="I14" s="3306" t="s">
        <v>3235</v>
      </c>
      <c r="J14" s="3306" t="s">
        <v>3235</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3236</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3240</v>
      </c>
      <c r="E18" s="3323"/>
      <c r="F18" s="3318" t="s">
        <v>3243</v>
      </c>
      <c r="G18" s="3322">
        <f>ROUND(1-(1/(POWER(1+G24,E18))),4)</f>
        <v>0</v>
      </c>
      <c r="H18" s="3318" t="s">
        <v>3245</v>
      </c>
      <c r="I18" s="3322">
        <f>ROUND(1-(1/(POWER(1+G24,J24))),4)</f>
        <v>0.88249999999999995</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3241</v>
      </c>
      <c r="E19" s="3332"/>
      <c r="F19" s="3333" t="s">
        <v>3244</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781" t="s">
        <v>3246</v>
      </c>
      <c r="B20" s="167" t="s">
        <v>1992</v>
      </c>
      <c r="C20" s="3319">
        <f>ROUND(IF(F21="与级别开发程度一致",0,(G21-E21)/C21),0)</f>
        <v>0</v>
      </c>
      <c r="D20" s="3335" t="s">
        <v>1996</v>
      </c>
      <c r="E20" s="3336"/>
      <c r="F20" s="3787" t="s">
        <v>1993</v>
      </c>
      <c r="G20" s="3788"/>
      <c r="H20" s="3320" t="s">
        <v>3391</v>
      </c>
      <c r="I20" s="3320" t="s">
        <v>3392</v>
      </c>
      <c r="J20" s="3321" t="s">
        <v>3393</v>
      </c>
      <c r="K20" s="2045" t="s">
        <v>3394</v>
      </c>
      <c r="L20" s="2045" t="s">
        <v>3395</v>
      </c>
      <c r="M20" s="2045" t="s">
        <v>3396</v>
      </c>
      <c r="N20" s="2045" t="s">
        <v>3397</v>
      </c>
      <c r="O20" s="2046" t="s">
        <v>4022</v>
      </c>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26.25" thickBot="1">
      <c r="A21" s="3782"/>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4023</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1998</v>
      </c>
      <c r="C22" s="2158">
        <f>SUMIF(修正!C20:C51,E3,修正!E20:E51)</f>
        <v>1</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1999</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2" t="s">
        <v>2000</v>
      </c>
      <c r="E23" s="761">
        <v>44197</v>
      </c>
      <c r="F23" s="2052" t="s">
        <v>2001</v>
      </c>
      <c r="G23" s="762">
        <f>'数据-取费表'!B2</f>
        <v>45587</v>
      </c>
      <c r="H23" s="3337" t="s">
        <v>3247</v>
      </c>
      <c r="I23" s="3338" t="str">
        <f>IF(H23="季度增幅（自定义）",SUMIF(N25:N28,E2,O25:O28),"")</f>
        <v/>
      </c>
      <c r="J23" s="3440" t="s">
        <v>4024</v>
      </c>
      <c r="K23" s="1124"/>
      <c r="L23" s="2053" t="s">
        <v>2002</v>
      </c>
      <c r="M23" s="1326">
        <f>ROUND(SUMIF(地价!B2:G2,E2,地价!B16:G16),0)</f>
        <v>350</v>
      </c>
      <c r="N23" s="2054" t="s">
        <v>2003</v>
      </c>
      <c r="O23" s="763">
        <f>ROUNDDOWN(DATEDIF(E23,G23,"M")/3,0)</f>
        <v>15</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764">
        <f>ROUND(POWER(1+G24,J24-I24)*(POWER(1+G24,I24)-1)/(POWER(1+G24,J24)-1),4)</f>
        <v>0.88070000000000004</v>
      </c>
      <c r="D24" s="2058" t="s">
        <v>2005</v>
      </c>
      <c r="E24" s="1333">
        <f>存贷款利率!E27/100</f>
        <v>4.3499999999999997E-2</v>
      </c>
      <c r="F24" s="2058" t="s">
        <v>1997</v>
      </c>
      <c r="G24" s="768">
        <f>SUMIF(M30:Q30,E2,M33:Q33)</f>
        <v>5.5E-2</v>
      </c>
      <c r="H24" s="2058" t="s">
        <v>2006</v>
      </c>
      <c r="I24" s="769">
        <f>SUMIF('数据-取费表'!C6:C15,E2,'数据-取费表'!F6:F15)/COUNTIF('数据-取费表'!C6:C15,E2)</f>
        <v>28.05</v>
      </c>
      <c r="J24" s="770">
        <f>IF(E2="住宅",70,IF(E2="商业",40,50))</f>
        <v>40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4025</v>
      </c>
      <c r="C25" s="771">
        <f>IF(B25="容积率修正",IF(G3&lt;10,D26,J26),C27)</f>
        <v>1.5019</v>
      </c>
      <c r="D25" s="2065"/>
      <c r="E25" s="2065"/>
      <c r="F25" s="2065"/>
      <c r="G25" s="2065"/>
      <c r="H25" s="2065"/>
      <c r="I25" s="2065"/>
      <c r="J25" s="2066"/>
      <c r="K25" s="1124"/>
      <c r="L25" s="2782"/>
      <c r="M25" s="2782"/>
      <c r="N25" s="2067"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39" t="s">
        <v>3248</v>
      </c>
      <c r="D26" s="1350">
        <f>IF(E26=G26,F26,IF(G3&lt;10,ROUND(F26+(H26-F26)*(G3-E26)/(G26-E26),4),"——"))</f>
        <v>0.88480000000000003</v>
      </c>
      <c r="E26" s="752">
        <f>ROUNDDOWN(G3,1)</f>
        <v>5.9</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39" t="s">
        <v>3249</v>
      </c>
      <c r="J26" s="772" t="str">
        <f>IF(G3&gt;=10,D115,"——")</f>
        <v>——</v>
      </c>
      <c r="K26" s="1124"/>
      <c r="L26" s="2782"/>
      <c r="M26" s="2782"/>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1">
        <f>ROUND(IF(I3&lt;6,SUMPRODUCT((B106:B110=I3)*(C105:N105=G2)*(C106:N110)),SUMIF(C105:N105,G2,C112:N112)),4)</f>
        <v>1.5019</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1.0379</v>
      </c>
      <c r="D28" s="2050"/>
      <c r="E28" s="2075"/>
      <c r="F28" s="2075"/>
      <c r="G28" s="2075"/>
      <c r="H28" s="2075"/>
      <c r="I28" s="2075"/>
      <c r="J28" s="2076"/>
      <c r="K28" s="1124"/>
      <c r="L28" s="2782"/>
      <c r="M28" s="2782"/>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5"/>
      <c r="D29" s="2022"/>
      <c r="E29" s="2022"/>
      <c r="F29" s="2079"/>
      <c r="G29" s="2022"/>
      <c r="H29" s="2022"/>
      <c r="I29" s="2022"/>
      <c r="J29" s="2023"/>
      <c r="K29" s="1118"/>
      <c r="L29" s="1995"/>
      <c r="M29" s="1995"/>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102990</v>
      </c>
      <c r="D30" s="2081"/>
      <c r="E30" s="2044"/>
      <c r="F30" s="2082"/>
      <c r="G30" s="2044"/>
      <c r="H30" s="2044"/>
      <c r="I30" s="2044"/>
      <c r="J30" s="2083"/>
      <c r="K30" s="1118"/>
      <c r="L30" s="3345" t="s">
        <v>1934</v>
      </c>
      <c r="M30" s="3346" t="s">
        <v>1988</v>
      </c>
      <c r="N30" s="3346" t="s">
        <v>1989</v>
      </c>
      <c r="O30" s="3346" t="s">
        <v>1990</v>
      </c>
      <c r="P30" s="3346" t="s">
        <v>1991</v>
      </c>
      <c r="Q30" s="3349" t="s">
        <v>3253</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6">
        <f>E34+SUM(I37:I42)</f>
        <v>3975</v>
      </c>
      <c r="D31" s="2085"/>
      <c r="E31" s="2086"/>
      <c r="F31" s="2087"/>
      <c r="G31" s="2086"/>
      <c r="H31" s="2086"/>
      <c r="I31" s="2086"/>
      <c r="J31" s="2088"/>
      <c r="K31" s="1118"/>
      <c r="L31" s="3347" t="s">
        <v>1994</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23633</v>
      </c>
      <c r="D33" s="2096">
        <f>'数据-汇总表'!F20</f>
        <v>48456.61</v>
      </c>
      <c r="E33" s="773">
        <f>ROUND(C33*D33/10000,0)</f>
        <v>114518</v>
      </c>
      <c r="F33" s="3340" t="s">
        <v>3251</v>
      </c>
      <c r="G33" s="2097"/>
      <c r="H33" s="2097"/>
      <c r="I33" s="2097"/>
      <c r="J33" s="2098"/>
      <c r="K33" s="1118"/>
      <c r="L33" s="3343" t="s">
        <v>3254</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t="e">
        <f>ROUND(IF(E2="工业",C33*M42,IF(B25="楼层修正",SUM(V2:V16)*M41*10000/D34,C33*M41)),0)</f>
        <v>#DIV/0!</v>
      </c>
      <c r="D34" s="2101"/>
      <c r="E34" s="773">
        <f>ROUND(IF(B25="楼层修正",SUM(V2:V16)*M40,C34*D34/10000),0)</f>
        <v>0</v>
      </c>
      <c r="F34" s="2102" t="s">
        <v>2030</v>
      </c>
      <c r="G34" s="2103"/>
      <c r="H34" s="2103"/>
      <c r="I34" s="2103"/>
      <c r="J34" s="2104"/>
      <c r="K34" s="1118"/>
      <c r="L34" s="3343" t="s">
        <v>3255</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1" t="s">
        <v>3252</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1" t="s">
        <v>3256</v>
      </c>
      <c r="L36" s="3441">
        <f ca="1">'数据-取费表'!B40</f>
        <v>3.1E-2</v>
      </c>
      <c r="M36" s="3352">
        <f ca="1">ROUND($L$36*(1+M31),3)</f>
        <v>3.9E-2</v>
      </c>
      <c r="N36" s="3352">
        <f ca="1">ROUND($L$36*(1+N31),3)</f>
        <v>3.6999999999999998E-2</v>
      </c>
      <c r="O36" s="3352">
        <f ca="1">ROUND($L$36*(1+O31),3)</f>
        <v>3.5999999999999997E-2</v>
      </c>
      <c r="P36" s="3352">
        <f ca="1">ROUND($L$36*(1+P31),3)</f>
        <v>3.4000000000000002E-2</v>
      </c>
      <c r="Q36" s="3352">
        <f ca="1">ROUND($L$36*(1+Q31),3)</f>
        <v>3.5999999999999997E-2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85"/>
      <c r="B37" s="2111" t="s">
        <v>2034</v>
      </c>
      <c r="C37" s="175">
        <f>ROUND(D5*C22*C23*C24*C28*F37,0)</f>
        <v>9441</v>
      </c>
      <c r="D37" s="2096">
        <f>'数据-汇总表'!G20</f>
        <v>16844.78</v>
      </c>
      <c r="E37" s="171">
        <f>ROUND(C37*D37/10000,0)</f>
        <v>15903</v>
      </c>
      <c r="F37" s="171">
        <f>SUMIF(修正!A57:A68,G2,修正!B57:B68)</f>
        <v>0.6</v>
      </c>
      <c r="G37" s="171">
        <f>ROUND(IF(E2="工业",C37*$M$42,C37*$M$41),0)</f>
        <v>2360</v>
      </c>
      <c r="H37" s="171">
        <f>D37</f>
        <v>16844.78</v>
      </c>
      <c r="I37" s="171">
        <f>ROUND(G37*H37/10000,0)</f>
        <v>3975</v>
      </c>
      <c r="J37" s="3006"/>
      <c r="K37" s="3353" t="s">
        <v>3257</v>
      </c>
      <c r="L37" s="3351">
        <f ca="1">L36+K38</f>
        <v>3.5999999999999997E-2</v>
      </c>
      <c r="M37" s="3352">
        <f ca="1">ROUND($L$37*(1+M31),3)</f>
        <v>4.4999999999999998E-2</v>
      </c>
      <c r="N37" s="3352">
        <f t="shared" ref="N37:Q37" ca="1" si="3">ROUND($L$37*(1+N31),3)</f>
        <v>4.2999999999999997E-2</v>
      </c>
      <c r="O37" s="3352">
        <f t="shared" ca="1" si="3"/>
        <v>4.1000000000000002E-2</v>
      </c>
      <c r="P37" s="3352">
        <f t="shared" ca="1" si="3"/>
        <v>0.04</v>
      </c>
      <c r="Q37" s="3352">
        <f t="shared" ca="1" si="3"/>
        <v>4.1000000000000002E-2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6"/>
      <c r="B38" s="2039" t="s">
        <v>2035</v>
      </c>
      <c r="C38" s="175">
        <f>ROUND(D5*C22*C23*C24*C28*F38,0)</f>
        <v>4721</v>
      </c>
      <c r="D38" s="2096"/>
      <c r="E38" s="171">
        <f t="shared" ref="E38:E42" si="4">ROUND(C38*D38/10000,0)</f>
        <v>0</v>
      </c>
      <c r="F38" s="171">
        <f>SUMIF(修正!A57:A68,G2,修正!C57:C68)</f>
        <v>0.3</v>
      </c>
      <c r="G38" s="171">
        <f>ROUND(IF(E2="工业",C38*$M$42,C38*$M$41),0)</f>
        <v>1180</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86"/>
      <c r="B39" s="2039" t="s">
        <v>3250</v>
      </c>
      <c r="C39" s="175">
        <f>ROUND(D5*C22*C23*C24*C28*F39,0)</f>
        <v>3934</v>
      </c>
      <c r="D39" s="2096"/>
      <c r="E39" s="171">
        <f t="shared" si="4"/>
        <v>0</v>
      </c>
      <c r="F39" s="171">
        <f>SUMIF(修正!A57:A68,G2,修正!D57:D68)</f>
        <v>0.25</v>
      </c>
      <c r="G39" s="171">
        <f>ROUND(IF(E2="工业",C39*$M$42,C39*$M$41),0)</f>
        <v>984</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3934</v>
      </c>
      <c r="D40" s="2096"/>
      <c r="E40" s="171">
        <f t="shared" si="4"/>
        <v>0</v>
      </c>
      <c r="F40" s="175">
        <f>SUMIF(修正!A57:A68,G2,修正!E57:E68)</f>
        <v>0.25</v>
      </c>
      <c r="G40" s="171">
        <f>ROUND(IF(E2="工业",C40*$M$42,C40*$M$41),0)</f>
        <v>984</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4" t="s">
        <v>3258</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1997</v>
      </c>
      <c r="E44" s="2151">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2041</v>
      </c>
      <c r="B48" s="2125">
        <f>1+E50</f>
        <v>1.0379</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2042</v>
      </c>
      <c r="B49" s="1349" t="s">
        <v>2043</v>
      </c>
      <c r="C49" s="1349" t="s">
        <v>2044</v>
      </c>
      <c r="D49" s="1349" t="s">
        <v>2045</v>
      </c>
      <c r="E49" s="743" t="s">
        <v>2046</v>
      </c>
      <c r="F49" s="2129" t="s">
        <v>2047</v>
      </c>
      <c r="G49" s="1349" t="s">
        <v>310</v>
      </c>
      <c r="H49" s="2130"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8" t="s">
        <v>2050</v>
      </c>
      <c r="B50" s="2131" t="str">
        <f>估价对象房地状况!C4</f>
        <v>较好</v>
      </c>
      <c r="C50" s="2042" t="s">
        <v>3990</v>
      </c>
      <c r="D50" s="1065">
        <f t="shared" ref="D50:D58" si="7">SUMIF($J$49:$N$49,C50,J50:N50)</f>
        <v>1.47E-2</v>
      </c>
      <c r="E50" s="744">
        <f>ROUND(SUM(D50:D58),4)</f>
        <v>3.7900000000000003E-2</v>
      </c>
      <c r="F50" s="1812">
        <f>IF(E2="商业",SUMIF(L1:L12,G2,N1:N12),"——")</f>
        <v>9.8000000000000004E-2</v>
      </c>
      <c r="G50" s="1063">
        <v>1.47E-2</v>
      </c>
      <c r="H50" s="1066">
        <f t="shared" ref="H50:H58" si="8">IFERROR(ROUNDDOWN($F$50*I50/2,4),"——")</f>
        <v>1.47E-2</v>
      </c>
      <c r="I50" s="3361">
        <v>0.3</v>
      </c>
      <c r="J50" s="1064">
        <f t="shared" ref="J50:J58" si="9">K50+$G50</f>
        <v>2.9399999999999999E-2</v>
      </c>
      <c r="K50" s="1064">
        <f t="shared" ref="K50:K58" si="10">$L50+$G50</f>
        <v>1.47E-2</v>
      </c>
      <c r="L50" s="1064">
        <v>0</v>
      </c>
      <c r="M50" s="1064">
        <f t="shared" ref="M50:N58" si="11">L50-$G50</f>
        <v>-1.47E-2</v>
      </c>
      <c r="N50" s="1064">
        <f t="shared" si="11"/>
        <v>-2.9399999999999999E-2</v>
      </c>
      <c r="AA50" s="1119"/>
      <c r="AB50" s="1119"/>
      <c r="AC50" s="1119"/>
      <c r="AD50" s="1119"/>
      <c r="AE50" s="1119"/>
      <c r="AF50" s="1119"/>
      <c r="AG50" s="1119"/>
      <c r="AH50" s="1119"/>
      <c r="AI50" s="1119"/>
      <c r="AJ50" s="1119"/>
      <c r="AK50" s="1119"/>
    </row>
    <row r="51" spans="1:37" s="1118" customFormat="1" ht="14.25">
      <c r="A51" s="2128" t="s">
        <v>2051</v>
      </c>
      <c r="B51" s="2132" t="str">
        <f>估价对象房地状况!C18</f>
        <v>一般</v>
      </c>
      <c r="C51" s="2042" t="s">
        <v>3994</v>
      </c>
      <c r="D51" s="1065">
        <f t="shared" si="7"/>
        <v>0</v>
      </c>
      <c r="E51" s="745"/>
      <c r="F51" s="1812"/>
      <c r="G51" s="1063">
        <v>1.0699999999999999E-2</v>
      </c>
      <c r="H51" s="1066">
        <f t="shared" si="8"/>
        <v>1.0699999999999999E-2</v>
      </c>
      <c r="I51" s="3361">
        <v>0.22</v>
      </c>
      <c r="J51" s="1064">
        <f t="shared" si="9"/>
        <v>2.1399999999999999E-2</v>
      </c>
      <c r="K51" s="1064">
        <f t="shared" si="10"/>
        <v>1.0699999999999999E-2</v>
      </c>
      <c r="L51" s="1064">
        <v>0</v>
      </c>
      <c r="M51" s="1064">
        <f t="shared" si="11"/>
        <v>-1.0699999999999999E-2</v>
      </c>
      <c r="N51" s="1064">
        <f t="shared" si="11"/>
        <v>-2.1399999999999999E-2</v>
      </c>
      <c r="AA51" s="1119"/>
      <c r="AB51" s="1119"/>
      <c r="AC51" s="1119"/>
      <c r="AD51" s="1119"/>
      <c r="AE51" s="1119"/>
      <c r="AF51" s="1119"/>
      <c r="AG51" s="1119"/>
      <c r="AH51" s="1119"/>
      <c r="AI51" s="1119"/>
      <c r="AJ51" s="1119"/>
      <c r="AK51" s="1119"/>
    </row>
    <row r="52" spans="1:37" s="1118" customFormat="1" ht="36">
      <c r="A52" s="3363" t="s">
        <v>3260</v>
      </c>
      <c r="B52" s="2132">
        <f>估价对象房地状况!C19</f>
        <v>0</v>
      </c>
      <c r="C52" s="2042" t="s">
        <v>3990</v>
      </c>
      <c r="D52" s="1065">
        <f t="shared" si="7"/>
        <v>5.7999999999999996E-3</v>
      </c>
      <c r="E52" s="745"/>
      <c r="F52" s="1812"/>
      <c r="G52" s="1063">
        <v>5.7999999999999996E-3</v>
      </c>
      <c r="H52" s="1066">
        <f t="shared" si="8"/>
        <v>5.7999999999999996E-3</v>
      </c>
      <c r="I52" s="3361">
        <v>0.12</v>
      </c>
      <c r="J52" s="1064">
        <f t="shared" si="9"/>
        <v>1.1599999999999999E-2</v>
      </c>
      <c r="K52" s="1064">
        <f t="shared" si="10"/>
        <v>5.7999999999999996E-3</v>
      </c>
      <c r="L52" s="1064">
        <v>0</v>
      </c>
      <c r="M52" s="1064">
        <f t="shared" si="11"/>
        <v>-5.7999999999999996E-3</v>
      </c>
      <c r="N52" s="1064">
        <f t="shared" si="11"/>
        <v>-1.1599999999999999E-2</v>
      </c>
      <c r="AA52" s="1119"/>
      <c r="AB52" s="1119"/>
      <c r="AC52" s="1119"/>
      <c r="AD52" s="1119"/>
      <c r="AE52" s="1119"/>
      <c r="AF52" s="1119"/>
      <c r="AG52" s="1119"/>
      <c r="AH52" s="1119"/>
      <c r="AI52" s="1119"/>
      <c r="AJ52" s="1119"/>
      <c r="AK52" s="1119"/>
    </row>
    <row r="53" spans="1:37" s="1118" customFormat="1" ht="36.75">
      <c r="A53" s="2128" t="s">
        <v>2052</v>
      </c>
      <c r="B53" s="2133" t="s">
        <v>2053</v>
      </c>
      <c r="C53" s="2042" t="s">
        <v>3990</v>
      </c>
      <c r="D53" s="1065">
        <f t="shared" si="7"/>
        <v>2.3999999999999998E-3</v>
      </c>
      <c r="E53" s="745"/>
      <c r="F53" s="1812"/>
      <c r="G53" s="1063">
        <v>2.3999999999999998E-3</v>
      </c>
      <c r="H53" s="1066">
        <f t="shared" si="8"/>
        <v>2.3999999999999998E-3</v>
      </c>
      <c r="I53" s="3361">
        <v>0.05</v>
      </c>
      <c r="J53" s="1064">
        <f t="shared" si="9"/>
        <v>4.7999999999999996E-3</v>
      </c>
      <c r="K53" s="1064">
        <f t="shared" si="10"/>
        <v>2.3999999999999998E-3</v>
      </c>
      <c r="L53" s="1064">
        <v>0</v>
      </c>
      <c r="M53" s="1064">
        <f t="shared" si="11"/>
        <v>-2.3999999999999998E-3</v>
      </c>
      <c r="N53" s="1064">
        <f t="shared" si="11"/>
        <v>-4.7999999999999996E-3</v>
      </c>
      <c r="AA53" s="1119"/>
      <c r="AB53" s="1119"/>
      <c r="AC53" s="1119"/>
      <c r="AD53" s="1119"/>
      <c r="AE53" s="1119"/>
      <c r="AF53" s="1119"/>
      <c r="AG53" s="1119"/>
      <c r="AH53" s="1119"/>
      <c r="AI53" s="1119"/>
      <c r="AJ53" s="1119"/>
      <c r="AK53" s="1119"/>
    </row>
    <row r="54" spans="1:37" s="1118" customFormat="1" ht="24">
      <c r="A54" s="2128" t="s">
        <v>2054</v>
      </c>
      <c r="B54" s="2132">
        <f>估价对象房地状况!C24</f>
        <v>0</v>
      </c>
      <c r="C54" s="2042" t="s">
        <v>3994</v>
      </c>
      <c r="D54" s="1065">
        <f t="shared" si="7"/>
        <v>0</v>
      </c>
      <c r="E54" s="745"/>
      <c r="F54" s="1812"/>
      <c r="G54" s="1063">
        <v>3.8999999999999998E-3</v>
      </c>
      <c r="H54" s="1066">
        <f t="shared" si="8"/>
        <v>3.8999999999999998E-3</v>
      </c>
      <c r="I54" s="3361">
        <v>0.08</v>
      </c>
      <c r="J54" s="1064">
        <f t="shared" si="9"/>
        <v>7.7999999999999996E-3</v>
      </c>
      <c r="K54" s="1064">
        <f t="shared" si="10"/>
        <v>3.8999999999999998E-3</v>
      </c>
      <c r="L54" s="1064">
        <v>0</v>
      </c>
      <c r="M54" s="1064">
        <f t="shared" si="11"/>
        <v>-3.8999999999999998E-3</v>
      </c>
      <c r="N54" s="1064">
        <f t="shared" si="11"/>
        <v>-7.7999999999999996E-3</v>
      </c>
      <c r="AA54" s="1119"/>
      <c r="AB54" s="1119"/>
      <c r="AC54" s="1119"/>
      <c r="AD54" s="1119"/>
      <c r="AE54" s="1119"/>
      <c r="AF54" s="1119"/>
      <c r="AG54" s="1119"/>
      <c r="AH54" s="1119"/>
      <c r="AI54" s="1119"/>
      <c r="AJ54" s="1119"/>
      <c r="AK54" s="1119"/>
    </row>
    <row r="55" spans="1:37" s="1118" customFormat="1" ht="24">
      <c r="A55" s="2128" t="s">
        <v>2055</v>
      </c>
      <c r="B55" s="2134" t="s">
        <v>2056</v>
      </c>
      <c r="C55" s="2042" t="s">
        <v>3990</v>
      </c>
      <c r="D55" s="1065">
        <f t="shared" si="7"/>
        <v>2.3999999999999998E-3</v>
      </c>
      <c r="E55" s="745"/>
      <c r="F55" s="1812"/>
      <c r="G55" s="1063">
        <v>2.3999999999999998E-3</v>
      </c>
      <c r="H55" s="1066">
        <f t="shared" si="8"/>
        <v>2.3999999999999998E-3</v>
      </c>
      <c r="I55" s="3361">
        <v>0.05</v>
      </c>
      <c r="J55" s="1064">
        <f t="shared" si="9"/>
        <v>4.7999999999999996E-3</v>
      </c>
      <c r="K55" s="1064">
        <f t="shared" si="10"/>
        <v>2.3999999999999998E-3</v>
      </c>
      <c r="L55" s="1064">
        <v>0</v>
      </c>
      <c r="M55" s="1064">
        <f t="shared" si="11"/>
        <v>-2.3999999999999998E-3</v>
      </c>
      <c r="N55" s="1064">
        <f t="shared" si="11"/>
        <v>-4.7999999999999996E-3</v>
      </c>
      <c r="AA55" s="1119"/>
      <c r="AB55" s="1119"/>
      <c r="AC55" s="1119"/>
      <c r="AD55" s="1119"/>
      <c r="AE55" s="1119"/>
      <c r="AF55" s="1119"/>
      <c r="AG55" s="1119"/>
      <c r="AH55" s="1119"/>
      <c r="AI55" s="1119"/>
      <c r="AJ55" s="1119"/>
      <c r="AK55" s="1119"/>
    </row>
    <row r="56" spans="1:37" s="1118" customFormat="1" ht="24">
      <c r="A56" s="2135" t="s">
        <v>2057</v>
      </c>
      <c r="B56" s="1324" t="str">
        <f>估价对象房地状况!C21</f>
        <v>较好</v>
      </c>
      <c r="C56" s="2042" t="s">
        <v>3990</v>
      </c>
      <c r="D56" s="1065">
        <f t="shared" si="7"/>
        <v>2.3999999999999998E-3</v>
      </c>
      <c r="E56" s="745"/>
      <c r="F56" s="1812"/>
      <c r="G56" s="1063">
        <v>2.3999999999999998E-3</v>
      </c>
      <c r="H56" s="1066">
        <f t="shared" si="8"/>
        <v>2.3999999999999998E-3</v>
      </c>
      <c r="I56" s="3361">
        <v>0.05</v>
      </c>
      <c r="J56" s="1064">
        <f t="shared" si="9"/>
        <v>4.7999999999999996E-3</v>
      </c>
      <c r="K56" s="1064">
        <f t="shared" si="10"/>
        <v>2.3999999999999998E-3</v>
      </c>
      <c r="L56" s="1064">
        <v>0</v>
      </c>
      <c r="M56" s="1064">
        <f t="shared" si="11"/>
        <v>-2.3999999999999998E-3</v>
      </c>
      <c r="N56" s="1064">
        <f t="shared" si="11"/>
        <v>-4.7999999999999996E-3</v>
      </c>
      <c r="AA56" s="1119"/>
      <c r="AB56" s="1119"/>
      <c r="AC56" s="1119"/>
      <c r="AD56" s="1119"/>
      <c r="AE56" s="1119"/>
      <c r="AF56" s="1119"/>
      <c r="AG56" s="1119"/>
      <c r="AH56" s="1119"/>
      <c r="AI56" s="1119"/>
      <c r="AJ56" s="1119"/>
      <c r="AK56" s="1119"/>
    </row>
    <row r="57" spans="1:37" s="1118" customFormat="1" ht="24">
      <c r="A57" s="2135" t="s">
        <v>2058</v>
      </c>
      <c r="B57" s="2132" t="str">
        <f>估价对象房地状况!C22</f>
        <v>七通</v>
      </c>
      <c r="C57" s="2042" t="s">
        <v>4026</v>
      </c>
      <c r="D57" s="1065">
        <f t="shared" si="7"/>
        <v>7.7999999999999996E-3</v>
      </c>
      <c r="E57" s="745"/>
      <c r="F57" s="1812"/>
      <c r="G57" s="1063">
        <v>3.8999999999999998E-3</v>
      </c>
      <c r="H57" s="1066">
        <f t="shared" si="8"/>
        <v>3.8999999999999998E-3</v>
      </c>
      <c r="I57" s="3361">
        <v>0.08</v>
      </c>
      <c r="J57" s="1064">
        <f t="shared" si="9"/>
        <v>7.7999999999999996E-3</v>
      </c>
      <c r="K57" s="1064">
        <f t="shared" si="10"/>
        <v>3.8999999999999998E-3</v>
      </c>
      <c r="L57" s="1064">
        <v>0</v>
      </c>
      <c r="M57" s="1064">
        <f t="shared" si="11"/>
        <v>-3.8999999999999998E-3</v>
      </c>
      <c r="N57" s="1064">
        <f t="shared" si="11"/>
        <v>-7.7999999999999996E-3</v>
      </c>
      <c r="AA57" s="1119"/>
      <c r="AB57" s="1119"/>
      <c r="AC57" s="1119"/>
      <c r="AD57" s="1119"/>
      <c r="AE57" s="1119"/>
      <c r="AF57" s="1119"/>
      <c r="AG57" s="1119"/>
      <c r="AH57" s="1119"/>
      <c r="AI57" s="1119"/>
      <c r="AJ57" s="1119"/>
      <c r="AK57" s="1119"/>
    </row>
    <row r="58" spans="1:37" s="1118" customFormat="1" ht="24.75" thickBot="1">
      <c r="A58" s="2136" t="s">
        <v>2059</v>
      </c>
      <c r="B58" s="2137" t="str">
        <f>估价对象房地状况!C20</f>
        <v>较好</v>
      </c>
      <c r="C58" s="2042" t="s">
        <v>3990</v>
      </c>
      <c r="D58" s="1065">
        <f t="shared" si="7"/>
        <v>2.3999999999999998E-3</v>
      </c>
      <c r="E58" s="746"/>
      <c r="F58" s="1812"/>
      <c r="G58" s="1063">
        <v>2.3999999999999998E-3</v>
      </c>
      <c r="H58" s="1066">
        <f t="shared" si="8"/>
        <v>2.3999999999999998E-3</v>
      </c>
      <c r="I58" s="3362">
        <v>0.05</v>
      </c>
      <c r="J58" s="1064">
        <f t="shared" si="9"/>
        <v>4.7999999999999996E-3</v>
      </c>
      <c r="K58" s="1064">
        <f t="shared" si="10"/>
        <v>2.3999999999999998E-3</v>
      </c>
      <c r="L58" s="1064">
        <v>0</v>
      </c>
      <c r="M58" s="1064">
        <f t="shared" si="11"/>
        <v>-2.3999999999999998E-3</v>
      </c>
      <c r="N58" s="1064">
        <f t="shared" si="11"/>
        <v>-4.7999999999999996E-3</v>
      </c>
      <c r="AA58" s="1119"/>
      <c r="AB58" s="1119"/>
      <c r="AC58" s="1119"/>
      <c r="AD58" s="1119"/>
      <c r="AE58" s="1119"/>
      <c r="AF58" s="1119"/>
      <c r="AG58" s="1119"/>
      <c r="AH58" s="1119"/>
      <c r="AI58" s="1119"/>
      <c r="AJ58" s="1119"/>
      <c r="AK58" s="1119"/>
    </row>
    <row r="59" spans="1:37" s="1118" customFormat="1" ht="15">
      <c r="A59" s="2124" t="s">
        <v>2060</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2042</v>
      </c>
      <c r="B60" s="1349"/>
      <c r="C60" s="1349" t="s">
        <v>2044</v>
      </c>
      <c r="D60" s="1349" t="s">
        <v>2045</v>
      </c>
      <c r="E60" s="743" t="s">
        <v>2046</v>
      </c>
      <c r="F60" s="2129" t="s">
        <v>2061</v>
      </c>
      <c r="G60" s="1349" t="s">
        <v>310</v>
      </c>
      <c r="H60" s="2130"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8" t="s">
        <v>2062</v>
      </c>
      <c r="B61" s="2131" t="str">
        <f>估价对象房地状况!C17</f>
        <v>较好</v>
      </c>
      <c r="C61" s="2042"/>
      <c r="D61" s="1065">
        <f t="shared" ref="D61:D69" si="12">SUMIF($J$60:$N$60,C61,J61:N61)</f>
        <v>0</v>
      </c>
      <c r="E61" s="744">
        <f>ROUND(SUM(D61:D69),4)</f>
        <v>0</v>
      </c>
      <c r="F61" s="1812"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14.25">
      <c r="A62" s="2128" t="s">
        <v>2051</v>
      </c>
      <c r="B62" s="2132" t="str">
        <f>估价对象房地状况!C18</f>
        <v>一般</v>
      </c>
      <c r="C62" s="2042"/>
      <c r="D62" s="1065">
        <f t="shared" si="12"/>
        <v>0</v>
      </c>
      <c r="E62" s="745"/>
      <c r="F62" s="1812"/>
      <c r="G62" s="1063"/>
      <c r="H62" s="1066" t="str">
        <f t="shared" si="13"/>
        <v>——</v>
      </c>
      <c r="I62" s="3361">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36">
      <c r="A63" s="3363" t="s">
        <v>3260</v>
      </c>
      <c r="B63" s="2132">
        <f>估价对象房地状况!C19</f>
        <v>0</v>
      </c>
      <c r="C63" s="2042"/>
      <c r="D63" s="1065">
        <f t="shared" si="12"/>
        <v>0</v>
      </c>
      <c r="E63" s="745"/>
      <c r="F63" s="1812"/>
      <c r="G63" s="1063"/>
      <c r="H63" s="1066" t="str">
        <f t="shared" si="13"/>
        <v>——</v>
      </c>
      <c r="I63" s="3361">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6.75">
      <c r="A64" s="2128" t="s">
        <v>2052</v>
      </c>
      <c r="B64" s="2133" t="s">
        <v>2053</v>
      </c>
      <c r="C64" s="2042"/>
      <c r="D64" s="1065">
        <f t="shared" si="12"/>
        <v>0</v>
      </c>
      <c r="E64" s="745"/>
      <c r="F64" s="1812"/>
      <c r="G64" s="1063"/>
      <c r="H64" s="1066" t="str">
        <f t="shared" si="13"/>
        <v>——</v>
      </c>
      <c r="I64" s="3361">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8" t="s">
        <v>2054</v>
      </c>
      <c r="B65" s="2132">
        <f>估价对象房地状况!C24</f>
        <v>0</v>
      </c>
      <c r="C65" s="2042"/>
      <c r="D65" s="1065">
        <f t="shared" si="12"/>
        <v>0</v>
      </c>
      <c r="E65" s="745"/>
      <c r="F65" s="1812"/>
      <c r="G65" s="1063"/>
      <c r="H65" s="1066" t="str">
        <f t="shared" si="13"/>
        <v>——</v>
      </c>
      <c r="I65" s="3361">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24">
      <c r="A66" s="2128" t="s">
        <v>2055</v>
      </c>
      <c r="B66" s="2134" t="s">
        <v>2056</v>
      </c>
      <c r="C66" s="2042"/>
      <c r="D66" s="1065">
        <f t="shared" si="12"/>
        <v>0</v>
      </c>
      <c r="E66" s="745"/>
      <c r="F66" s="1812"/>
      <c r="G66" s="1063"/>
      <c r="H66" s="1066" t="str">
        <f t="shared" si="13"/>
        <v>——</v>
      </c>
      <c r="I66" s="3361">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4">
      <c r="A67" s="2128" t="s">
        <v>2057</v>
      </c>
      <c r="B67" s="1324" t="str">
        <f>估价对象房地状况!C21</f>
        <v>较好</v>
      </c>
      <c r="C67" s="2042"/>
      <c r="D67" s="1065">
        <f t="shared" si="12"/>
        <v>0</v>
      </c>
      <c r="E67" s="745"/>
      <c r="F67" s="1812"/>
      <c r="G67" s="1063"/>
      <c r="H67" s="1066" t="str">
        <f t="shared" si="13"/>
        <v>——</v>
      </c>
      <c r="I67" s="3361">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4">
      <c r="A68" s="2128" t="s">
        <v>2058</v>
      </c>
      <c r="B68" s="1324" t="str">
        <f>估价对象房地状况!C22</f>
        <v>七通</v>
      </c>
      <c r="C68" s="2042"/>
      <c r="D68" s="1065">
        <f t="shared" si="12"/>
        <v>0</v>
      </c>
      <c r="E68" s="745"/>
      <c r="F68" s="1812"/>
      <c r="G68" s="1063"/>
      <c r="H68" s="1066" t="str">
        <f t="shared" si="13"/>
        <v>——</v>
      </c>
      <c r="I68" s="3361">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24.75" thickBot="1">
      <c r="A69" s="2136" t="s">
        <v>2059</v>
      </c>
      <c r="B69" s="2138" t="str">
        <f>估价对象房地状况!C20</f>
        <v>较好</v>
      </c>
      <c r="C69" s="2042"/>
      <c r="D69" s="1065">
        <f t="shared" si="12"/>
        <v>0</v>
      </c>
      <c r="E69" s="746"/>
      <c r="F69" s="1812"/>
      <c r="G69" s="1063"/>
      <c r="H69" s="1066" t="str">
        <f t="shared" si="13"/>
        <v>——</v>
      </c>
      <c r="I69" s="3362">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5">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2042</v>
      </c>
      <c r="B71" s="1349"/>
      <c r="C71" s="1349" t="s">
        <v>2044</v>
      </c>
      <c r="D71" s="1349" t="s">
        <v>2045</v>
      </c>
      <c r="E71" s="743" t="s">
        <v>2046</v>
      </c>
      <c r="F71" s="2129" t="s">
        <v>2061</v>
      </c>
      <c r="G71" s="1349" t="s">
        <v>310</v>
      </c>
      <c r="H71" s="2130"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8" t="s">
        <v>2064</v>
      </c>
      <c r="B72" s="2131" t="str">
        <f>估价对象房地状况!C15</f>
        <v>较好</v>
      </c>
      <c r="C72" s="2042"/>
      <c r="D72" s="1065">
        <f t="shared" ref="D72:D80" si="17">SUMIF($J$71:$N$71,C72,J72:N72)</f>
        <v>0</v>
      </c>
      <c r="E72" s="744">
        <f>ROUND(SUM(D72:D80),4)</f>
        <v>0</v>
      </c>
      <c r="F72" s="1812"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14.25">
      <c r="A73" s="2128" t="s">
        <v>2051</v>
      </c>
      <c r="B73" s="2132" t="str">
        <f>估价对象房地状况!C18</f>
        <v>一般</v>
      </c>
      <c r="C73" s="2042"/>
      <c r="D73" s="1065">
        <f t="shared" si="17"/>
        <v>0</v>
      </c>
      <c r="E73" s="747"/>
      <c r="F73" s="1812"/>
      <c r="G73" s="1063"/>
      <c r="H73" s="1066" t="str">
        <f t="shared" si="18"/>
        <v>——</v>
      </c>
      <c r="I73" s="3361">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5" customFormat="1" ht="36">
      <c r="A74" s="3363" t="s">
        <v>3260</v>
      </c>
      <c r="B74" s="2132">
        <f>估价对象房地状况!C19</f>
        <v>0</v>
      </c>
      <c r="C74" s="2042"/>
      <c r="D74" s="1065">
        <f t="shared" si="17"/>
        <v>0</v>
      </c>
      <c r="E74" s="747"/>
      <c r="F74" s="1812"/>
      <c r="G74" s="1063"/>
      <c r="H74" s="1066" t="str">
        <f t="shared" si="18"/>
        <v>——</v>
      </c>
      <c r="I74" s="3361">
        <v>0.1</v>
      </c>
      <c r="J74" s="1064">
        <f t="shared" si="19"/>
        <v>0</v>
      </c>
      <c r="K74" s="1064">
        <f t="shared" si="20"/>
        <v>0</v>
      </c>
      <c r="L74" s="1064">
        <v>0</v>
      </c>
      <c r="M74" s="1064">
        <f t="shared" si="21"/>
        <v>0</v>
      </c>
      <c r="N74" s="1064">
        <f t="shared" si="21"/>
        <v>0</v>
      </c>
      <c r="O74" s="1118"/>
      <c r="P74" s="1118"/>
      <c r="Q74" s="1118"/>
      <c r="AA74" s="2139"/>
      <c r="AB74" s="1119"/>
      <c r="AC74" s="1119"/>
      <c r="AD74" s="1119"/>
      <c r="AE74" s="1119"/>
      <c r="AF74" s="1119"/>
      <c r="AG74" s="1119"/>
      <c r="AH74" s="2139"/>
      <c r="AI74" s="2139"/>
      <c r="AJ74" s="2139"/>
      <c r="AK74" s="2139"/>
    </row>
    <row r="75" spans="1:37" ht="14.25">
      <c r="A75" s="2128" t="s">
        <v>2065</v>
      </c>
      <c r="B75" s="2132">
        <f>估价对象房地状况!C24</f>
        <v>0</v>
      </c>
      <c r="C75" s="2042"/>
      <c r="D75" s="1065">
        <f t="shared" si="17"/>
        <v>0</v>
      </c>
      <c r="E75" s="747"/>
      <c r="F75" s="1812"/>
      <c r="G75" s="1063"/>
      <c r="H75" s="1066" t="str">
        <f t="shared" si="18"/>
        <v>——</v>
      </c>
      <c r="I75" s="3361">
        <v>0.05</v>
      </c>
      <c r="J75" s="1064">
        <f t="shared" si="19"/>
        <v>0</v>
      </c>
      <c r="K75" s="1064">
        <f t="shared" si="20"/>
        <v>0</v>
      </c>
      <c r="L75" s="1064">
        <v>0</v>
      </c>
      <c r="M75" s="1064">
        <f t="shared" si="21"/>
        <v>0</v>
      </c>
      <c r="N75" s="1064">
        <f t="shared" si="21"/>
        <v>0</v>
      </c>
      <c r="O75" s="1118"/>
      <c r="P75" s="1118"/>
      <c r="Q75" s="1995"/>
      <c r="Z75" s="1996"/>
      <c r="AA75" s="2051"/>
      <c r="AG75" s="1120"/>
      <c r="AK75" s="2051"/>
    </row>
    <row r="76" spans="1:37" ht="24">
      <c r="A76" s="2128" t="s">
        <v>2057</v>
      </c>
      <c r="B76" s="1324" t="str">
        <f>估价对象房地状况!C21</f>
        <v>较好</v>
      </c>
      <c r="C76" s="2042"/>
      <c r="D76" s="1065">
        <f t="shared" si="17"/>
        <v>0</v>
      </c>
      <c r="E76" s="747"/>
      <c r="F76" s="1812"/>
      <c r="G76" s="1063"/>
      <c r="H76" s="1066" t="str">
        <f t="shared" si="18"/>
        <v>——</v>
      </c>
      <c r="I76" s="3361">
        <v>0.08</v>
      </c>
      <c r="J76" s="1064">
        <f t="shared" si="19"/>
        <v>0</v>
      </c>
      <c r="K76" s="1064">
        <f t="shared" si="20"/>
        <v>0</v>
      </c>
      <c r="L76" s="1064">
        <v>0</v>
      </c>
      <c r="M76" s="1064">
        <f t="shared" si="21"/>
        <v>0</v>
      </c>
      <c r="N76" s="1064">
        <f t="shared" si="21"/>
        <v>0</v>
      </c>
      <c r="O76" s="1118"/>
      <c r="P76" s="1118"/>
      <c r="Z76" s="1996"/>
      <c r="AA76" s="2051"/>
      <c r="AG76" s="1120"/>
      <c r="AK76" s="2051"/>
    </row>
    <row r="77" spans="1:37" ht="24">
      <c r="A77" s="2128" t="s">
        <v>2058</v>
      </c>
      <c r="B77" s="1324" t="str">
        <f>估价对象房地状况!C22</f>
        <v>七通</v>
      </c>
      <c r="C77" s="2042"/>
      <c r="D77" s="1065">
        <f t="shared" si="17"/>
        <v>0</v>
      </c>
      <c r="E77" s="747"/>
      <c r="F77" s="1812"/>
      <c r="G77" s="1063"/>
      <c r="H77" s="1066" t="str">
        <f t="shared" si="18"/>
        <v>——</v>
      </c>
      <c r="I77" s="3361">
        <v>0.09</v>
      </c>
      <c r="J77" s="1064">
        <f t="shared" si="19"/>
        <v>0</v>
      </c>
      <c r="K77" s="1064">
        <f t="shared" si="20"/>
        <v>0</v>
      </c>
      <c r="L77" s="1064">
        <v>0</v>
      </c>
      <c r="M77" s="1064">
        <f t="shared" si="21"/>
        <v>0</v>
      </c>
      <c r="N77" s="1064">
        <f t="shared" si="21"/>
        <v>0</v>
      </c>
      <c r="O77" s="1118"/>
      <c r="P77" s="1118"/>
      <c r="Z77" s="1996"/>
      <c r="AA77" s="2051"/>
      <c r="AG77" s="1120"/>
      <c r="AK77" s="2051"/>
    </row>
    <row r="78" spans="1:37" ht="24">
      <c r="A78" s="2128" t="s">
        <v>2055</v>
      </c>
      <c r="B78" s="2134" t="s">
        <v>2056</v>
      </c>
      <c r="C78" s="2042"/>
      <c r="D78" s="1065">
        <f t="shared" si="17"/>
        <v>0</v>
      </c>
      <c r="E78" s="747"/>
      <c r="F78" s="1812"/>
      <c r="G78" s="1063"/>
      <c r="H78" s="1066" t="str">
        <f t="shared" si="18"/>
        <v>——</v>
      </c>
      <c r="I78" s="3361">
        <v>0.05</v>
      </c>
      <c r="J78" s="1064">
        <f t="shared" si="19"/>
        <v>0</v>
      </c>
      <c r="K78" s="1064">
        <f t="shared" si="20"/>
        <v>0</v>
      </c>
      <c r="L78" s="1064">
        <v>0</v>
      </c>
      <c r="M78" s="1064">
        <f t="shared" si="21"/>
        <v>0</v>
      </c>
      <c r="N78" s="1064">
        <f t="shared" si="21"/>
        <v>0</v>
      </c>
      <c r="O78" s="1995"/>
      <c r="P78" s="1995"/>
      <c r="Z78" s="1996"/>
      <c r="AA78" s="2051"/>
      <c r="AG78" s="1120"/>
      <c r="AK78" s="2051"/>
    </row>
    <row r="79" spans="1:37" ht="24">
      <c r="A79" s="2128" t="s">
        <v>2059</v>
      </c>
      <c r="B79" s="2131" t="str">
        <f>估价对象房地状况!C20</f>
        <v>较好</v>
      </c>
      <c r="C79" s="2042"/>
      <c r="D79" s="1065">
        <f t="shared" si="17"/>
        <v>0</v>
      </c>
      <c r="E79" s="747"/>
      <c r="F79" s="1812"/>
      <c r="G79" s="1063"/>
      <c r="H79" s="1066" t="str">
        <f t="shared" si="18"/>
        <v>——</v>
      </c>
      <c r="I79" s="3361">
        <v>0.12</v>
      </c>
      <c r="J79" s="1064">
        <f t="shared" si="19"/>
        <v>0</v>
      </c>
      <c r="K79" s="1064">
        <f t="shared" si="20"/>
        <v>0</v>
      </c>
      <c r="L79" s="1064">
        <v>0</v>
      </c>
      <c r="M79" s="1064">
        <f t="shared" si="21"/>
        <v>0</v>
      </c>
      <c r="N79" s="1064">
        <f t="shared" si="21"/>
        <v>0</v>
      </c>
      <c r="Z79" s="1996"/>
      <c r="AA79" s="2051"/>
      <c r="AG79" s="1120"/>
      <c r="AK79" s="2051"/>
    </row>
    <row r="80" spans="1:37" ht="24.75" thickBot="1">
      <c r="A80" s="2136" t="s">
        <v>2066</v>
      </c>
      <c r="B80" s="2140"/>
      <c r="C80" s="2042"/>
      <c r="D80" s="1065">
        <f t="shared" si="17"/>
        <v>0</v>
      </c>
      <c r="E80" s="748"/>
      <c r="F80" s="1812"/>
      <c r="G80" s="1063"/>
      <c r="H80" s="1066" t="str">
        <f t="shared" si="18"/>
        <v>——</v>
      </c>
      <c r="I80" s="3362">
        <v>0.05</v>
      </c>
      <c r="J80" s="1064">
        <f t="shared" si="19"/>
        <v>0</v>
      </c>
      <c r="K80" s="1064">
        <f t="shared" si="20"/>
        <v>0</v>
      </c>
      <c r="L80" s="1064">
        <v>0</v>
      </c>
      <c r="M80" s="1064">
        <f t="shared" si="21"/>
        <v>0</v>
      </c>
      <c r="N80" s="1064">
        <f t="shared" si="21"/>
        <v>0</v>
      </c>
      <c r="Z80" s="1996"/>
      <c r="AA80" s="2051"/>
      <c r="AG80" s="1120"/>
      <c r="AK80" s="2051"/>
    </row>
    <row r="81" spans="1:37" ht="15">
      <c r="A81" s="2124" t="s">
        <v>2067</v>
      </c>
      <c r="B81" s="2125">
        <f>1+E83</f>
        <v>1</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1719</v>
      </c>
      <c r="K82" s="552" t="s">
        <v>1720</v>
      </c>
      <c r="L82" s="552" t="s">
        <v>1721</v>
      </c>
      <c r="M82" s="552" t="s">
        <v>1722</v>
      </c>
      <c r="N82" s="552" t="s">
        <v>1723</v>
      </c>
      <c r="Z82" s="1996"/>
      <c r="AA82" s="2051"/>
      <c r="AG82" s="1120"/>
      <c r="AK82" s="2051"/>
    </row>
    <row r="83" spans="1:37" ht="38.25">
      <c r="A83" s="2128" t="s">
        <v>2068</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1">
        <v>0.3</v>
      </c>
      <c r="J84" s="1064">
        <f t="shared" si="24"/>
        <v>0</v>
      </c>
      <c r="K84" s="1064">
        <f t="shared" si="25"/>
        <v>0</v>
      </c>
      <c r="L84" s="1064">
        <v>0</v>
      </c>
      <c r="M84" s="1064">
        <f t="shared" si="26"/>
        <v>0</v>
      </c>
      <c r="N84" s="1064">
        <f t="shared" si="26"/>
        <v>0</v>
      </c>
      <c r="Z84" s="1996"/>
      <c r="AA84" s="2051"/>
      <c r="AG84" s="1120"/>
      <c r="AK84" s="2051"/>
    </row>
    <row r="85" spans="1:37" ht="36">
      <c r="A85" s="3363" t="s">
        <v>3261</v>
      </c>
      <c r="B85" s="2132">
        <f>估价对象房地状况!G17</f>
        <v>0</v>
      </c>
      <c r="C85" s="2042"/>
      <c r="D85" s="1065">
        <f t="shared" si="22"/>
        <v>0</v>
      </c>
      <c r="E85" s="747"/>
      <c r="F85" s="1812"/>
      <c r="G85" s="1063"/>
      <c r="H85" s="1066" t="str">
        <f t="shared" si="23"/>
        <v>——</v>
      </c>
      <c r="I85" s="3361">
        <v>0.1</v>
      </c>
      <c r="J85" s="1064">
        <f t="shared" si="24"/>
        <v>0</v>
      </c>
      <c r="K85" s="1064">
        <f t="shared" si="25"/>
        <v>0</v>
      </c>
      <c r="L85" s="1064">
        <v>0</v>
      </c>
      <c r="M85" s="1064">
        <f t="shared" si="26"/>
        <v>0</v>
      </c>
      <c r="N85" s="1064">
        <f t="shared" si="26"/>
        <v>0</v>
      </c>
      <c r="Z85" s="1996"/>
      <c r="AA85" s="2051"/>
      <c r="AG85" s="1120"/>
      <c r="AK85" s="2051"/>
    </row>
    <row r="86" spans="1:37" ht="14.25">
      <c r="A86" s="2128" t="s">
        <v>2065</v>
      </c>
      <c r="B86" s="2132">
        <f>估价对象房地状况!G22</f>
        <v>0</v>
      </c>
      <c r="C86" s="2042"/>
      <c r="D86" s="1065">
        <f t="shared" si="22"/>
        <v>0</v>
      </c>
      <c r="E86" s="747"/>
      <c r="F86" s="1812"/>
      <c r="G86" s="1063"/>
      <c r="H86" s="1066" t="str">
        <f t="shared" si="23"/>
        <v>——</v>
      </c>
      <c r="I86" s="3361">
        <v>0.05</v>
      </c>
      <c r="J86" s="1064">
        <f t="shared" si="24"/>
        <v>0</v>
      </c>
      <c r="K86" s="1064">
        <f t="shared" si="25"/>
        <v>0</v>
      </c>
      <c r="L86" s="1064">
        <v>0</v>
      </c>
      <c r="M86" s="1064">
        <f t="shared" si="26"/>
        <v>0</v>
      </c>
      <c r="N86" s="1064">
        <f t="shared" si="26"/>
        <v>0</v>
      </c>
      <c r="Z86" s="1996"/>
      <c r="AA86" s="2051"/>
      <c r="AG86" s="1120"/>
      <c r="AK86" s="2051"/>
    </row>
    <row r="87" spans="1:37" ht="25.5">
      <c r="A87" s="2128" t="s">
        <v>2057</v>
      </c>
      <c r="B87" s="1324" t="str">
        <f>估价对象房地状况!G19</f>
        <v>估价对象所在区域公共配套设施齐备情况</v>
      </c>
      <c r="C87" s="2042"/>
      <c r="D87" s="1065">
        <f t="shared" si="22"/>
        <v>0</v>
      </c>
      <c r="E87" s="747"/>
      <c r="F87" s="1812"/>
      <c r="G87" s="1063"/>
      <c r="H87" s="1066" t="str">
        <f t="shared" si="23"/>
        <v>——</v>
      </c>
      <c r="I87" s="3361">
        <v>0.06</v>
      </c>
      <c r="J87" s="1064">
        <f t="shared" si="24"/>
        <v>0</v>
      </c>
      <c r="K87" s="1064">
        <f t="shared" si="25"/>
        <v>0</v>
      </c>
      <c r="L87" s="1064">
        <v>0</v>
      </c>
      <c r="M87" s="1064">
        <f t="shared" si="26"/>
        <v>0</v>
      </c>
      <c r="N87" s="1064">
        <f t="shared" si="26"/>
        <v>0</v>
      </c>
    </row>
    <row r="88" spans="1:37" ht="25.5">
      <c r="A88" s="2128" t="s">
        <v>2058</v>
      </c>
      <c r="B88" s="1324" t="str">
        <f>估价对象房地状况!G20</f>
        <v>估价对象所在区域基础设施水平</v>
      </c>
      <c r="C88" s="2042"/>
      <c r="D88" s="1065">
        <f t="shared" si="22"/>
        <v>0</v>
      </c>
      <c r="E88" s="747"/>
      <c r="F88" s="1812"/>
      <c r="G88" s="1063"/>
      <c r="H88" s="1066" t="str">
        <f t="shared" si="23"/>
        <v>——</v>
      </c>
      <c r="I88" s="3361">
        <v>0.12</v>
      </c>
      <c r="J88" s="1064">
        <f t="shared" si="24"/>
        <v>0</v>
      </c>
      <c r="K88" s="1064">
        <f t="shared" si="25"/>
        <v>0</v>
      </c>
      <c r="L88" s="1064">
        <v>0</v>
      </c>
      <c r="M88" s="1064">
        <f t="shared" si="26"/>
        <v>0</v>
      </c>
      <c r="N88" s="1064">
        <f t="shared" si="26"/>
        <v>0</v>
      </c>
    </row>
    <row r="89" spans="1:37" ht="24">
      <c r="A89" s="2128" t="s">
        <v>2055</v>
      </c>
      <c r="B89" s="2134" t="s">
        <v>2069</v>
      </c>
      <c r="C89" s="2042"/>
      <c r="D89" s="1065">
        <f t="shared" si="22"/>
        <v>0</v>
      </c>
      <c r="E89" s="747"/>
      <c r="F89" s="1812"/>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2070</v>
      </c>
      <c r="B90" s="2141" t="str">
        <f>估价对象房地状况!G18</f>
        <v>该园区内是否有污染型企业，绿化情况，卫生条件，整体环境状况判断</v>
      </c>
      <c r="C90" s="2042"/>
      <c r="D90" s="1065">
        <f t="shared" si="22"/>
        <v>0</v>
      </c>
      <c r="E90" s="748"/>
      <c r="F90" s="1812"/>
      <c r="G90" s="1063"/>
      <c r="H90" s="1066" t="str">
        <f t="shared" si="23"/>
        <v>——</v>
      </c>
      <c r="I90" s="3362">
        <v>0.05</v>
      </c>
      <c r="J90" s="1064">
        <f t="shared" si="24"/>
        <v>0</v>
      </c>
      <c r="K90" s="1064">
        <f t="shared" si="25"/>
        <v>0</v>
      </c>
      <c r="L90" s="1064">
        <v>0</v>
      </c>
      <c r="M90" s="1064">
        <f t="shared" si="26"/>
        <v>0</v>
      </c>
      <c r="N90" s="1064">
        <f t="shared" si="26"/>
        <v>0</v>
      </c>
    </row>
    <row r="91" spans="1:37" ht="15">
      <c r="A91" s="3371" t="s">
        <v>2604</v>
      </c>
      <c r="B91" s="3372">
        <f>1+E93</f>
        <v>1</v>
      </c>
      <c r="C91" s="3365"/>
      <c r="D91" s="3366"/>
      <c r="E91" s="1812"/>
      <c r="F91" s="1812"/>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3" t="s">
        <v>3285</v>
      </c>
      <c r="B103" s="3783"/>
      <c r="C103" s="3783"/>
      <c r="D103" s="3783"/>
      <c r="E103" s="3783"/>
      <c r="F103" s="3783"/>
      <c r="G103" s="3783"/>
      <c r="H103" s="3783"/>
      <c r="I103" s="3783"/>
      <c r="J103" s="3783"/>
      <c r="K103" s="3384"/>
      <c r="L103" s="3384"/>
      <c r="M103" s="3384"/>
      <c r="N103" s="3384"/>
    </row>
    <row r="104" spans="1:14">
      <c r="A104" s="3784" t="s">
        <v>3286</v>
      </c>
      <c r="B104" s="3784" t="s">
        <v>3287</v>
      </c>
      <c r="C104" s="3385" t="s">
        <v>3288</v>
      </c>
      <c r="D104" s="3386"/>
      <c r="E104" s="3386"/>
      <c r="F104" s="3386"/>
      <c r="G104" s="3386"/>
      <c r="H104" s="3386"/>
      <c r="I104" s="3386"/>
      <c r="J104" s="3387"/>
      <c r="K104" s="3388"/>
      <c r="L104" s="3388"/>
      <c r="M104" s="3388"/>
      <c r="N104" s="3388"/>
    </row>
    <row r="105" spans="1:14">
      <c r="A105" s="3784"/>
      <c r="B105" s="3784"/>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70"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1"/>
      <c r="B111" s="3389" t="s">
        <v>3259</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72"/>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73" t="s">
        <v>3302</v>
      </c>
      <c r="B113" s="3773"/>
      <c r="C113" s="3773"/>
      <c r="D113" s="3773"/>
      <c r="E113" s="3773"/>
      <c r="F113" s="3773"/>
      <c r="G113" s="3773"/>
      <c r="H113" s="3773"/>
      <c r="I113" s="3773"/>
      <c r="J113" s="377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5.99</v>
      </c>
      <c r="C116" s="3394" t="s">
        <v>3304</v>
      </c>
      <c r="D116" s="3395">
        <f>SUMPRODUCT((A118:A122=F116)*(B117:M117=H116)*B118:M122)</f>
        <v>0.86509999999999998</v>
      </c>
      <c r="E116" s="1998" t="s">
        <v>3305</v>
      </c>
      <c r="F116" s="3396" t="str">
        <f>E2</f>
        <v>商业</v>
      </c>
      <c r="G116" s="1998" t="s">
        <v>3306</v>
      </c>
      <c r="H116" s="3396" t="str">
        <f>G2</f>
        <v>四级</v>
      </c>
      <c r="I116" s="1998"/>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0.93089999999999995</v>
      </c>
      <c r="C118" s="3382">
        <f>B118</f>
        <v>0.93089999999999995</v>
      </c>
      <c r="D118" s="3382">
        <f>ROUND(0.949-0.014*B116,4)</f>
        <v>0.86509999999999998</v>
      </c>
      <c r="E118" s="3382">
        <f>D118</f>
        <v>0.86509999999999998</v>
      </c>
      <c r="F118" s="3382">
        <f>E118</f>
        <v>0.86509999999999998</v>
      </c>
      <c r="G118" s="3382">
        <f>F118</f>
        <v>0.86509999999999998</v>
      </c>
      <c r="H118" s="3382">
        <f>G118</f>
        <v>0.86509999999999998</v>
      </c>
      <c r="I118" s="3382">
        <f>ROUND(0.8486-0.018*B116,4)</f>
        <v>0.74080000000000001</v>
      </c>
      <c r="J118" s="3382">
        <f t="shared" ref="J118:M122" si="35">I118</f>
        <v>0.74080000000000001</v>
      </c>
      <c r="K118" s="3382">
        <f t="shared" si="35"/>
        <v>0.74080000000000001</v>
      </c>
      <c r="L118" s="3382">
        <f t="shared" si="35"/>
        <v>0.74080000000000001</v>
      </c>
      <c r="M118" s="3405">
        <f t="shared" si="35"/>
        <v>0.74080000000000001</v>
      </c>
      <c r="N118" s="3392"/>
    </row>
    <row r="119" spans="1:14">
      <c r="A119" s="3404" t="s">
        <v>3320</v>
      </c>
      <c r="B119" s="3382">
        <f>ROUND(0.993-0.0112*B116,4)</f>
        <v>0.92589999999999995</v>
      </c>
      <c r="C119" s="3382">
        <f>B119</f>
        <v>0.92589999999999995</v>
      </c>
      <c r="D119" s="3382">
        <f>ROUND(0.9415-0.0142*B116,4)</f>
        <v>0.85640000000000005</v>
      </c>
      <c r="E119" s="3382">
        <f t="shared" ref="E119:H120" si="36">D119</f>
        <v>0.85640000000000005</v>
      </c>
      <c r="F119" s="3382">
        <f t="shared" si="36"/>
        <v>0.85640000000000005</v>
      </c>
      <c r="G119" s="3382">
        <f t="shared" si="36"/>
        <v>0.85640000000000005</v>
      </c>
      <c r="H119" s="3382">
        <f t="shared" si="36"/>
        <v>0.85640000000000005</v>
      </c>
      <c r="I119" s="3382">
        <f>ROUND(0.838-0.0182*B116,4)</f>
        <v>0.72899999999999998</v>
      </c>
      <c r="J119" s="3382">
        <f t="shared" si="35"/>
        <v>0.72899999999999998</v>
      </c>
      <c r="K119" s="3382">
        <f t="shared" si="35"/>
        <v>0.72899999999999998</v>
      </c>
      <c r="L119" s="3382">
        <f t="shared" si="35"/>
        <v>0.72899999999999998</v>
      </c>
      <c r="M119" s="3405">
        <f t="shared" si="35"/>
        <v>0.72899999999999998</v>
      </c>
      <c r="N119" s="3392"/>
    </row>
    <row r="120" spans="1:14">
      <c r="A120" s="3404" t="s">
        <v>3321</v>
      </c>
      <c r="B120" s="3382">
        <f>ROUND(0.9448-0.0115*B116,4)</f>
        <v>0.87590000000000001</v>
      </c>
      <c r="C120" s="3382">
        <f>B120</f>
        <v>0.87590000000000001</v>
      </c>
      <c r="D120" s="3382">
        <f>ROUND(0.937-0.0145*B116,4)</f>
        <v>0.85009999999999997</v>
      </c>
      <c r="E120" s="3382">
        <f t="shared" si="36"/>
        <v>0.85009999999999997</v>
      </c>
      <c r="F120" s="3382">
        <f t="shared" si="36"/>
        <v>0.85009999999999997</v>
      </c>
      <c r="G120" s="3382">
        <f t="shared" si="36"/>
        <v>0.85009999999999997</v>
      </c>
      <c r="H120" s="3382">
        <f t="shared" si="36"/>
        <v>0.85009999999999997</v>
      </c>
      <c r="I120" s="3382">
        <f>ROUND(0.7965-0.0185*B116,4)</f>
        <v>0.68569999999999998</v>
      </c>
      <c r="J120" s="3382">
        <f t="shared" si="35"/>
        <v>0.68569999999999998</v>
      </c>
      <c r="K120" s="3382">
        <f t="shared" si="35"/>
        <v>0.68569999999999998</v>
      </c>
      <c r="L120" s="3382">
        <f t="shared" si="35"/>
        <v>0.68569999999999998</v>
      </c>
      <c r="M120" s="3405">
        <f t="shared" si="35"/>
        <v>0.68569999999999998</v>
      </c>
      <c r="N120" s="3392"/>
    </row>
    <row r="121" spans="1:14" ht="13.5" thickBot="1">
      <c r="A121" s="3406" t="s">
        <v>3322</v>
      </c>
      <c r="B121" s="3407">
        <f>ROUND(0.7836-0.012*B116,4)</f>
        <v>0.7117</v>
      </c>
      <c r="C121" s="3407">
        <f>B121</f>
        <v>0.7117</v>
      </c>
      <c r="D121" s="3407">
        <f>ROUND(0.753-0.015*B116,4)</f>
        <v>0.66320000000000001</v>
      </c>
      <c r="E121" s="3407">
        <f>D121</f>
        <v>0.66320000000000001</v>
      </c>
      <c r="F121" s="3407">
        <f>E121</f>
        <v>0.66320000000000001</v>
      </c>
      <c r="G121" s="3407">
        <f>ROUND(0.6612-0.018*B116,4)</f>
        <v>0.5534</v>
      </c>
      <c r="H121" s="3407">
        <f>G121</f>
        <v>0.5534</v>
      </c>
      <c r="I121" s="3407">
        <f>ROUND(0.5905-0.019*B116,4)</f>
        <v>0.47670000000000001</v>
      </c>
      <c r="J121" s="3407">
        <f t="shared" si="35"/>
        <v>0.47670000000000001</v>
      </c>
      <c r="K121" s="3407">
        <f t="shared" si="35"/>
        <v>0.47670000000000001</v>
      </c>
      <c r="L121" s="3407">
        <f t="shared" si="35"/>
        <v>0.47670000000000001</v>
      </c>
      <c r="M121" s="3408">
        <f t="shared" si="35"/>
        <v>0.47670000000000001</v>
      </c>
      <c r="N121" s="3392"/>
    </row>
    <row r="122" spans="1:14">
      <c r="A122" s="3409" t="s">
        <v>2604</v>
      </c>
      <c r="B122" s="3382">
        <f>ROUND(0.9404-0.0106*B116,4)</f>
        <v>0.87690000000000001</v>
      </c>
      <c r="C122" s="3382">
        <f>B122</f>
        <v>0.87690000000000001</v>
      </c>
      <c r="D122" s="3382">
        <f>ROUND(0.8955-0.0135*B116,4)</f>
        <v>0.81459999999999999</v>
      </c>
      <c r="E122" s="3382">
        <f t="shared" ref="E122:H122" si="37">D122</f>
        <v>0.81459999999999999</v>
      </c>
      <c r="F122" s="3382">
        <f t="shared" si="37"/>
        <v>0.81459999999999999</v>
      </c>
      <c r="G122" s="3382">
        <f t="shared" si="37"/>
        <v>0.81459999999999999</v>
      </c>
      <c r="H122" s="3382">
        <f t="shared" si="37"/>
        <v>0.81459999999999999</v>
      </c>
      <c r="I122" s="3382">
        <f>ROUND(0.7632-0.0166*B116,4)</f>
        <v>0.66379999999999995</v>
      </c>
      <c r="J122" s="3382">
        <f t="shared" si="35"/>
        <v>0.66379999999999995</v>
      </c>
      <c r="K122" s="3382">
        <f t="shared" si="35"/>
        <v>0.66379999999999995</v>
      </c>
      <c r="L122" s="3382">
        <f t="shared" si="35"/>
        <v>0.66379999999999995</v>
      </c>
      <c r="M122" s="3405">
        <f t="shared" si="35"/>
        <v>0.66379999999999995</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4" priority="6" stopIfTrue="1" operator="notEqual">
      <formula>"——"</formula>
    </cfRule>
  </conditionalFormatting>
  <conditionalFormatting sqref="F61">
    <cfRule type="cellIs" dxfId="163" priority="5" stopIfTrue="1" operator="notEqual">
      <formula>"——"</formula>
    </cfRule>
  </conditionalFormatting>
  <conditionalFormatting sqref="F72">
    <cfRule type="cellIs" dxfId="162" priority="4" stopIfTrue="1" operator="notEqual">
      <formula>"——"</formula>
    </cfRule>
  </conditionalFormatting>
  <conditionalFormatting sqref="F83">
    <cfRule type="cellIs" dxfId="161" priority="3" stopIfTrue="1" operator="notEqual">
      <formula>"——"</formula>
    </cfRule>
  </conditionalFormatting>
  <conditionalFormatting sqref="H50:H58 H61:H69 H72:H80 H83:H91">
    <cfRule type="cellIs" dxfId="160" priority="2" operator="notEqual">
      <formula>"——"</formula>
    </cfRule>
  </conditionalFormatting>
  <conditionalFormatting sqref="H93:H101">
    <cfRule type="cellIs" dxfId="15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G36" sqref="G3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0" width="12" style="1996"/>
    <col min="21" max="21" width="12.625" style="1996" bestFit="1" customWidth="1"/>
    <col min="22"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62514.029999999853</v>
      </c>
      <c r="E1" s="1993"/>
      <c r="F1" s="1993"/>
      <c r="G1" s="1993"/>
      <c r="H1" s="1993"/>
      <c r="I1" s="1993"/>
      <c r="J1" s="1993"/>
      <c r="K1" s="1118"/>
      <c r="L1" s="1994" t="s">
        <v>1926</v>
      </c>
      <c r="M1" s="863">
        <f>SUMPRODUCT((区片价!B5:B9=I2)*(区片价!C3:G3=E2)*(区片价!C5:G9))</f>
        <v>0</v>
      </c>
      <c r="N1" s="866">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75743</v>
      </c>
      <c r="C2" s="1997" t="s">
        <v>1933</v>
      </c>
      <c r="D2" s="1998" t="s">
        <v>1934</v>
      </c>
      <c r="E2" s="3416" t="s">
        <v>21</v>
      </c>
      <c r="F2" s="1998" t="s">
        <v>1935</v>
      </c>
      <c r="G2" s="1999" t="str">
        <f>IF(E2="商业",项目基本情况!B37,IF(E2="办公",项目基本情况!C37,IF(E2="住宅",项目基本情况!D37,IF(E2="工业",项目基本情况!E37,项目基本情况!F37))))</f>
        <v>四级</v>
      </c>
      <c r="H2" s="1998" t="s">
        <v>1936</v>
      </c>
      <c r="I2" s="1999" t="str">
        <f>IF(E2="商业",项目基本情况!B38,IF(E2="办公",项目基本情况!C38,IF(E2="住宅",项目基本情况!D38,IF(E2="工业",项目基本情况!E38,项目基本情况!F38))))</f>
        <v>Ⅳ-通1</v>
      </c>
      <c r="J2" s="2000"/>
      <c r="K2" s="1118"/>
      <c r="L2" s="2001" t="s">
        <v>1937</v>
      </c>
      <c r="M2" s="864">
        <f>SUMPRODUCT((区片价!B10:B29=I2)*(区片价!C3:G3=E2)*(区片价!C10:G29))</f>
        <v>0</v>
      </c>
      <c r="N2" s="866">
        <f>SUMPRODUCT((因素修正幅度!B10:B29=I2)*(因素修正幅度!C3:G3=E2)*(因素修正幅度!C10:G29))</f>
        <v>0</v>
      </c>
      <c r="O2" s="1118"/>
      <c r="P2" s="1118"/>
      <c r="Q2" s="1118"/>
      <c r="R2" s="1210">
        <v>1</v>
      </c>
      <c r="S2" s="3355">
        <f>ROUND(SUMPRODUCT((B106:B110=R2)*(C105:N105=G2)*(C106:N110)),4)</f>
        <v>1.5019</v>
      </c>
      <c r="T2" s="3355">
        <f t="shared" ref="T2:T16" si="0">ROUND($C$5*$C$22*$C$23*$C$24*S2*$C$28,0)</f>
        <v>24666</v>
      </c>
      <c r="U2" s="1211"/>
      <c r="V2" s="3355">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12116</v>
      </c>
      <c r="C3" s="1997" t="s">
        <v>1939</v>
      </c>
      <c r="D3" s="1998" t="s">
        <v>1940</v>
      </c>
      <c r="E3" s="3414" t="s">
        <v>4027</v>
      </c>
      <c r="F3" s="2002" t="s">
        <v>4020</v>
      </c>
      <c r="G3" s="752">
        <f>IF(F3="宗地容积率",'数据-汇总表'!I4,IF(F3="估价对象容积率",'数据-汇总表'!I6,'数据-汇总表'!I7))</f>
        <v>5.99</v>
      </c>
      <c r="H3" s="170" t="s">
        <v>1941</v>
      </c>
      <c r="I3" s="775"/>
      <c r="J3" s="2000" t="s">
        <v>1942</v>
      </c>
      <c r="K3" s="1118"/>
      <c r="L3" s="2001" t="s">
        <v>1943</v>
      </c>
      <c r="M3" s="864">
        <f>SUMPRODUCT((区片价!B30:B54=I2)*(区片价!C3:G3=E2)*(区片价!C30:G54))</f>
        <v>0</v>
      </c>
      <c r="N3" s="866">
        <f>SUMPRODUCT((因素修正幅度!B30:B54=I2)*(因素修正幅度!C3:G3=E2)*(因素修正幅度!C30:G54))</f>
        <v>0</v>
      </c>
      <c r="O3" s="1118"/>
      <c r="P3" s="1118"/>
      <c r="Q3" s="1118"/>
      <c r="R3" s="1210">
        <v>2</v>
      </c>
      <c r="S3" s="3355">
        <f>ROUND(SUMPRODUCT((B106:B110=R3)*(C105:N105=G2)*(C106:N110)),4)</f>
        <v>1.1838</v>
      </c>
      <c r="T3" s="3355">
        <f t="shared" si="0"/>
        <v>19442</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777"/>
      <c r="B4" s="3778"/>
      <c r="C4" s="3778"/>
      <c r="D4" s="3779"/>
      <c r="E4" s="3779"/>
      <c r="F4" s="3779"/>
      <c r="G4" s="3779"/>
      <c r="H4" s="3779"/>
      <c r="I4" s="3779"/>
      <c r="J4" s="3780"/>
      <c r="K4" s="1118"/>
      <c r="L4" s="2001" t="s">
        <v>1944</v>
      </c>
      <c r="M4" s="864">
        <f>SUMPRODUCT((区片价!B55:B86=I2)*(区片价!C3:G3=E2)*(区片价!C55:G86))</f>
        <v>16540</v>
      </c>
      <c r="N4" s="866">
        <f>SUMPRODUCT((因素修正幅度!B55:B86=I2)*(因素修正幅度!C3:G3=E2)*(因素修正幅度!C55:G86))</f>
        <v>9.8000000000000004E-2</v>
      </c>
      <c r="O4" s="1118"/>
      <c r="P4" s="1118"/>
      <c r="Q4" s="1118"/>
      <c r="R4" s="1210">
        <v>3</v>
      </c>
      <c r="S4" s="3355">
        <f>ROUND(SUMPRODUCT((B106:B110=R4)*(C105:N105=G2)*(C106:N110)),4)</f>
        <v>1.0004999999999999</v>
      </c>
      <c r="T4" s="3355">
        <f t="shared" si="0"/>
        <v>16432</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16540</v>
      </c>
      <c r="D5" s="1337">
        <f>ROUND(C6*C17+C20,0)</f>
        <v>16540</v>
      </c>
      <c r="E5" s="1337"/>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8"/>
      <c r="P5" s="1118"/>
      <c r="Q5" s="1118"/>
      <c r="R5" s="1210">
        <v>4</v>
      </c>
      <c r="S5" s="3355">
        <f>ROUND(SUMPRODUCT((B106:B110=R5)*(C105:N105=G2)*(C106:N110)),4)</f>
        <v>0.88239999999999996</v>
      </c>
      <c r="T5" s="3355">
        <f t="shared" si="0"/>
        <v>14492</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16540</v>
      </c>
      <c r="D6" s="2015"/>
      <c r="E6" s="2016"/>
      <c r="F6" s="2016"/>
      <c r="G6" s="2017"/>
      <c r="H6" s="2017"/>
      <c r="I6" s="2017"/>
      <c r="J6" s="2018"/>
      <c r="K6" s="1382"/>
      <c r="L6" s="2001" t="s">
        <v>1949</v>
      </c>
      <c r="M6" s="864">
        <f>SUMPRODUCT((区片价!B127:B189=I2)*(区片价!C3:G3=E2)*(区片价!C127:G189))</f>
        <v>0</v>
      </c>
      <c r="N6" s="866">
        <f>SUMPRODUCT((因素修正幅度!B127:B189=I2)*(因素修正幅度!C3:G3=E2)*(因素修正幅度!C127:G189))</f>
        <v>0</v>
      </c>
      <c r="O6" s="1118"/>
      <c r="P6" s="1118"/>
      <c r="Q6" s="1118"/>
      <c r="R6" s="1210">
        <v>5</v>
      </c>
      <c r="S6" s="3355">
        <f>ROUND(SUMPRODUCT((B106:B110=R6)*(C105:N105=G2)*(C106:N110)),4)</f>
        <v>0.84799999999999998</v>
      </c>
      <c r="T6" s="3355">
        <f t="shared" si="0"/>
        <v>13927</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3229</v>
      </c>
      <c r="B7" s="3451" t="s">
        <v>1950</v>
      </c>
      <c r="C7" s="755">
        <f>IF(C8="不临65条商业街",1,ROUND(1+(1.6*E8+1.2*E9+0.8*E10+0.4*E11)*C9,4))</f>
        <v>1</v>
      </c>
      <c r="D7" s="2020" t="s">
        <v>1951</v>
      </c>
      <c r="E7" s="776"/>
      <c r="F7" s="2021"/>
      <c r="G7" s="2022"/>
      <c r="H7" s="2022"/>
      <c r="I7" s="2022"/>
      <c r="J7" s="2023"/>
      <c r="K7" s="1382"/>
      <c r="L7" s="2001" t="s">
        <v>1952</v>
      </c>
      <c r="M7" s="864">
        <f>SUMPRODUCT((区片价!B190:B233=I2)*(区片价!C3:G3=E2)*(区片价!C190:G233))</f>
        <v>0</v>
      </c>
      <c r="N7" s="866">
        <f>SUMPRODUCT((因素修正幅度!B190:B233=I2)*(因素修正幅度!C3:G3=E2)*(因素修正幅度!C190:G233))</f>
        <v>0</v>
      </c>
      <c r="O7" s="1118"/>
      <c r="P7" s="1118"/>
      <c r="Q7" s="1118"/>
      <c r="R7" s="1210">
        <v>6</v>
      </c>
      <c r="S7" s="3413"/>
      <c r="T7" s="3355">
        <f t="shared" si="0"/>
        <v>0</v>
      </c>
      <c r="U7" s="1211"/>
      <c r="V7" s="3355">
        <f t="shared" si="1"/>
        <v>0</v>
      </c>
      <c r="W7" s="3461" t="s">
        <v>1953</v>
      </c>
      <c r="X7" s="1212" t="str">
        <f>G2</f>
        <v>四级</v>
      </c>
      <c r="Y7" s="1212" t="s">
        <v>1954</v>
      </c>
      <c r="Z7" s="1213">
        <f>G3</f>
        <v>5.99</v>
      </c>
      <c r="AA7" s="1214"/>
      <c r="AB7" s="1214"/>
      <c r="AC7" s="1215"/>
      <c r="AD7" s="1216"/>
      <c r="AE7" s="1216"/>
      <c r="AF7" s="1216"/>
      <c r="AG7" s="1216"/>
      <c r="AH7" s="1216"/>
      <c r="AI7" s="1216"/>
      <c r="AJ7" s="1217"/>
    </row>
    <row r="8" spans="1:36" ht="25.5">
      <c r="A8" s="3293"/>
      <c r="B8" s="170" t="s">
        <v>1955</v>
      </c>
      <c r="C8" s="2024" t="s">
        <v>4021</v>
      </c>
      <c r="D8" s="756" t="s">
        <v>112</v>
      </c>
      <c r="E8" s="757" t="e">
        <f>ROUND(C11/E7,4)</f>
        <v>#DIV/0!</v>
      </c>
      <c r="F8" s="2025" t="s">
        <v>1956</v>
      </c>
      <c r="G8" s="2026"/>
      <c r="H8" s="2026"/>
      <c r="I8" s="2026"/>
      <c r="J8" s="2027"/>
      <c r="K8" s="1118"/>
      <c r="L8" s="2001" t="s">
        <v>1957</v>
      </c>
      <c r="M8" s="864">
        <f>SUMPRODUCT((区片价!B234:B276=I2)*(区片价!C3:G3=E2)*(区片价!C234:G276))</f>
        <v>0</v>
      </c>
      <c r="N8" s="866">
        <f>SUMPRODUCT((因素修正幅度!B234:B276=I2)*(因素修正幅度!C3:G3=E2)*(因素修正幅度!C234:G276))</f>
        <v>0</v>
      </c>
      <c r="O8" s="1118"/>
      <c r="P8" s="1118"/>
      <c r="Q8" s="1118"/>
      <c r="R8" s="1210">
        <v>7</v>
      </c>
      <c r="S8" s="1211"/>
      <c r="T8" s="3355">
        <f t="shared" si="0"/>
        <v>0</v>
      </c>
      <c r="U8" s="1211"/>
      <c r="V8" s="3355">
        <f t="shared" si="1"/>
        <v>0</v>
      </c>
      <c r="W8" s="3774" t="s">
        <v>1958</v>
      </c>
      <c r="X8" s="377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8">
        <f>SUMIF(修正!C71:C138,C8,修正!E71:E138)</f>
        <v>0</v>
      </c>
      <c r="D9" s="171" t="s">
        <v>113</v>
      </c>
      <c r="E9" s="171" t="e">
        <f>ROUND(C11/E7,4)</f>
        <v>#DIV/0!</v>
      </c>
      <c r="F9" s="2025" t="s">
        <v>1972</v>
      </c>
      <c r="G9" s="2026"/>
      <c r="H9" s="2026"/>
      <c r="I9" s="2026"/>
      <c r="J9" s="2027"/>
      <c r="K9" s="1118"/>
      <c r="L9" s="2001" t="s">
        <v>1973</v>
      </c>
      <c r="M9" s="864">
        <f>SUMPRODUCT((区片价!B277:B326=I2)*(区片价!C3:G3=E2)*(区片价!C277:G326))</f>
        <v>0</v>
      </c>
      <c r="N9" s="866">
        <f>SUMPRODUCT((因素修正幅度!B277:B326=I2)*(因素修正幅度!C3:G3=E2)*(因素修正幅度!C277:G326))</f>
        <v>0</v>
      </c>
      <c r="O9" s="1118"/>
      <c r="P9" s="1118"/>
      <c r="Q9" s="1118"/>
      <c r="R9" s="1210">
        <v>8</v>
      </c>
      <c r="S9" s="1211"/>
      <c r="T9" s="3355">
        <f t="shared" si="0"/>
        <v>0</v>
      </c>
      <c r="U9" s="1211"/>
      <c r="V9" s="3355">
        <f t="shared" si="1"/>
        <v>0</v>
      </c>
      <c r="W9" s="3776"/>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8"/>
      <c r="L10" s="2001" t="s">
        <v>1976</v>
      </c>
      <c r="M10" s="864">
        <f>SUMPRODUCT((区片价!B327:B357=I2)*(区片价!C3:G3=E2)*(区片价!C327:G357))</f>
        <v>0</v>
      </c>
      <c r="N10" s="866">
        <f>SUMPRODUCT((因素修正幅度!B327:B357=I2)*(因素修正幅度!C3:G3=E2)*(因素修正幅度!C327:G357))</f>
        <v>0</v>
      </c>
      <c r="O10" s="1118"/>
      <c r="P10" s="1118"/>
      <c r="Q10" s="1118"/>
      <c r="R10" s="1210">
        <v>9</v>
      </c>
      <c r="S10" s="1211"/>
      <c r="T10" s="3355">
        <f t="shared" si="0"/>
        <v>0</v>
      </c>
      <c r="U10" s="1211"/>
      <c r="V10" s="3355">
        <f t="shared" si="1"/>
        <v>0</v>
      </c>
      <c r="W10" s="377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1977</v>
      </c>
      <c r="C11" s="759">
        <f>C10/4</f>
        <v>0</v>
      </c>
      <c r="D11" s="759" t="s">
        <v>115</v>
      </c>
      <c r="E11" s="759" t="e">
        <f>ROUND(C11/E7,4)</f>
        <v>#DIV/0!</v>
      </c>
      <c r="F11" s="2029" t="s">
        <v>1978</v>
      </c>
      <c r="G11" s="2030"/>
      <c r="H11" s="2030"/>
      <c r="I11" s="2030"/>
      <c r="J11" s="2031"/>
      <c r="K11" s="1118"/>
      <c r="L11" s="2001" t="s">
        <v>1979</v>
      </c>
      <c r="M11" s="864">
        <f>SUMPRODUCT((区片价!B358:B377=I2)*(区片价!C3:G3=E2)*(区片价!C358:G377))</f>
        <v>0</v>
      </c>
      <c r="N11" s="866">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7" t="s">
        <v>1982</v>
      </c>
      <c r="M12" s="865">
        <f>SUMPRODUCT((区片价!B378:B384=I2)*(区片价!C3:G3=E2)*(区片价!C378:G384))</f>
        <v>0</v>
      </c>
      <c r="N12" s="866">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3234</v>
      </c>
      <c r="B13" s="2032" t="s">
        <v>1980</v>
      </c>
      <c r="C13" s="755">
        <f>ROUND(C16*D16*E16*F16*G16*H16*I16*J16,4)</f>
        <v>0</v>
      </c>
      <c r="D13" s="2033" t="s">
        <v>1981</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3449" t="s">
        <v>1983</v>
      </c>
      <c r="C14" s="2039" t="s">
        <v>1984</v>
      </c>
      <c r="D14" s="1348" t="s">
        <v>1985</v>
      </c>
      <c r="E14" s="27" t="s">
        <v>1986</v>
      </c>
      <c r="F14" s="3306" t="s">
        <v>3235</v>
      </c>
      <c r="G14" s="3306" t="s">
        <v>3235</v>
      </c>
      <c r="H14" s="3306" t="s">
        <v>3235</v>
      </c>
      <c r="I14" s="3306" t="s">
        <v>3235</v>
      </c>
      <c r="J14" s="3306" t="s">
        <v>3235</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3450"/>
      <c r="C15" s="2041"/>
      <c r="D15" s="2042"/>
      <c r="E15" s="2043"/>
      <c r="F15" s="3307" t="s">
        <v>3236</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448"/>
      <c r="C18" s="3322"/>
      <c r="D18" s="3317" t="s">
        <v>3240</v>
      </c>
      <c r="E18" s="3323"/>
      <c r="F18" s="3318" t="s">
        <v>3243</v>
      </c>
      <c r="G18" s="3322">
        <f>ROUND(1-(1/(POWER(1+G24,E18))),4)</f>
        <v>0</v>
      </c>
      <c r="H18" s="3318" t="s">
        <v>3245</v>
      </c>
      <c r="I18" s="3322">
        <f>ROUND(1-(1/(POWER(1+G24,J24))),4)</f>
        <v>0.93120000000000003</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3241</v>
      </c>
      <c r="E19" s="3332"/>
      <c r="F19" s="3333" t="s">
        <v>3244</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781" t="s">
        <v>3246</v>
      </c>
      <c r="B20" s="167" t="s">
        <v>1992</v>
      </c>
      <c r="C20" s="3319">
        <f>ROUND(IF(F21="与级别开发程度一致",0,(G21-E21)/C21),0)</f>
        <v>0</v>
      </c>
      <c r="D20" s="3335" t="s">
        <v>1996</v>
      </c>
      <c r="E20" s="3336"/>
      <c r="F20" s="3787" t="s">
        <v>1993</v>
      </c>
      <c r="G20" s="3788"/>
      <c r="H20" s="3320" t="s">
        <v>3391</v>
      </c>
      <c r="I20" s="3320" t="s">
        <v>3392</v>
      </c>
      <c r="J20" s="3321" t="s">
        <v>3393</v>
      </c>
      <c r="K20" s="2045" t="s">
        <v>3394</v>
      </c>
      <c r="L20" s="2045" t="s">
        <v>3395</v>
      </c>
      <c r="M20" s="2045" t="s">
        <v>3396</v>
      </c>
      <c r="N20" s="2045" t="s">
        <v>3397</v>
      </c>
      <c r="O20" s="2046" t="s">
        <v>4022</v>
      </c>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26.25" thickBot="1">
      <c r="A21" s="3782"/>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4023</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1998</v>
      </c>
      <c r="C22" s="2158">
        <f>SUMIF(修正!C20:C51,E3,修正!E20:E51)</f>
        <v>1</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1999</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2" t="s">
        <v>2000</v>
      </c>
      <c r="E23" s="761">
        <v>44197</v>
      </c>
      <c r="F23" s="2052" t="s">
        <v>2001</v>
      </c>
      <c r="G23" s="762">
        <f>'数据-取费表'!B2</f>
        <v>45587</v>
      </c>
      <c r="H23" s="3337" t="s">
        <v>3247</v>
      </c>
      <c r="I23" s="3338" t="str">
        <f>IF(H23="季度增幅（自定义）",SUMIF(N25:N28,E2,O25:O28),"")</f>
        <v/>
      </c>
      <c r="J23" s="3440" t="s">
        <v>4024</v>
      </c>
      <c r="K23" s="1124"/>
      <c r="L23" s="2053" t="s">
        <v>2002</v>
      </c>
      <c r="M23" s="1326">
        <f>ROUND(SUMIF(地价!B2:G2,E2,地价!B16:G16),0)</f>
        <v>350</v>
      </c>
      <c r="N23" s="2054" t="s">
        <v>2003</v>
      </c>
      <c r="O23" s="763">
        <f>ROUNDDOWN(DATEDIF(E23,G23,"M")/3,0)</f>
        <v>15</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764">
        <f>ROUND(POWER(1+G24,J24-I24)*(POWER(1+G24,I24)-1)/(POWER(1+G24,J24)-1),4)</f>
        <v>0.93389999999999995</v>
      </c>
      <c r="D24" s="2058" t="s">
        <v>2005</v>
      </c>
      <c r="E24" s="1333">
        <f>存贷款利率!E27/100</f>
        <v>4.3499999999999997E-2</v>
      </c>
      <c r="F24" s="2058" t="s">
        <v>1997</v>
      </c>
      <c r="G24" s="768">
        <f>SUMIF(M30:Q30,E2,M33:Q33)</f>
        <v>5.5E-2</v>
      </c>
      <c r="H24" s="2058" t="s">
        <v>2006</v>
      </c>
      <c r="I24" s="769">
        <f>SUMIF('数据-取费表'!C6:C15,E2,'数据-取费表'!F6:F15)/COUNTIF('数据-取费表'!C6:C15,E2)</f>
        <v>38.06</v>
      </c>
      <c r="J24" s="770">
        <f>IF(E2="住宅",70,IF(E2="商业",40,50))</f>
        <v>50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3326</v>
      </c>
      <c r="C25" s="3457">
        <f>IF(B25="容积率修正",IF(G3&lt;10,D26,J26),C27)</f>
        <v>0.87060000000000004</v>
      </c>
      <c r="D25" s="2065"/>
      <c r="E25" s="2065"/>
      <c r="F25" s="2065"/>
      <c r="G25" s="2065"/>
      <c r="H25" s="2065"/>
      <c r="I25" s="2065"/>
      <c r="J25" s="2066"/>
      <c r="K25" s="1124"/>
      <c r="L25" s="2782"/>
      <c r="M25" s="2782"/>
      <c r="N25" s="2067"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39" t="s">
        <v>3248</v>
      </c>
      <c r="D26" s="3456">
        <f>IF(E26=G26,F26,IF(G3&lt;10,ROUND(F26+(H26-F26)*(G3-E26)/(G26-E26),4),"——"))</f>
        <v>0.87060000000000004</v>
      </c>
      <c r="E26" s="752">
        <f>ROUNDDOWN(G3,1)</f>
        <v>5.9</v>
      </c>
      <c r="F26" s="34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0.87250000000000005</v>
      </c>
      <c r="G26" s="752">
        <f>ROUNDUP(G3,1)</f>
        <v>6</v>
      </c>
      <c r="H26" s="34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0.87039999999999995</v>
      </c>
      <c r="I26" s="3339" t="s">
        <v>3249</v>
      </c>
      <c r="J26" s="772" t="str">
        <f>IF(G3&gt;=10,D115,"——")</f>
        <v>——</v>
      </c>
      <c r="K26" s="1124"/>
      <c r="L26" s="2782"/>
      <c r="M26" s="2782"/>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1">
        <f>ROUND(IF(I3&lt;6,SUMPRODUCT((B106:B110=I3)*(C105:N105=G2)*(C106:N110)),SUMIF(C105:N105,G2,C112:N112)),4)</f>
        <v>0</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1.0379</v>
      </c>
      <c r="D28" s="2050"/>
      <c r="E28" s="2075"/>
      <c r="F28" s="2075"/>
      <c r="G28" s="2075"/>
      <c r="H28" s="2075"/>
      <c r="I28" s="2075"/>
      <c r="J28" s="2076"/>
      <c r="K28" s="1124"/>
      <c r="L28" s="2782"/>
      <c r="M28" s="2782"/>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5"/>
      <c r="D29" s="2022"/>
      <c r="E29" s="2022"/>
      <c r="F29" s="2079"/>
      <c r="G29" s="2022"/>
      <c r="H29" s="2022"/>
      <c r="I29" s="2022"/>
      <c r="J29" s="2023"/>
      <c r="K29" s="1118"/>
      <c r="L29" s="1995"/>
      <c r="M29" s="1995"/>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75743</v>
      </c>
      <c r="D30" s="2081"/>
      <c r="E30" s="2044"/>
      <c r="F30" s="2082"/>
      <c r="G30" s="2044"/>
      <c r="H30" s="2044"/>
      <c r="I30" s="2044"/>
      <c r="J30" s="2083"/>
      <c r="K30" s="1118"/>
      <c r="L30" s="3345" t="s">
        <v>1934</v>
      </c>
      <c r="M30" s="3346" t="s">
        <v>1988</v>
      </c>
      <c r="N30" s="3346" t="s">
        <v>1989</v>
      </c>
      <c r="O30" s="3346" t="s">
        <v>1990</v>
      </c>
      <c r="P30" s="3346" t="s">
        <v>1991</v>
      </c>
      <c r="Q30" s="3349" t="s">
        <v>3253</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6">
        <f>E34+SUM(I37:I42)</f>
        <v>710</v>
      </c>
      <c r="D31" s="2085"/>
      <c r="E31" s="2086"/>
      <c r="F31" s="2087"/>
      <c r="G31" s="2086"/>
      <c r="H31" s="2086"/>
      <c r="I31" s="2086"/>
      <c r="J31" s="2088"/>
      <c r="K31" s="1118"/>
      <c r="L31" s="3347" t="s">
        <v>1994</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14298</v>
      </c>
      <c r="D33" s="2096">
        <f>'数据-汇总表'!F19</f>
        <v>50988.659999999887</v>
      </c>
      <c r="E33" s="773">
        <f>ROUND(C33*D33/10000,0)</f>
        <v>72904</v>
      </c>
      <c r="F33" s="3340" t="s">
        <v>3251</v>
      </c>
      <c r="G33" s="2097"/>
      <c r="H33" s="2097"/>
      <c r="I33" s="2097"/>
      <c r="J33" s="2098"/>
      <c r="K33" s="1118"/>
      <c r="L33" s="3343" t="s">
        <v>3254</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f>ROUND(IF(E2="工业",C33*M42,IF(B25="楼层修正",SUM(V2:V16)*M41*10000/D34,C33*M41)),0)</f>
        <v>3575</v>
      </c>
      <c r="D34" s="2101"/>
      <c r="E34" s="773">
        <f>ROUND(IF(B25="楼层修正",SUM(V2:V16)*M40,C34*D34/10000),0)</f>
        <v>0</v>
      </c>
      <c r="F34" s="2102" t="s">
        <v>2030</v>
      </c>
      <c r="G34" s="2103"/>
      <c r="H34" s="2103"/>
      <c r="I34" s="2103"/>
      <c r="J34" s="2104"/>
      <c r="K34" s="1118"/>
      <c r="L34" s="3343" t="s">
        <v>3255</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1" t="s">
        <v>3252</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1" t="s">
        <v>3256</v>
      </c>
      <c r="L36" s="3441">
        <f ca="1">'数据-取费表'!B40</f>
        <v>3.1E-2</v>
      </c>
      <c r="M36" s="3352">
        <f ca="1">ROUND($L$36*(1+M31),3)</f>
        <v>3.9E-2</v>
      </c>
      <c r="N36" s="3352">
        <f ca="1">ROUND($L$36*(1+N31),3)</f>
        <v>3.6999999999999998E-2</v>
      </c>
      <c r="O36" s="3352">
        <f ca="1">ROUND($L$36*(1+O31),3)</f>
        <v>3.5999999999999997E-2</v>
      </c>
      <c r="P36" s="3352">
        <f ca="1">ROUND($L$36*(1+P31),3)</f>
        <v>3.4000000000000002E-2</v>
      </c>
      <c r="Q36" s="3352">
        <f ca="1">ROUND($L$36*(1+Q31),3)</f>
        <v>3.5999999999999997E-2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85"/>
      <c r="B37" s="2111" t="s">
        <v>2034</v>
      </c>
      <c r="C37" s="175">
        <f>ROUND(D5*C22*C23*C24*C28*F37,0)</f>
        <v>9854</v>
      </c>
      <c r="D37" s="2096"/>
      <c r="E37" s="171">
        <f>ROUND(C37*D37/10000,0)</f>
        <v>0</v>
      </c>
      <c r="F37" s="171">
        <f>SUMIF(修正!A57:A68,G2,修正!B57:B68)</f>
        <v>0.6</v>
      </c>
      <c r="G37" s="171">
        <f>ROUND(IF(E2="工业",C37*$M$42,C37*$M$41),0)</f>
        <v>2464</v>
      </c>
      <c r="H37" s="171">
        <f>D37</f>
        <v>0</v>
      </c>
      <c r="I37" s="171">
        <f>ROUND(G37*H37/10000,0)</f>
        <v>0</v>
      </c>
      <c r="J37" s="3006"/>
      <c r="K37" s="3353" t="s">
        <v>3257</v>
      </c>
      <c r="L37" s="3351">
        <f ca="1">L36+K38</f>
        <v>3.5999999999999997E-2</v>
      </c>
      <c r="M37" s="3352">
        <f ca="1">ROUND($L$37*(1+M31),3)</f>
        <v>4.4999999999999998E-2</v>
      </c>
      <c r="N37" s="3352">
        <f t="shared" ref="N37:Q37" ca="1" si="3">ROUND($L$37*(1+N31),3)</f>
        <v>4.2999999999999997E-2</v>
      </c>
      <c r="O37" s="3352">
        <f t="shared" ca="1" si="3"/>
        <v>4.1000000000000002E-2</v>
      </c>
      <c r="P37" s="3352">
        <f t="shared" ca="1" si="3"/>
        <v>0.04</v>
      </c>
      <c r="Q37" s="3352">
        <f t="shared" ca="1" si="3"/>
        <v>4.1000000000000002E-2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6"/>
      <c r="B38" s="2039" t="s">
        <v>2035</v>
      </c>
      <c r="C38" s="175">
        <f>ROUND(D5*C22*C23*C24*C28*F38,0)</f>
        <v>4927</v>
      </c>
      <c r="D38" s="2096"/>
      <c r="E38" s="171">
        <f t="shared" ref="E38:E42" si="4">ROUND(C38*D38/10000,0)</f>
        <v>0</v>
      </c>
      <c r="F38" s="171">
        <f>SUMIF(修正!A57:A68,G2,修正!C57:C68)</f>
        <v>0.3</v>
      </c>
      <c r="G38" s="171">
        <f>ROUND(IF(E2="工业",C38*$M$42,C38*$M$41),0)</f>
        <v>1232</v>
      </c>
      <c r="H38" s="171">
        <f t="shared" ref="H38:H42" si="5">D38</f>
        <v>0</v>
      </c>
      <c r="I38" s="171">
        <f t="shared" ref="I38:I42" si="6">ROUND(G38*H38/10000,0)</f>
        <v>0</v>
      </c>
      <c r="J38" s="3464"/>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86"/>
      <c r="B39" s="2039" t="s">
        <v>3250</v>
      </c>
      <c r="C39" s="175">
        <f>ROUND(D5*C22*C23*C24*C28*F39,0)</f>
        <v>4106</v>
      </c>
      <c r="D39" s="2096"/>
      <c r="E39" s="171">
        <f t="shared" si="4"/>
        <v>0</v>
      </c>
      <c r="F39" s="171">
        <f>SUMIF(修正!A57:A68,G2,修正!D57:D68)</f>
        <v>0.25</v>
      </c>
      <c r="G39" s="171">
        <f>ROUND(IF(E2="工业",C39*$M$42,C39*$M$41),0)</f>
        <v>1027</v>
      </c>
      <c r="H39" s="171">
        <f t="shared" si="5"/>
        <v>0</v>
      </c>
      <c r="I39" s="171">
        <f t="shared" si="6"/>
        <v>0</v>
      </c>
      <c r="J39" s="346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4106</v>
      </c>
      <c r="D40" s="2096"/>
      <c r="E40" s="171">
        <f t="shared" si="4"/>
        <v>0</v>
      </c>
      <c r="F40" s="175">
        <f>SUMIF(修正!A57:A68,G2,修正!E57:E68)</f>
        <v>0.25</v>
      </c>
      <c r="G40" s="171">
        <f>ROUND(IF(E2="工业",C40*$M$42,C40*$M$41),0)</f>
        <v>1027</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4106</v>
      </c>
      <c r="D41" s="2096"/>
      <c r="E41" s="171">
        <f t="shared" si="4"/>
        <v>0</v>
      </c>
      <c r="F41" s="175">
        <f>SUMIF(修正!A57:A68,G2,修正!F57:F68)</f>
        <v>0.25</v>
      </c>
      <c r="G41" s="171">
        <f>ROUND(IF(E2="工业",C41*$M$42,C41*$M$41),0)</f>
        <v>1027</v>
      </c>
      <c r="H41" s="171">
        <f t="shared" si="5"/>
        <v>0</v>
      </c>
      <c r="I41" s="171">
        <f t="shared" si="6"/>
        <v>0</v>
      </c>
      <c r="J41" s="2112"/>
      <c r="L41" s="3354" t="s">
        <v>3258</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2463</v>
      </c>
      <c r="D42" s="2101">
        <f>'数据-汇总表'!G21</f>
        <v>11525.369999999966</v>
      </c>
      <c r="E42" s="187">
        <f t="shared" si="4"/>
        <v>2839</v>
      </c>
      <c r="F42" s="767">
        <f>SUMIF(修正!A57:A68,G2,修正!G57:G68)</f>
        <v>0.15</v>
      </c>
      <c r="G42" s="187">
        <f>ROUND(IF(E2="工业",C42*$M$42,C42*$M$41),0)</f>
        <v>616</v>
      </c>
      <c r="H42" s="187">
        <f t="shared" si="5"/>
        <v>11525.369999999966</v>
      </c>
      <c r="I42" s="187">
        <f t="shared" si="6"/>
        <v>710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0.93389999999999995</v>
      </c>
      <c r="D44" s="171" t="s">
        <v>1997</v>
      </c>
      <c r="E44" s="2151">
        <f>G24</f>
        <v>5.5E-2</v>
      </c>
      <c r="F44" s="171" t="s">
        <v>2006</v>
      </c>
      <c r="G44" s="183">
        <f>'数据-取费表'!F8</f>
        <v>38.06</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2041</v>
      </c>
      <c r="B48" s="2125">
        <f>1+E50</f>
        <v>1.0379</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2042</v>
      </c>
      <c r="B49" s="1349" t="s">
        <v>2043</v>
      </c>
      <c r="C49" s="1349" t="s">
        <v>2044</v>
      </c>
      <c r="D49" s="1349" t="s">
        <v>2045</v>
      </c>
      <c r="E49" s="743" t="s">
        <v>2046</v>
      </c>
      <c r="F49" s="2129" t="s">
        <v>2047</v>
      </c>
      <c r="G49" s="1349" t="s">
        <v>310</v>
      </c>
      <c r="H49" s="2130"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8" t="s">
        <v>2050</v>
      </c>
      <c r="B50" s="2131" t="str">
        <f>估价对象房地状况!C4</f>
        <v>较好</v>
      </c>
      <c r="C50" s="2042" t="s">
        <v>3990</v>
      </c>
      <c r="D50" s="1065">
        <f t="shared" ref="D50:D58" si="7">SUMIF($J$49:$N$49,C50,J50:N50)</f>
        <v>1.47E-2</v>
      </c>
      <c r="E50" s="744">
        <f>ROUND(SUM(D50:D58),4)</f>
        <v>3.7900000000000003E-2</v>
      </c>
      <c r="F50" s="1812" t="str">
        <f>IF(E2="商业",SUMIF(L1:L12,G2,N1:N12),"——")</f>
        <v>——</v>
      </c>
      <c r="G50" s="1063">
        <v>1.47E-2</v>
      </c>
      <c r="H50" s="1066" t="str">
        <f t="shared" ref="H50:H58" si="8">IFERROR(ROUNDDOWN($F$50*I50/2,4),"——")</f>
        <v>——</v>
      </c>
      <c r="I50" s="3361">
        <v>0.3</v>
      </c>
      <c r="J50" s="1064">
        <f t="shared" ref="J50:J58" si="9">K50+$G50</f>
        <v>2.9399999999999999E-2</v>
      </c>
      <c r="K50" s="1064">
        <f t="shared" ref="K50:K58" si="10">$L50+$G50</f>
        <v>1.47E-2</v>
      </c>
      <c r="L50" s="1064">
        <v>0</v>
      </c>
      <c r="M50" s="1064">
        <f t="shared" ref="M50:N58" si="11">L50-$G50</f>
        <v>-1.47E-2</v>
      </c>
      <c r="N50" s="1064">
        <f t="shared" si="11"/>
        <v>-2.9399999999999999E-2</v>
      </c>
      <c r="AA50" s="1119"/>
      <c r="AB50" s="1119"/>
      <c r="AC50" s="1119"/>
      <c r="AD50" s="1119"/>
      <c r="AE50" s="1119"/>
      <c r="AF50" s="1119"/>
      <c r="AG50" s="1119"/>
      <c r="AH50" s="1119"/>
      <c r="AI50" s="1119"/>
      <c r="AJ50" s="1119"/>
      <c r="AK50" s="1119"/>
    </row>
    <row r="51" spans="1:37" s="1118" customFormat="1" ht="14.25">
      <c r="A51" s="2128" t="s">
        <v>2051</v>
      </c>
      <c r="B51" s="2132" t="str">
        <f>估价对象房地状况!C18</f>
        <v>一般</v>
      </c>
      <c r="C51" s="2042" t="s">
        <v>3994</v>
      </c>
      <c r="D51" s="1065">
        <f t="shared" si="7"/>
        <v>0</v>
      </c>
      <c r="E51" s="745"/>
      <c r="F51" s="1812"/>
      <c r="G51" s="1063">
        <v>1.0699999999999999E-2</v>
      </c>
      <c r="H51" s="1066" t="str">
        <f t="shared" si="8"/>
        <v>——</v>
      </c>
      <c r="I51" s="3361">
        <v>0.22</v>
      </c>
      <c r="J51" s="1064">
        <f t="shared" si="9"/>
        <v>2.1399999999999999E-2</v>
      </c>
      <c r="K51" s="1064">
        <f t="shared" si="10"/>
        <v>1.0699999999999999E-2</v>
      </c>
      <c r="L51" s="1064">
        <v>0</v>
      </c>
      <c r="M51" s="1064">
        <f t="shared" si="11"/>
        <v>-1.0699999999999999E-2</v>
      </c>
      <c r="N51" s="1064">
        <f t="shared" si="11"/>
        <v>-2.1399999999999999E-2</v>
      </c>
      <c r="AA51" s="1119"/>
      <c r="AB51" s="1119"/>
      <c r="AC51" s="1119"/>
      <c r="AD51" s="1119"/>
      <c r="AE51" s="1119"/>
      <c r="AF51" s="1119"/>
      <c r="AG51" s="1119"/>
      <c r="AH51" s="1119"/>
      <c r="AI51" s="1119"/>
      <c r="AJ51" s="1119"/>
      <c r="AK51" s="1119"/>
    </row>
    <row r="52" spans="1:37" s="1118" customFormat="1" ht="36">
      <c r="A52" s="3363" t="s">
        <v>3260</v>
      </c>
      <c r="B52" s="2132">
        <f>估价对象房地状况!C19</f>
        <v>0</v>
      </c>
      <c r="C52" s="2042" t="s">
        <v>3990</v>
      </c>
      <c r="D52" s="1065">
        <f t="shared" si="7"/>
        <v>5.7999999999999996E-3</v>
      </c>
      <c r="E52" s="745"/>
      <c r="F52" s="1812"/>
      <c r="G52" s="1063">
        <v>5.7999999999999996E-3</v>
      </c>
      <c r="H52" s="1066" t="str">
        <f t="shared" si="8"/>
        <v>——</v>
      </c>
      <c r="I52" s="3361">
        <v>0.12</v>
      </c>
      <c r="J52" s="1064">
        <f t="shared" si="9"/>
        <v>1.1599999999999999E-2</v>
      </c>
      <c r="K52" s="1064">
        <f t="shared" si="10"/>
        <v>5.7999999999999996E-3</v>
      </c>
      <c r="L52" s="1064">
        <v>0</v>
      </c>
      <c r="M52" s="1064">
        <f t="shared" si="11"/>
        <v>-5.7999999999999996E-3</v>
      </c>
      <c r="N52" s="1064">
        <f t="shared" si="11"/>
        <v>-1.1599999999999999E-2</v>
      </c>
      <c r="AA52" s="1119"/>
      <c r="AB52" s="1119"/>
      <c r="AC52" s="1119"/>
      <c r="AD52" s="1119"/>
      <c r="AE52" s="1119"/>
      <c r="AF52" s="1119"/>
      <c r="AG52" s="1119"/>
      <c r="AH52" s="1119"/>
      <c r="AI52" s="1119"/>
      <c r="AJ52" s="1119"/>
      <c r="AK52" s="1119"/>
    </row>
    <row r="53" spans="1:37" s="1118" customFormat="1" ht="36.75">
      <c r="A53" s="2128" t="s">
        <v>2052</v>
      </c>
      <c r="B53" s="2133" t="s">
        <v>2053</v>
      </c>
      <c r="C53" s="2042" t="s">
        <v>3990</v>
      </c>
      <c r="D53" s="1065">
        <f t="shared" si="7"/>
        <v>2.3999999999999998E-3</v>
      </c>
      <c r="E53" s="745"/>
      <c r="F53" s="1812"/>
      <c r="G53" s="1063">
        <v>2.3999999999999998E-3</v>
      </c>
      <c r="H53" s="1066" t="str">
        <f t="shared" si="8"/>
        <v>——</v>
      </c>
      <c r="I53" s="3361">
        <v>0.05</v>
      </c>
      <c r="J53" s="1064">
        <f t="shared" si="9"/>
        <v>4.7999999999999996E-3</v>
      </c>
      <c r="K53" s="1064">
        <f t="shared" si="10"/>
        <v>2.3999999999999998E-3</v>
      </c>
      <c r="L53" s="1064">
        <v>0</v>
      </c>
      <c r="M53" s="1064">
        <f t="shared" si="11"/>
        <v>-2.3999999999999998E-3</v>
      </c>
      <c r="N53" s="1064">
        <f t="shared" si="11"/>
        <v>-4.7999999999999996E-3</v>
      </c>
      <c r="AA53" s="1119"/>
      <c r="AB53" s="1119"/>
      <c r="AC53" s="1119"/>
      <c r="AD53" s="1119"/>
      <c r="AE53" s="1119"/>
      <c r="AF53" s="1119"/>
      <c r="AG53" s="1119"/>
      <c r="AH53" s="1119"/>
      <c r="AI53" s="1119"/>
      <c r="AJ53" s="1119"/>
      <c r="AK53" s="1119"/>
    </row>
    <row r="54" spans="1:37" s="1118" customFormat="1" ht="24">
      <c r="A54" s="2128" t="s">
        <v>2054</v>
      </c>
      <c r="B54" s="2132">
        <f>估价对象房地状况!C24</f>
        <v>0</v>
      </c>
      <c r="C54" s="2042" t="s">
        <v>3994</v>
      </c>
      <c r="D54" s="1065">
        <f t="shared" si="7"/>
        <v>0</v>
      </c>
      <c r="E54" s="745"/>
      <c r="F54" s="1812"/>
      <c r="G54" s="1063">
        <v>3.8999999999999998E-3</v>
      </c>
      <c r="H54" s="1066" t="str">
        <f t="shared" si="8"/>
        <v>——</v>
      </c>
      <c r="I54" s="3361">
        <v>0.08</v>
      </c>
      <c r="J54" s="1064">
        <f t="shared" si="9"/>
        <v>7.7999999999999996E-3</v>
      </c>
      <c r="K54" s="1064">
        <f t="shared" si="10"/>
        <v>3.8999999999999998E-3</v>
      </c>
      <c r="L54" s="1064">
        <v>0</v>
      </c>
      <c r="M54" s="1064">
        <f t="shared" si="11"/>
        <v>-3.8999999999999998E-3</v>
      </c>
      <c r="N54" s="1064">
        <f t="shared" si="11"/>
        <v>-7.7999999999999996E-3</v>
      </c>
      <c r="AA54" s="1119"/>
      <c r="AB54" s="1119"/>
      <c r="AC54" s="1119"/>
      <c r="AD54" s="1119"/>
      <c r="AE54" s="1119"/>
      <c r="AF54" s="1119"/>
      <c r="AG54" s="1119"/>
      <c r="AH54" s="1119"/>
      <c r="AI54" s="1119"/>
      <c r="AJ54" s="1119"/>
      <c r="AK54" s="1119"/>
    </row>
    <row r="55" spans="1:37" s="1118" customFormat="1" ht="24">
      <c r="A55" s="2128" t="s">
        <v>2055</v>
      </c>
      <c r="B55" s="2134" t="s">
        <v>2056</v>
      </c>
      <c r="C55" s="2042" t="s">
        <v>3990</v>
      </c>
      <c r="D55" s="1065">
        <f t="shared" si="7"/>
        <v>2.3999999999999998E-3</v>
      </c>
      <c r="E55" s="745"/>
      <c r="F55" s="1812"/>
      <c r="G55" s="1063">
        <v>2.3999999999999998E-3</v>
      </c>
      <c r="H55" s="1066" t="str">
        <f t="shared" si="8"/>
        <v>——</v>
      </c>
      <c r="I55" s="3361">
        <v>0.05</v>
      </c>
      <c r="J55" s="1064">
        <f t="shared" si="9"/>
        <v>4.7999999999999996E-3</v>
      </c>
      <c r="K55" s="1064">
        <f t="shared" si="10"/>
        <v>2.3999999999999998E-3</v>
      </c>
      <c r="L55" s="1064">
        <v>0</v>
      </c>
      <c r="M55" s="1064">
        <f t="shared" si="11"/>
        <v>-2.3999999999999998E-3</v>
      </c>
      <c r="N55" s="1064">
        <f t="shared" si="11"/>
        <v>-4.7999999999999996E-3</v>
      </c>
      <c r="AA55" s="1119"/>
      <c r="AB55" s="1119"/>
      <c r="AC55" s="1119"/>
      <c r="AD55" s="1119"/>
      <c r="AE55" s="1119"/>
      <c r="AF55" s="1119"/>
      <c r="AG55" s="1119"/>
      <c r="AH55" s="1119"/>
      <c r="AI55" s="1119"/>
      <c r="AJ55" s="1119"/>
      <c r="AK55" s="1119"/>
    </row>
    <row r="56" spans="1:37" s="1118" customFormat="1" ht="24">
      <c r="A56" s="2135" t="s">
        <v>2057</v>
      </c>
      <c r="B56" s="1324" t="str">
        <f>估价对象房地状况!C21</f>
        <v>较好</v>
      </c>
      <c r="C56" s="2042" t="s">
        <v>3990</v>
      </c>
      <c r="D56" s="1065">
        <f t="shared" si="7"/>
        <v>2.3999999999999998E-3</v>
      </c>
      <c r="E56" s="745"/>
      <c r="F56" s="1812"/>
      <c r="G56" s="1063">
        <v>2.3999999999999998E-3</v>
      </c>
      <c r="H56" s="1066" t="str">
        <f t="shared" si="8"/>
        <v>——</v>
      </c>
      <c r="I56" s="3361">
        <v>0.05</v>
      </c>
      <c r="J56" s="1064">
        <f t="shared" si="9"/>
        <v>4.7999999999999996E-3</v>
      </c>
      <c r="K56" s="1064">
        <f t="shared" si="10"/>
        <v>2.3999999999999998E-3</v>
      </c>
      <c r="L56" s="1064">
        <v>0</v>
      </c>
      <c r="M56" s="1064">
        <f t="shared" si="11"/>
        <v>-2.3999999999999998E-3</v>
      </c>
      <c r="N56" s="1064">
        <f t="shared" si="11"/>
        <v>-4.7999999999999996E-3</v>
      </c>
      <c r="AA56" s="1119"/>
      <c r="AB56" s="1119"/>
      <c r="AC56" s="1119"/>
      <c r="AD56" s="1119"/>
      <c r="AE56" s="1119"/>
      <c r="AF56" s="1119"/>
      <c r="AG56" s="1119"/>
      <c r="AH56" s="1119"/>
      <c r="AI56" s="1119"/>
      <c r="AJ56" s="1119"/>
      <c r="AK56" s="1119"/>
    </row>
    <row r="57" spans="1:37" s="1118" customFormat="1" ht="24">
      <c r="A57" s="2135" t="s">
        <v>2058</v>
      </c>
      <c r="B57" s="2132" t="str">
        <f>估价对象房地状况!C22</f>
        <v>七通</v>
      </c>
      <c r="C57" s="2042" t="s">
        <v>4026</v>
      </c>
      <c r="D57" s="1065">
        <f t="shared" si="7"/>
        <v>7.7999999999999996E-3</v>
      </c>
      <c r="E57" s="745"/>
      <c r="F57" s="1812"/>
      <c r="G57" s="1063">
        <v>3.8999999999999998E-3</v>
      </c>
      <c r="H57" s="1066" t="str">
        <f t="shared" si="8"/>
        <v>——</v>
      </c>
      <c r="I57" s="3361">
        <v>0.08</v>
      </c>
      <c r="J57" s="1064">
        <f t="shared" si="9"/>
        <v>7.7999999999999996E-3</v>
      </c>
      <c r="K57" s="1064">
        <f t="shared" si="10"/>
        <v>3.8999999999999998E-3</v>
      </c>
      <c r="L57" s="1064">
        <v>0</v>
      </c>
      <c r="M57" s="1064">
        <f t="shared" si="11"/>
        <v>-3.8999999999999998E-3</v>
      </c>
      <c r="N57" s="1064">
        <f t="shared" si="11"/>
        <v>-7.7999999999999996E-3</v>
      </c>
      <c r="AA57" s="1119"/>
      <c r="AB57" s="1119"/>
      <c r="AC57" s="1119"/>
      <c r="AD57" s="1119"/>
      <c r="AE57" s="1119"/>
      <c r="AF57" s="1119"/>
      <c r="AG57" s="1119"/>
      <c r="AH57" s="1119"/>
      <c r="AI57" s="1119"/>
      <c r="AJ57" s="1119"/>
      <c r="AK57" s="1119"/>
    </row>
    <row r="58" spans="1:37" s="1118" customFormat="1" ht="24.75" thickBot="1">
      <c r="A58" s="2136" t="s">
        <v>2059</v>
      </c>
      <c r="B58" s="2137" t="str">
        <f>估价对象房地状况!C20</f>
        <v>较好</v>
      </c>
      <c r="C58" s="2042" t="s">
        <v>3990</v>
      </c>
      <c r="D58" s="1065">
        <f t="shared" si="7"/>
        <v>2.3999999999999998E-3</v>
      </c>
      <c r="E58" s="746"/>
      <c r="F58" s="1812"/>
      <c r="G58" s="1063">
        <v>2.3999999999999998E-3</v>
      </c>
      <c r="H58" s="1066" t="str">
        <f t="shared" si="8"/>
        <v>——</v>
      </c>
      <c r="I58" s="3362">
        <v>0.05</v>
      </c>
      <c r="J58" s="1064">
        <f t="shared" si="9"/>
        <v>4.7999999999999996E-3</v>
      </c>
      <c r="K58" s="1064">
        <f t="shared" si="10"/>
        <v>2.3999999999999998E-3</v>
      </c>
      <c r="L58" s="1064">
        <v>0</v>
      </c>
      <c r="M58" s="1064">
        <f t="shared" si="11"/>
        <v>-2.3999999999999998E-3</v>
      </c>
      <c r="N58" s="1064">
        <f t="shared" si="11"/>
        <v>-4.7999999999999996E-3</v>
      </c>
      <c r="AA58" s="1119"/>
      <c r="AB58" s="1119"/>
      <c r="AC58" s="1119"/>
      <c r="AD58" s="1119"/>
      <c r="AE58" s="1119"/>
      <c r="AF58" s="1119"/>
      <c r="AG58" s="1119"/>
      <c r="AH58" s="1119"/>
      <c r="AI58" s="1119"/>
      <c r="AJ58" s="1119"/>
      <c r="AK58" s="1119"/>
    </row>
    <row r="59" spans="1:37" s="1118" customFormat="1" ht="15">
      <c r="A59" s="2124" t="s">
        <v>2060</v>
      </c>
      <c r="B59" s="2125">
        <f>1+E61</f>
        <v>1.0379</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2042</v>
      </c>
      <c r="B60" s="1349"/>
      <c r="C60" s="1349" t="s">
        <v>2044</v>
      </c>
      <c r="D60" s="1349" t="s">
        <v>2045</v>
      </c>
      <c r="E60" s="743" t="s">
        <v>2046</v>
      </c>
      <c r="F60" s="2129" t="s">
        <v>2061</v>
      </c>
      <c r="G60" s="1349" t="s">
        <v>310</v>
      </c>
      <c r="H60" s="2130"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8" t="s">
        <v>2062</v>
      </c>
      <c r="B61" s="2131" t="str">
        <f>估价对象房地状况!C17</f>
        <v>较好</v>
      </c>
      <c r="C61" s="2042" t="s">
        <v>3990</v>
      </c>
      <c r="D61" s="1065">
        <f t="shared" ref="D61:D69" si="12">SUMIF($J$60:$N$60,C61,J61:N61)</f>
        <v>1.2200000000000001E-2</v>
      </c>
      <c r="E61" s="744">
        <f>ROUND(SUM(D61:D69),4)</f>
        <v>3.7900000000000003E-2</v>
      </c>
      <c r="F61" s="1812">
        <f>IF(E2="办公",SUMIF(L1:L12,G2,N1:N12),"——")</f>
        <v>9.8000000000000004E-2</v>
      </c>
      <c r="G61" s="1063">
        <v>1.2200000000000001E-2</v>
      </c>
      <c r="H61" s="1066">
        <f t="shared" ref="H61:H69" si="13">IFERROR(ROUNDDOWN($F$61*I61/2,4),"——")</f>
        <v>1.2200000000000001E-2</v>
      </c>
      <c r="I61" s="3361">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19"/>
      <c r="AB61" s="1119"/>
      <c r="AC61" s="1119"/>
      <c r="AD61" s="1119"/>
      <c r="AE61" s="1119"/>
      <c r="AF61" s="1119"/>
      <c r="AG61" s="1119"/>
      <c r="AH61" s="1119"/>
      <c r="AI61" s="1119"/>
      <c r="AJ61" s="1119"/>
      <c r="AK61" s="1119"/>
    </row>
    <row r="62" spans="1:37" s="1118" customFormat="1" ht="14.25">
      <c r="A62" s="2128" t="s">
        <v>2051</v>
      </c>
      <c r="B62" s="2132" t="str">
        <f>估价对象房地状况!C18</f>
        <v>一般</v>
      </c>
      <c r="C62" s="2042" t="s">
        <v>3994</v>
      </c>
      <c r="D62" s="1065">
        <f t="shared" si="12"/>
        <v>0</v>
      </c>
      <c r="E62" s="745"/>
      <c r="F62" s="1812"/>
      <c r="G62" s="1063">
        <v>1.2699999999999999E-2</v>
      </c>
      <c r="H62" s="1066">
        <f t="shared" si="13"/>
        <v>1.2699999999999999E-2</v>
      </c>
      <c r="I62" s="3361">
        <v>0.26</v>
      </c>
      <c r="J62" s="1064">
        <f t="shared" si="14"/>
        <v>2.5399999999999999E-2</v>
      </c>
      <c r="K62" s="1064">
        <f t="shared" si="15"/>
        <v>1.2699999999999999E-2</v>
      </c>
      <c r="L62" s="1064">
        <v>0</v>
      </c>
      <c r="M62" s="1064">
        <f t="shared" si="16"/>
        <v>-1.2699999999999999E-2</v>
      </c>
      <c r="N62" s="1064">
        <f t="shared" si="16"/>
        <v>-2.5399999999999999E-2</v>
      </c>
      <c r="AA62" s="1119"/>
      <c r="AB62" s="1119"/>
      <c r="AC62" s="1119"/>
      <c r="AD62" s="1119"/>
      <c r="AE62" s="1119"/>
      <c r="AF62" s="1119"/>
      <c r="AG62" s="1119"/>
      <c r="AH62" s="1119"/>
      <c r="AI62" s="1119"/>
      <c r="AJ62" s="1119"/>
      <c r="AK62" s="1119"/>
    </row>
    <row r="63" spans="1:37" s="1118" customFormat="1" ht="36">
      <c r="A63" s="3363" t="s">
        <v>3260</v>
      </c>
      <c r="B63" s="2132">
        <f>估价对象房地状况!C19</f>
        <v>0</v>
      </c>
      <c r="C63" s="2042" t="s">
        <v>3990</v>
      </c>
      <c r="D63" s="1065">
        <f t="shared" si="12"/>
        <v>5.3E-3</v>
      </c>
      <c r="E63" s="745"/>
      <c r="F63" s="1812"/>
      <c r="G63" s="1063">
        <v>5.3E-3</v>
      </c>
      <c r="H63" s="1066">
        <f t="shared" si="13"/>
        <v>5.3E-3</v>
      </c>
      <c r="I63" s="3361">
        <v>0.11</v>
      </c>
      <c r="J63" s="1064">
        <f t="shared" si="14"/>
        <v>1.06E-2</v>
      </c>
      <c r="K63" s="1064">
        <f t="shared" si="15"/>
        <v>5.3E-3</v>
      </c>
      <c r="L63" s="1064">
        <v>0</v>
      </c>
      <c r="M63" s="1064">
        <f t="shared" si="16"/>
        <v>-5.3E-3</v>
      </c>
      <c r="N63" s="1064">
        <f t="shared" si="16"/>
        <v>-1.06E-2</v>
      </c>
      <c r="AA63" s="1119"/>
      <c r="AB63" s="1119"/>
      <c r="AC63" s="1119"/>
      <c r="AD63" s="1119"/>
      <c r="AE63" s="1119"/>
      <c r="AF63" s="1119"/>
      <c r="AG63" s="1119"/>
      <c r="AH63" s="1119"/>
      <c r="AI63" s="1119"/>
      <c r="AJ63" s="1119"/>
      <c r="AK63" s="1119"/>
    </row>
    <row r="64" spans="1:37" s="1118" customFormat="1" ht="36.75">
      <c r="A64" s="2128" t="s">
        <v>2052</v>
      </c>
      <c r="B64" s="2133" t="s">
        <v>2053</v>
      </c>
      <c r="C64" s="2042" t="s">
        <v>3990</v>
      </c>
      <c r="D64" s="1065">
        <f t="shared" si="12"/>
        <v>2.3999999999999998E-3</v>
      </c>
      <c r="E64" s="745"/>
      <c r="F64" s="1812"/>
      <c r="G64" s="1063">
        <v>2.3999999999999998E-3</v>
      </c>
      <c r="H64" s="1066">
        <f t="shared" si="13"/>
        <v>2.3999999999999998E-3</v>
      </c>
      <c r="I64" s="3361">
        <v>0.05</v>
      </c>
      <c r="J64" s="1064">
        <f t="shared" si="14"/>
        <v>4.7999999999999996E-3</v>
      </c>
      <c r="K64" s="1064">
        <f t="shared" si="15"/>
        <v>2.3999999999999998E-3</v>
      </c>
      <c r="L64" s="1064">
        <v>0</v>
      </c>
      <c r="M64" s="1064">
        <f t="shared" si="16"/>
        <v>-2.3999999999999998E-3</v>
      </c>
      <c r="N64" s="1064">
        <f t="shared" si="16"/>
        <v>-4.7999999999999996E-3</v>
      </c>
      <c r="AA64" s="1119"/>
      <c r="AB64" s="1119"/>
      <c r="AC64" s="1119"/>
      <c r="AD64" s="1119"/>
      <c r="AE64" s="1119"/>
      <c r="AF64" s="1119"/>
      <c r="AG64" s="1119"/>
      <c r="AH64" s="1119"/>
      <c r="AI64" s="1119"/>
      <c r="AJ64" s="1119"/>
      <c r="AK64" s="1119"/>
    </row>
    <row r="65" spans="1:37" s="1118" customFormat="1" ht="24">
      <c r="A65" s="2128" t="s">
        <v>2054</v>
      </c>
      <c r="B65" s="2132">
        <f>估价对象房地状况!C24</f>
        <v>0</v>
      </c>
      <c r="C65" s="2042" t="s">
        <v>3994</v>
      </c>
      <c r="D65" s="1065">
        <f t="shared" si="12"/>
        <v>0</v>
      </c>
      <c r="E65" s="745"/>
      <c r="F65" s="1812"/>
      <c r="G65" s="1063">
        <v>2.3999999999999998E-3</v>
      </c>
      <c r="H65" s="1066">
        <f t="shared" si="13"/>
        <v>2.3999999999999998E-3</v>
      </c>
      <c r="I65" s="3361">
        <v>0.05</v>
      </c>
      <c r="J65" s="1064">
        <f t="shared" si="14"/>
        <v>4.7999999999999996E-3</v>
      </c>
      <c r="K65" s="1064">
        <f t="shared" si="15"/>
        <v>2.3999999999999998E-3</v>
      </c>
      <c r="L65" s="1064">
        <v>0</v>
      </c>
      <c r="M65" s="1064">
        <f t="shared" si="16"/>
        <v>-2.3999999999999998E-3</v>
      </c>
      <c r="N65" s="1064">
        <f t="shared" si="16"/>
        <v>-4.7999999999999996E-3</v>
      </c>
      <c r="AA65" s="1119"/>
      <c r="AB65" s="1119"/>
      <c r="AC65" s="1119"/>
      <c r="AD65" s="1119"/>
      <c r="AE65" s="1119"/>
      <c r="AF65" s="1119"/>
      <c r="AG65" s="1119"/>
      <c r="AH65" s="1119"/>
      <c r="AI65" s="1119"/>
      <c r="AJ65" s="1119"/>
      <c r="AK65" s="1119"/>
    </row>
    <row r="66" spans="1:37" s="1118" customFormat="1" ht="24">
      <c r="A66" s="2128" t="s">
        <v>2055</v>
      </c>
      <c r="B66" s="2134" t="s">
        <v>2056</v>
      </c>
      <c r="C66" s="2042" t="s">
        <v>3990</v>
      </c>
      <c r="D66" s="1065">
        <f t="shared" si="12"/>
        <v>2.8999999999999998E-3</v>
      </c>
      <c r="E66" s="745"/>
      <c r="F66" s="1812"/>
      <c r="G66" s="1063">
        <v>2.8999999999999998E-3</v>
      </c>
      <c r="H66" s="1066">
        <f t="shared" si="13"/>
        <v>2.8999999999999998E-3</v>
      </c>
      <c r="I66" s="3361">
        <v>0.06</v>
      </c>
      <c r="J66" s="1064">
        <f t="shared" si="14"/>
        <v>5.7999999999999996E-3</v>
      </c>
      <c r="K66" s="1064">
        <f t="shared" si="15"/>
        <v>2.8999999999999998E-3</v>
      </c>
      <c r="L66" s="1064">
        <v>0</v>
      </c>
      <c r="M66" s="1064">
        <f t="shared" si="16"/>
        <v>-2.8999999999999998E-3</v>
      </c>
      <c r="N66" s="1064">
        <f t="shared" si="16"/>
        <v>-5.7999999999999996E-3</v>
      </c>
      <c r="AA66" s="1119"/>
      <c r="AB66" s="1119"/>
      <c r="AC66" s="1119"/>
      <c r="AD66" s="1119"/>
      <c r="AE66" s="1119"/>
      <c r="AF66" s="1119"/>
      <c r="AG66" s="1119"/>
      <c r="AH66" s="1119"/>
      <c r="AI66" s="1119"/>
      <c r="AJ66" s="1119"/>
      <c r="AK66" s="1119"/>
    </row>
    <row r="67" spans="1:37" s="1118" customFormat="1" ht="24">
      <c r="A67" s="2128" t="s">
        <v>2057</v>
      </c>
      <c r="B67" s="1324" t="str">
        <f>估价对象房地状况!C21</f>
        <v>较好</v>
      </c>
      <c r="C67" s="2042" t="s">
        <v>3990</v>
      </c>
      <c r="D67" s="1065">
        <f t="shared" si="12"/>
        <v>2.8999999999999998E-3</v>
      </c>
      <c r="E67" s="745"/>
      <c r="F67" s="1812"/>
      <c r="G67" s="1063">
        <v>2.8999999999999998E-3</v>
      </c>
      <c r="H67" s="1066">
        <f t="shared" si="13"/>
        <v>2.8999999999999998E-3</v>
      </c>
      <c r="I67" s="3361">
        <v>0.06</v>
      </c>
      <c r="J67" s="1064">
        <f t="shared" si="14"/>
        <v>5.7999999999999996E-3</v>
      </c>
      <c r="K67" s="1064">
        <f t="shared" si="15"/>
        <v>2.8999999999999998E-3</v>
      </c>
      <c r="L67" s="1064">
        <v>0</v>
      </c>
      <c r="M67" s="1064">
        <f t="shared" si="16"/>
        <v>-2.8999999999999998E-3</v>
      </c>
      <c r="N67" s="1064">
        <f t="shared" si="16"/>
        <v>-5.7999999999999996E-3</v>
      </c>
      <c r="AA67" s="1119"/>
      <c r="AB67" s="1119"/>
      <c r="AC67" s="1119"/>
      <c r="AD67" s="1119"/>
      <c r="AE67" s="1119"/>
      <c r="AF67" s="1119"/>
      <c r="AG67" s="1119"/>
      <c r="AH67" s="1119"/>
      <c r="AI67" s="1119"/>
      <c r="AJ67" s="1119"/>
      <c r="AK67" s="1119"/>
    </row>
    <row r="68" spans="1:37" s="1118" customFormat="1" ht="24">
      <c r="A68" s="2128" t="s">
        <v>2058</v>
      </c>
      <c r="B68" s="1324" t="str">
        <f>估价对象房地状况!C22</f>
        <v>七通</v>
      </c>
      <c r="C68" s="2042" t="s">
        <v>4026</v>
      </c>
      <c r="D68" s="1065">
        <f t="shared" si="12"/>
        <v>8.8000000000000005E-3</v>
      </c>
      <c r="E68" s="745"/>
      <c r="F68" s="1812"/>
      <c r="G68" s="1063">
        <v>4.4000000000000003E-3</v>
      </c>
      <c r="H68" s="1066">
        <f t="shared" si="13"/>
        <v>4.4000000000000003E-3</v>
      </c>
      <c r="I68" s="3361">
        <v>0.09</v>
      </c>
      <c r="J68" s="1064">
        <f t="shared" si="14"/>
        <v>8.8000000000000005E-3</v>
      </c>
      <c r="K68" s="1064">
        <f t="shared" si="15"/>
        <v>4.4000000000000003E-3</v>
      </c>
      <c r="L68" s="1064">
        <v>0</v>
      </c>
      <c r="M68" s="1064">
        <f t="shared" si="16"/>
        <v>-4.4000000000000003E-3</v>
      </c>
      <c r="N68" s="1064">
        <f t="shared" si="16"/>
        <v>-8.8000000000000005E-3</v>
      </c>
      <c r="AA68" s="1119"/>
      <c r="AB68" s="1119"/>
      <c r="AC68" s="1119"/>
      <c r="AD68" s="1119"/>
      <c r="AE68" s="1119"/>
      <c r="AF68" s="1119"/>
      <c r="AG68" s="1119"/>
      <c r="AH68" s="1119"/>
      <c r="AI68" s="1119"/>
      <c r="AJ68" s="1119"/>
      <c r="AK68" s="1119"/>
    </row>
    <row r="69" spans="1:37" s="1118" customFormat="1" ht="24.75" thickBot="1">
      <c r="A69" s="2136" t="s">
        <v>2059</v>
      </c>
      <c r="B69" s="2138" t="str">
        <f>估价对象房地状况!C20</f>
        <v>较好</v>
      </c>
      <c r="C69" s="2042" t="s">
        <v>3990</v>
      </c>
      <c r="D69" s="1065">
        <f t="shared" si="12"/>
        <v>3.3999999999999998E-3</v>
      </c>
      <c r="E69" s="746"/>
      <c r="F69" s="1812"/>
      <c r="G69" s="1063">
        <v>3.3999999999999998E-3</v>
      </c>
      <c r="H69" s="1066">
        <f t="shared" si="13"/>
        <v>3.3999999999999998E-3</v>
      </c>
      <c r="I69" s="3362">
        <v>7.0000000000000007E-2</v>
      </c>
      <c r="J69" s="1064">
        <f t="shared" si="14"/>
        <v>6.7999999999999996E-3</v>
      </c>
      <c r="K69" s="1064">
        <f t="shared" si="15"/>
        <v>3.3999999999999998E-3</v>
      </c>
      <c r="L69" s="1064">
        <v>0</v>
      </c>
      <c r="M69" s="1064">
        <f t="shared" si="16"/>
        <v>-3.3999999999999998E-3</v>
      </c>
      <c r="N69" s="1064">
        <f t="shared" si="16"/>
        <v>-6.7999999999999996E-3</v>
      </c>
      <c r="AA69" s="1119"/>
      <c r="AB69" s="1119"/>
      <c r="AC69" s="1119"/>
      <c r="AD69" s="1119"/>
      <c r="AE69" s="1119"/>
      <c r="AF69" s="1119"/>
      <c r="AG69" s="1119"/>
      <c r="AH69" s="1119"/>
      <c r="AI69" s="1119"/>
      <c r="AJ69" s="1119"/>
      <c r="AK69" s="1119"/>
    </row>
    <row r="70" spans="1:37" s="1118" customFormat="1" ht="15">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2042</v>
      </c>
      <c r="B71" s="1349"/>
      <c r="C71" s="1349" t="s">
        <v>2044</v>
      </c>
      <c r="D71" s="1349" t="s">
        <v>2045</v>
      </c>
      <c r="E71" s="743" t="s">
        <v>2046</v>
      </c>
      <c r="F71" s="2129" t="s">
        <v>2061</v>
      </c>
      <c r="G71" s="1349" t="s">
        <v>310</v>
      </c>
      <c r="H71" s="2130"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8" t="s">
        <v>2064</v>
      </c>
      <c r="B72" s="2131" t="str">
        <f>估价对象房地状况!C15</f>
        <v>较好</v>
      </c>
      <c r="C72" s="2042"/>
      <c r="D72" s="1065">
        <f t="shared" ref="D72:D80" si="17">SUMIF($J$71:$N$71,C72,J72:N72)</f>
        <v>0</v>
      </c>
      <c r="E72" s="744">
        <f>ROUND(SUM(D72:D80),4)</f>
        <v>0</v>
      </c>
      <c r="F72" s="1812"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14.25">
      <c r="A73" s="2128" t="s">
        <v>2051</v>
      </c>
      <c r="B73" s="2132" t="str">
        <f>估价对象房地状况!C18</f>
        <v>一般</v>
      </c>
      <c r="C73" s="2042"/>
      <c r="D73" s="1065">
        <f t="shared" si="17"/>
        <v>0</v>
      </c>
      <c r="E73" s="747"/>
      <c r="F73" s="1812"/>
      <c r="G73" s="1063"/>
      <c r="H73" s="1066" t="str">
        <f t="shared" si="18"/>
        <v>——</v>
      </c>
      <c r="I73" s="3361">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5" customFormat="1" ht="36">
      <c r="A74" s="3363" t="s">
        <v>3260</v>
      </c>
      <c r="B74" s="2132">
        <f>估价对象房地状况!C19</f>
        <v>0</v>
      </c>
      <c r="C74" s="2042"/>
      <c r="D74" s="1065">
        <f t="shared" si="17"/>
        <v>0</v>
      </c>
      <c r="E74" s="747"/>
      <c r="F74" s="1812"/>
      <c r="G74" s="1063"/>
      <c r="H74" s="1066" t="str">
        <f t="shared" si="18"/>
        <v>——</v>
      </c>
      <c r="I74" s="3361">
        <v>0.1</v>
      </c>
      <c r="J74" s="1064">
        <f t="shared" si="19"/>
        <v>0</v>
      </c>
      <c r="K74" s="1064">
        <f t="shared" si="20"/>
        <v>0</v>
      </c>
      <c r="L74" s="1064">
        <v>0</v>
      </c>
      <c r="M74" s="1064">
        <f t="shared" si="21"/>
        <v>0</v>
      </c>
      <c r="N74" s="1064">
        <f t="shared" si="21"/>
        <v>0</v>
      </c>
      <c r="O74" s="1118"/>
      <c r="P74" s="1118"/>
      <c r="Q74" s="1118"/>
      <c r="AA74" s="2139"/>
      <c r="AB74" s="1119"/>
      <c r="AC74" s="1119"/>
      <c r="AD74" s="1119"/>
      <c r="AE74" s="1119"/>
      <c r="AF74" s="1119"/>
      <c r="AG74" s="1119"/>
      <c r="AH74" s="2139"/>
      <c r="AI74" s="2139"/>
      <c r="AJ74" s="2139"/>
      <c r="AK74" s="2139"/>
    </row>
    <row r="75" spans="1:37" ht="14.25">
      <c r="A75" s="2128" t="s">
        <v>2065</v>
      </c>
      <c r="B75" s="2132">
        <f>估价对象房地状况!C24</f>
        <v>0</v>
      </c>
      <c r="C75" s="2042"/>
      <c r="D75" s="1065">
        <f t="shared" si="17"/>
        <v>0</v>
      </c>
      <c r="E75" s="747"/>
      <c r="F75" s="1812"/>
      <c r="G75" s="1063"/>
      <c r="H75" s="1066" t="str">
        <f t="shared" si="18"/>
        <v>——</v>
      </c>
      <c r="I75" s="3361">
        <v>0.05</v>
      </c>
      <c r="J75" s="1064">
        <f t="shared" si="19"/>
        <v>0</v>
      </c>
      <c r="K75" s="1064">
        <f t="shared" si="20"/>
        <v>0</v>
      </c>
      <c r="L75" s="1064">
        <v>0</v>
      </c>
      <c r="M75" s="1064">
        <f t="shared" si="21"/>
        <v>0</v>
      </c>
      <c r="N75" s="1064">
        <f t="shared" si="21"/>
        <v>0</v>
      </c>
      <c r="O75" s="1118"/>
      <c r="P75" s="1118"/>
      <c r="Q75" s="1995"/>
      <c r="Z75" s="1996"/>
      <c r="AA75" s="2051"/>
      <c r="AG75" s="1120"/>
      <c r="AK75" s="2051"/>
    </row>
    <row r="76" spans="1:37" ht="24">
      <c r="A76" s="2128" t="s">
        <v>2057</v>
      </c>
      <c r="B76" s="1324" t="str">
        <f>估价对象房地状况!C21</f>
        <v>较好</v>
      </c>
      <c r="C76" s="2042"/>
      <c r="D76" s="1065">
        <f t="shared" si="17"/>
        <v>0</v>
      </c>
      <c r="E76" s="747"/>
      <c r="F76" s="1812"/>
      <c r="G76" s="1063"/>
      <c r="H76" s="1066" t="str">
        <f t="shared" si="18"/>
        <v>——</v>
      </c>
      <c r="I76" s="3361">
        <v>0.08</v>
      </c>
      <c r="J76" s="1064">
        <f t="shared" si="19"/>
        <v>0</v>
      </c>
      <c r="K76" s="1064">
        <f t="shared" si="20"/>
        <v>0</v>
      </c>
      <c r="L76" s="1064">
        <v>0</v>
      </c>
      <c r="M76" s="1064">
        <f t="shared" si="21"/>
        <v>0</v>
      </c>
      <c r="N76" s="1064">
        <f t="shared" si="21"/>
        <v>0</v>
      </c>
      <c r="O76" s="1118"/>
      <c r="P76" s="1118"/>
      <c r="Z76" s="1996"/>
      <c r="AA76" s="2051"/>
      <c r="AG76" s="1120"/>
      <c r="AK76" s="2051"/>
    </row>
    <row r="77" spans="1:37" ht="24">
      <c r="A77" s="2128" t="s">
        <v>2058</v>
      </c>
      <c r="B77" s="1324" t="str">
        <f>估价对象房地状况!C22</f>
        <v>七通</v>
      </c>
      <c r="C77" s="2042"/>
      <c r="D77" s="1065">
        <f t="shared" si="17"/>
        <v>0</v>
      </c>
      <c r="E77" s="747"/>
      <c r="F77" s="1812"/>
      <c r="G77" s="1063"/>
      <c r="H77" s="1066" t="str">
        <f t="shared" si="18"/>
        <v>——</v>
      </c>
      <c r="I77" s="3361">
        <v>0.09</v>
      </c>
      <c r="J77" s="1064">
        <f t="shared" si="19"/>
        <v>0</v>
      </c>
      <c r="K77" s="1064">
        <f t="shared" si="20"/>
        <v>0</v>
      </c>
      <c r="L77" s="1064">
        <v>0</v>
      </c>
      <c r="M77" s="1064">
        <f t="shared" si="21"/>
        <v>0</v>
      </c>
      <c r="N77" s="1064">
        <f t="shared" si="21"/>
        <v>0</v>
      </c>
      <c r="O77" s="1118"/>
      <c r="P77" s="1118"/>
      <c r="Z77" s="1996"/>
      <c r="AA77" s="2051"/>
      <c r="AG77" s="1120"/>
      <c r="AK77" s="2051"/>
    </row>
    <row r="78" spans="1:37" ht="24">
      <c r="A78" s="2128" t="s">
        <v>2055</v>
      </c>
      <c r="B78" s="2134" t="s">
        <v>2056</v>
      </c>
      <c r="C78" s="2042"/>
      <c r="D78" s="1065">
        <f t="shared" si="17"/>
        <v>0</v>
      </c>
      <c r="E78" s="747"/>
      <c r="F78" s="1812"/>
      <c r="G78" s="1063"/>
      <c r="H78" s="1066" t="str">
        <f t="shared" si="18"/>
        <v>——</v>
      </c>
      <c r="I78" s="3361">
        <v>0.05</v>
      </c>
      <c r="J78" s="1064">
        <f t="shared" si="19"/>
        <v>0</v>
      </c>
      <c r="K78" s="1064">
        <f t="shared" si="20"/>
        <v>0</v>
      </c>
      <c r="L78" s="1064">
        <v>0</v>
      </c>
      <c r="M78" s="1064">
        <f t="shared" si="21"/>
        <v>0</v>
      </c>
      <c r="N78" s="1064">
        <f t="shared" si="21"/>
        <v>0</v>
      </c>
      <c r="O78" s="1995"/>
      <c r="P78" s="1995"/>
      <c r="Z78" s="1996"/>
      <c r="AA78" s="2051"/>
      <c r="AG78" s="1120"/>
      <c r="AK78" s="2051"/>
    </row>
    <row r="79" spans="1:37" ht="24">
      <c r="A79" s="2128" t="s">
        <v>2059</v>
      </c>
      <c r="B79" s="2131" t="str">
        <f>估价对象房地状况!C20</f>
        <v>较好</v>
      </c>
      <c r="C79" s="2042"/>
      <c r="D79" s="1065">
        <f t="shared" si="17"/>
        <v>0</v>
      </c>
      <c r="E79" s="747"/>
      <c r="F79" s="1812"/>
      <c r="G79" s="1063"/>
      <c r="H79" s="1066" t="str">
        <f t="shared" si="18"/>
        <v>——</v>
      </c>
      <c r="I79" s="3361">
        <v>0.12</v>
      </c>
      <c r="J79" s="1064">
        <f t="shared" si="19"/>
        <v>0</v>
      </c>
      <c r="K79" s="1064">
        <f t="shared" si="20"/>
        <v>0</v>
      </c>
      <c r="L79" s="1064">
        <v>0</v>
      </c>
      <c r="M79" s="1064">
        <f t="shared" si="21"/>
        <v>0</v>
      </c>
      <c r="N79" s="1064">
        <f t="shared" si="21"/>
        <v>0</v>
      </c>
      <c r="Z79" s="1996"/>
      <c r="AA79" s="2051"/>
      <c r="AG79" s="1120"/>
      <c r="AK79" s="2051"/>
    </row>
    <row r="80" spans="1:37" ht="24.75" thickBot="1">
      <c r="A80" s="2136" t="s">
        <v>2066</v>
      </c>
      <c r="B80" s="2140"/>
      <c r="C80" s="2042"/>
      <c r="D80" s="1065">
        <f t="shared" si="17"/>
        <v>0</v>
      </c>
      <c r="E80" s="748"/>
      <c r="F80" s="1812"/>
      <c r="G80" s="1063"/>
      <c r="H80" s="1066" t="str">
        <f t="shared" si="18"/>
        <v>——</v>
      </c>
      <c r="I80" s="3362">
        <v>0.05</v>
      </c>
      <c r="J80" s="1064">
        <f t="shared" si="19"/>
        <v>0</v>
      </c>
      <c r="K80" s="1064">
        <f t="shared" si="20"/>
        <v>0</v>
      </c>
      <c r="L80" s="1064">
        <v>0</v>
      </c>
      <c r="M80" s="1064">
        <f t="shared" si="21"/>
        <v>0</v>
      </c>
      <c r="N80" s="1064">
        <f t="shared" si="21"/>
        <v>0</v>
      </c>
      <c r="Z80" s="1996"/>
      <c r="AA80" s="2051"/>
      <c r="AG80" s="1120"/>
      <c r="AK80" s="2051"/>
    </row>
    <row r="81" spans="1:37" ht="15">
      <c r="A81" s="2124" t="s">
        <v>2067</v>
      </c>
      <c r="B81" s="2125">
        <f>1+E83</f>
        <v>1</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1719</v>
      </c>
      <c r="K82" s="552" t="s">
        <v>1720</v>
      </c>
      <c r="L82" s="552" t="s">
        <v>1721</v>
      </c>
      <c r="M82" s="552" t="s">
        <v>1722</v>
      </c>
      <c r="N82" s="552" t="s">
        <v>1723</v>
      </c>
      <c r="Z82" s="1996"/>
      <c r="AA82" s="2051"/>
      <c r="AG82" s="1120"/>
      <c r="AK82" s="2051"/>
    </row>
    <row r="83" spans="1:37" ht="38.25">
      <c r="A83" s="2128" t="s">
        <v>2068</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1">
        <v>0.3</v>
      </c>
      <c r="J84" s="1064">
        <f t="shared" si="24"/>
        <v>0</v>
      </c>
      <c r="K84" s="1064">
        <f t="shared" si="25"/>
        <v>0</v>
      </c>
      <c r="L84" s="1064">
        <v>0</v>
      </c>
      <c r="M84" s="1064">
        <f t="shared" si="26"/>
        <v>0</v>
      </c>
      <c r="N84" s="1064">
        <f t="shared" si="26"/>
        <v>0</v>
      </c>
      <c r="Z84" s="1996"/>
      <c r="AA84" s="2051"/>
      <c r="AG84" s="1120"/>
      <c r="AK84" s="2051"/>
    </row>
    <row r="85" spans="1:37" ht="36">
      <c r="A85" s="3363" t="s">
        <v>3261</v>
      </c>
      <c r="B85" s="2132">
        <f>估价对象房地状况!G17</f>
        <v>0</v>
      </c>
      <c r="C85" s="2042"/>
      <c r="D85" s="1065">
        <f t="shared" si="22"/>
        <v>0</v>
      </c>
      <c r="E85" s="747"/>
      <c r="F85" s="1812"/>
      <c r="G85" s="1063"/>
      <c r="H85" s="1066" t="str">
        <f t="shared" si="23"/>
        <v>——</v>
      </c>
      <c r="I85" s="3361">
        <v>0.1</v>
      </c>
      <c r="J85" s="1064">
        <f t="shared" si="24"/>
        <v>0</v>
      </c>
      <c r="K85" s="1064">
        <f t="shared" si="25"/>
        <v>0</v>
      </c>
      <c r="L85" s="1064">
        <v>0</v>
      </c>
      <c r="M85" s="1064">
        <f t="shared" si="26"/>
        <v>0</v>
      </c>
      <c r="N85" s="1064">
        <f t="shared" si="26"/>
        <v>0</v>
      </c>
      <c r="Z85" s="1996"/>
      <c r="AA85" s="2051"/>
      <c r="AG85" s="1120"/>
      <c r="AK85" s="2051"/>
    </row>
    <row r="86" spans="1:37" ht="14.25">
      <c r="A86" s="2128" t="s">
        <v>2065</v>
      </c>
      <c r="B86" s="2132">
        <f>估价对象房地状况!G22</f>
        <v>0</v>
      </c>
      <c r="C86" s="2042"/>
      <c r="D86" s="1065">
        <f t="shared" si="22"/>
        <v>0</v>
      </c>
      <c r="E86" s="747"/>
      <c r="F86" s="1812"/>
      <c r="G86" s="1063"/>
      <c r="H86" s="1066" t="str">
        <f t="shared" si="23"/>
        <v>——</v>
      </c>
      <c r="I86" s="3361">
        <v>0.05</v>
      </c>
      <c r="J86" s="1064">
        <f t="shared" si="24"/>
        <v>0</v>
      </c>
      <c r="K86" s="1064">
        <f t="shared" si="25"/>
        <v>0</v>
      </c>
      <c r="L86" s="1064">
        <v>0</v>
      </c>
      <c r="M86" s="1064">
        <f t="shared" si="26"/>
        <v>0</v>
      </c>
      <c r="N86" s="1064">
        <f t="shared" si="26"/>
        <v>0</v>
      </c>
      <c r="Z86" s="1996"/>
      <c r="AA86" s="2051"/>
      <c r="AG86" s="1120"/>
      <c r="AK86" s="2051"/>
    </row>
    <row r="87" spans="1:37" ht="25.5">
      <c r="A87" s="2128" t="s">
        <v>2057</v>
      </c>
      <c r="B87" s="1324" t="str">
        <f>估价对象房地状况!G19</f>
        <v>估价对象所在区域公共配套设施齐备情况</v>
      </c>
      <c r="C87" s="2042"/>
      <c r="D87" s="1065">
        <f t="shared" si="22"/>
        <v>0</v>
      </c>
      <c r="E87" s="747"/>
      <c r="F87" s="1812"/>
      <c r="G87" s="1063"/>
      <c r="H87" s="1066" t="str">
        <f t="shared" si="23"/>
        <v>——</v>
      </c>
      <c r="I87" s="3361">
        <v>0.06</v>
      </c>
      <c r="J87" s="1064">
        <f t="shared" si="24"/>
        <v>0</v>
      </c>
      <c r="K87" s="1064">
        <f t="shared" si="25"/>
        <v>0</v>
      </c>
      <c r="L87" s="1064">
        <v>0</v>
      </c>
      <c r="M87" s="1064">
        <f t="shared" si="26"/>
        <v>0</v>
      </c>
      <c r="N87" s="1064">
        <f t="shared" si="26"/>
        <v>0</v>
      </c>
    </row>
    <row r="88" spans="1:37" ht="25.5">
      <c r="A88" s="2128" t="s">
        <v>2058</v>
      </c>
      <c r="B88" s="1324" t="str">
        <f>估价对象房地状况!G20</f>
        <v>估价对象所在区域基础设施水平</v>
      </c>
      <c r="C88" s="2042"/>
      <c r="D88" s="1065">
        <f t="shared" si="22"/>
        <v>0</v>
      </c>
      <c r="E88" s="747"/>
      <c r="F88" s="1812"/>
      <c r="G88" s="1063"/>
      <c r="H88" s="1066" t="str">
        <f t="shared" si="23"/>
        <v>——</v>
      </c>
      <c r="I88" s="3361">
        <v>0.12</v>
      </c>
      <c r="J88" s="1064">
        <f t="shared" si="24"/>
        <v>0</v>
      </c>
      <c r="K88" s="1064">
        <f t="shared" si="25"/>
        <v>0</v>
      </c>
      <c r="L88" s="1064">
        <v>0</v>
      </c>
      <c r="M88" s="1064">
        <f t="shared" si="26"/>
        <v>0</v>
      </c>
      <c r="N88" s="1064">
        <f t="shared" si="26"/>
        <v>0</v>
      </c>
    </row>
    <row r="89" spans="1:37" ht="24">
      <c r="A89" s="2128" t="s">
        <v>2055</v>
      </c>
      <c r="B89" s="2134" t="s">
        <v>2069</v>
      </c>
      <c r="C89" s="2042"/>
      <c r="D89" s="1065">
        <f t="shared" si="22"/>
        <v>0</v>
      </c>
      <c r="E89" s="747"/>
      <c r="F89" s="1812"/>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2070</v>
      </c>
      <c r="B90" s="2141" t="str">
        <f>估价对象房地状况!G18</f>
        <v>该园区内是否有污染型企业，绿化情况，卫生条件，整体环境状况判断</v>
      </c>
      <c r="C90" s="2042"/>
      <c r="D90" s="1065">
        <f t="shared" si="22"/>
        <v>0</v>
      </c>
      <c r="E90" s="748"/>
      <c r="F90" s="1812"/>
      <c r="G90" s="1063"/>
      <c r="H90" s="1066" t="str">
        <f t="shared" si="23"/>
        <v>——</v>
      </c>
      <c r="I90" s="3362">
        <v>0.05</v>
      </c>
      <c r="J90" s="1064">
        <f t="shared" si="24"/>
        <v>0</v>
      </c>
      <c r="K90" s="1064">
        <f t="shared" si="25"/>
        <v>0</v>
      </c>
      <c r="L90" s="1064">
        <v>0</v>
      </c>
      <c r="M90" s="1064">
        <f t="shared" si="26"/>
        <v>0</v>
      </c>
      <c r="N90" s="1064">
        <f t="shared" si="26"/>
        <v>0</v>
      </c>
    </row>
    <row r="91" spans="1:37" ht="15">
      <c r="A91" s="3371" t="s">
        <v>2604</v>
      </c>
      <c r="B91" s="3372">
        <f>1+E93</f>
        <v>1</v>
      </c>
      <c r="C91" s="3365"/>
      <c r="D91" s="3366"/>
      <c r="E91" s="1812"/>
      <c r="F91" s="1812"/>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2083</v>
      </c>
      <c r="H92" s="3382" t="s">
        <v>3278</v>
      </c>
      <c r="I92" s="3360" t="s">
        <v>2049</v>
      </c>
      <c r="J92" s="3383" t="s">
        <v>3280</v>
      </c>
      <c r="K92" s="3383" t="s">
        <v>1720</v>
      </c>
      <c r="L92" s="3383" t="s">
        <v>1721</v>
      </c>
      <c r="M92" s="3383" t="s">
        <v>1722</v>
      </c>
      <c r="N92" s="3383" t="s">
        <v>1723</v>
      </c>
    </row>
    <row r="93" spans="1:37" ht="24">
      <c r="A93" s="3363" t="s">
        <v>3263</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2051</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2052</v>
      </c>
      <c r="B96" s="3379" t="s">
        <v>3276</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2054</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2057</v>
      </c>
      <c r="B99" s="3364" t="str">
        <f>估价对象房地状况!C21</f>
        <v>较好</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3" t="s">
        <v>3285</v>
      </c>
      <c r="B103" s="3783"/>
      <c r="C103" s="3783"/>
      <c r="D103" s="3783"/>
      <c r="E103" s="3783"/>
      <c r="F103" s="3783"/>
      <c r="G103" s="3783"/>
      <c r="H103" s="3783"/>
      <c r="I103" s="3783"/>
      <c r="J103" s="3783"/>
      <c r="K103" s="3462"/>
      <c r="L103" s="3462"/>
      <c r="M103" s="3462"/>
      <c r="N103" s="3462"/>
    </row>
    <row r="104" spans="1:14">
      <c r="A104" s="3784" t="s">
        <v>3286</v>
      </c>
      <c r="B104" s="3784" t="s">
        <v>3287</v>
      </c>
      <c r="C104" s="3385" t="s">
        <v>3288</v>
      </c>
      <c r="D104" s="3386"/>
      <c r="E104" s="3386"/>
      <c r="F104" s="3386"/>
      <c r="G104" s="3386"/>
      <c r="H104" s="3386"/>
      <c r="I104" s="3386"/>
      <c r="J104" s="3387"/>
      <c r="K104" s="3388"/>
      <c r="L104" s="3388"/>
      <c r="M104" s="3388"/>
      <c r="N104" s="3388"/>
    </row>
    <row r="105" spans="1:14">
      <c r="A105" s="3784"/>
      <c r="B105" s="3784"/>
      <c r="C105" s="3463" t="s">
        <v>3289</v>
      </c>
      <c r="D105" s="3463" t="s">
        <v>3290</v>
      </c>
      <c r="E105" s="3463" t="s">
        <v>1961</v>
      </c>
      <c r="F105" s="3463" t="s">
        <v>1962</v>
      </c>
      <c r="G105" s="3463" t="s">
        <v>3293</v>
      </c>
      <c r="H105" s="3463" t="s">
        <v>3294</v>
      </c>
      <c r="I105" s="3463" t="s">
        <v>1965</v>
      </c>
      <c r="J105" s="3463" t="s">
        <v>3296</v>
      </c>
      <c r="K105" s="3463" t="s">
        <v>3297</v>
      </c>
      <c r="L105" s="3463" t="s">
        <v>3298</v>
      </c>
      <c r="M105" s="3463" t="s">
        <v>3299</v>
      </c>
      <c r="N105" s="3463" t="s">
        <v>3300</v>
      </c>
    </row>
    <row r="106" spans="1:14">
      <c r="A106" s="3770" t="s">
        <v>3301</v>
      </c>
      <c r="B106" s="3463">
        <v>1</v>
      </c>
      <c r="C106" s="3463">
        <v>1.5206</v>
      </c>
      <c r="D106" s="3463">
        <v>1.5206</v>
      </c>
      <c r="E106" s="3463">
        <v>1.5019</v>
      </c>
      <c r="F106" s="3463">
        <v>1.5019</v>
      </c>
      <c r="G106" s="3463">
        <v>1.5019</v>
      </c>
      <c r="H106" s="3463">
        <v>1.5019</v>
      </c>
      <c r="I106" s="3463">
        <v>1.5019</v>
      </c>
      <c r="J106" s="3463">
        <v>1.5418000000000001</v>
      </c>
      <c r="K106" s="3463">
        <v>1.5418000000000001</v>
      </c>
      <c r="L106" s="3463">
        <v>1.5418000000000001</v>
      </c>
      <c r="M106" s="3463">
        <v>1.5418000000000001</v>
      </c>
      <c r="N106" s="3463">
        <v>1.5418000000000001</v>
      </c>
    </row>
    <row r="107" spans="1:14">
      <c r="A107" s="3771"/>
      <c r="B107" s="3463">
        <v>2</v>
      </c>
      <c r="C107" s="3463">
        <v>1.2072000000000001</v>
      </c>
      <c r="D107" s="3463">
        <v>1.2072000000000001</v>
      </c>
      <c r="E107" s="3463">
        <v>1.1838</v>
      </c>
      <c r="F107" s="3463">
        <v>1.1838</v>
      </c>
      <c r="G107" s="3463">
        <v>1.1838</v>
      </c>
      <c r="H107" s="3463">
        <v>1.1838</v>
      </c>
      <c r="I107" s="3463">
        <v>1.1838</v>
      </c>
      <c r="J107" s="3463">
        <v>1.1883999999999999</v>
      </c>
      <c r="K107" s="3463">
        <v>1.1883999999999999</v>
      </c>
      <c r="L107" s="3463">
        <v>1.1883999999999999</v>
      </c>
      <c r="M107" s="3463">
        <v>1.1883999999999999</v>
      </c>
      <c r="N107" s="3463">
        <v>1.1883999999999999</v>
      </c>
    </row>
    <row r="108" spans="1:14">
      <c r="A108" s="3771"/>
      <c r="B108" s="3463">
        <v>3</v>
      </c>
      <c r="C108" s="3463">
        <v>1.0430999999999999</v>
      </c>
      <c r="D108" s="3463">
        <v>1.0430999999999999</v>
      </c>
      <c r="E108" s="3463">
        <v>1.0004999999999999</v>
      </c>
      <c r="F108" s="3463">
        <v>1.0004999999999999</v>
      </c>
      <c r="G108" s="3463">
        <v>1.0004999999999999</v>
      </c>
      <c r="H108" s="3463">
        <v>1.0004999999999999</v>
      </c>
      <c r="I108" s="3463">
        <v>1.0004999999999999</v>
      </c>
      <c r="J108" s="3463">
        <v>0.96940000000000004</v>
      </c>
      <c r="K108" s="3463">
        <v>0.96940000000000004</v>
      </c>
      <c r="L108" s="3463">
        <v>0.96940000000000004</v>
      </c>
      <c r="M108" s="3463">
        <v>0.96940000000000004</v>
      </c>
      <c r="N108" s="3463">
        <v>0.96940000000000004</v>
      </c>
    </row>
    <row r="109" spans="1:14">
      <c r="A109" s="3771"/>
      <c r="B109" s="3463">
        <v>4</v>
      </c>
      <c r="C109" s="3463">
        <v>0.94389999999999996</v>
      </c>
      <c r="D109" s="3463">
        <v>0.94389999999999996</v>
      </c>
      <c r="E109" s="3463">
        <v>0.88239999999999996</v>
      </c>
      <c r="F109" s="3463">
        <v>0.88239999999999996</v>
      </c>
      <c r="G109" s="3463">
        <v>0.88239999999999996</v>
      </c>
      <c r="H109" s="3463">
        <v>0.88239999999999996</v>
      </c>
      <c r="I109" s="3463">
        <v>0.88239999999999996</v>
      </c>
      <c r="J109" s="3463">
        <v>0.82299999999999995</v>
      </c>
      <c r="K109" s="3463">
        <v>0.82299999999999995</v>
      </c>
      <c r="L109" s="3463">
        <v>0.82299999999999995</v>
      </c>
      <c r="M109" s="3463">
        <v>0.82299999999999995</v>
      </c>
      <c r="N109" s="3463">
        <v>0.82299999999999995</v>
      </c>
    </row>
    <row r="110" spans="1:14">
      <c r="A110" s="3771"/>
      <c r="B110" s="3463">
        <v>5</v>
      </c>
      <c r="C110" s="3463">
        <v>0.89959999999999996</v>
      </c>
      <c r="D110" s="3463">
        <v>0.89959999999999996</v>
      </c>
      <c r="E110" s="3463">
        <v>0.84799999999999998</v>
      </c>
      <c r="F110" s="3463">
        <v>0.84799999999999998</v>
      </c>
      <c r="G110" s="3463">
        <v>0.84799999999999998</v>
      </c>
      <c r="H110" s="3463">
        <v>0.84799999999999998</v>
      </c>
      <c r="I110" s="3463">
        <v>0.84799999999999998</v>
      </c>
      <c r="J110" s="3463">
        <v>0.74980000000000002</v>
      </c>
      <c r="K110" s="3463">
        <v>0.74980000000000002</v>
      </c>
      <c r="L110" s="3463">
        <v>0.74980000000000002</v>
      </c>
      <c r="M110" s="3463">
        <v>0.74980000000000002</v>
      </c>
      <c r="N110" s="3463">
        <v>0.74980000000000002</v>
      </c>
    </row>
    <row r="111" spans="1:14">
      <c r="A111" s="3771"/>
      <c r="B111" s="3463"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2"/>
      <c r="B112" s="3463">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3" t="s">
        <v>3302</v>
      </c>
      <c r="B113" s="3773"/>
      <c r="C113" s="3773"/>
      <c r="D113" s="3773"/>
      <c r="E113" s="3773"/>
      <c r="F113" s="3773"/>
      <c r="G113" s="3773"/>
      <c r="H113" s="3773"/>
      <c r="I113" s="3773"/>
      <c r="J113" s="3773"/>
      <c r="K113" s="3460"/>
      <c r="L113" s="3460"/>
      <c r="M113" s="3460"/>
      <c r="N113" s="3460"/>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5.99</v>
      </c>
      <c r="C116" s="3394" t="s">
        <v>3304</v>
      </c>
      <c r="D116" s="3395">
        <f>SUMPRODUCT((A118:A122=F116)*(B117:M117=H116)*B118:M122)</f>
        <v>0.85640000000000005</v>
      </c>
      <c r="E116" s="1998" t="s">
        <v>1934</v>
      </c>
      <c r="F116" s="3396" t="str">
        <f>E2</f>
        <v>办公</v>
      </c>
      <c r="G116" s="1998" t="s">
        <v>1935</v>
      </c>
      <c r="H116" s="3396" t="str">
        <f>G2</f>
        <v>四级</v>
      </c>
      <c r="I116" s="1998"/>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0.93089999999999995</v>
      </c>
      <c r="C118" s="3382">
        <f>B118</f>
        <v>0.93089999999999995</v>
      </c>
      <c r="D118" s="3382">
        <f>ROUND(0.949-0.014*B116,4)</f>
        <v>0.86509999999999998</v>
      </c>
      <c r="E118" s="3382">
        <f>D118</f>
        <v>0.86509999999999998</v>
      </c>
      <c r="F118" s="3382">
        <f>E118</f>
        <v>0.86509999999999998</v>
      </c>
      <c r="G118" s="3382">
        <f>F118</f>
        <v>0.86509999999999998</v>
      </c>
      <c r="H118" s="3382">
        <f>G118</f>
        <v>0.86509999999999998</v>
      </c>
      <c r="I118" s="3382">
        <f>ROUND(0.8486-0.018*B116,4)</f>
        <v>0.74080000000000001</v>
      </c>
      <c r="J118" s="3382">
        <f t="shared" ref="J118:M122" si="35">I118</f>
        <v>0.74080000000000001</v>
      </c>
      <c r="K118" s="3382">
        <f t="shared" si="35"/>
        <v>0.74080000000000001</v>
      </c>
      <c r="L118" s="3382">
        <f t="shared" si="35"/>
        <v>0.74080000000000001</v>
      </c>
      <c r="M118" s="3405">
        <f t="shared" si="35"/>
        <v>0.74080000000000001</v>
      </c>
      <c r="N118" s="3392"/>
    </row>
    <row r="119" spans="1:14">
      <c r="A119" s="3404" t="s">
        <v>3320</v>
      </c>
      <c r="B119" s="3382">
        <f>ROUND(0.993-0.0112*B116,4)</f>
        <v>0.92589999999999995</v>
      </c>
      <c r="C119" s="3382">
        <f>B119</f>
        <v>0.92589999999999995</v>
      </c>
      <c r="D119" s="3382">
        <f>ROUND(0.9415-0.0142*B116,4)</f>
        <v>0.85640000000000005</v>
      </c>
      <c r="E119" s="3382">
        <f t="shared" ref="E119:H120" si="36">D119</f>
        <v>0.85640000000000005</v>
      </c>
      <c r="F119" s="3382">
        <f t="shared" si="36"/>
        <v>0.85640000000000005</v>
      </c>
      <c r="G119" s="3382">
        <f t="shared" si="36"/>
        <v>0.85640000000000005</v>
      </c>
      <c r="H119" s="3382">
        <f t="shared" si="36"/>
        <v>0.85640000000000005</v>
      </c>
      <c r="I119" s="3382">
        <f>ROUND(0.838-0.0182*B116,4)</f>
        <v>0.72899999999999998</v>
      </c>
      <c r="J119" s="3382">
        <f t="shared" si="35"/>
        <v>0.72899999999999998</v>
      </c>
      <c r="K119" s="3382">
        <f t="shared" si="35"/>
        <v>0.72899999999999998</v>
      </c>
      <c r="L119" s="3382">
        <f t="shared" si="35"/>
        <v>0.72899999999999998</v>
      </c>
      <c r="M119" s="3405">
        <f t="shared" si="35"/>
        <v>0.72899999999999998</v>
      </c>
      <c r="N119" s="3392"/>
    </row>
    <row r="120" spans="1:14">
      <c r="A120" s="3404" t="s">
        <v>1990</v>
      </c>
      <c r="B120" s="3382">
        <f>ROUND(0.9448-0.0115*B116,4)</f>
        <v>0.87590000000000001</v>
      </c>
      <c r="C120" s="3382">
        <f>B120</f>
        <v>0.87590000000000001</v>
      </c>
      <c r="D120" s="3382">
        <f>ROUND(0.937-0.0145*B116,4)</f>
        <v>0.85009999999999997</v>
      </c>
      <c r="E120" s="3382">
        <f t="shared" si="36"/>
        <v>0.85009999999999997</v>
      </c>
      <c r="F120" s="3382">
        <f t="shared" si="36"/>
        <v>0.85009999999999997</v>
      </c>
      <c r="G120" s="3382">
        <f t="shared" si="36"/>
        <v>0.85009999999999997</v>
      </c>
      <c r="H120" s="3382">
        <f t="shared" si="36"/>
        <v>0.85009999999999997</v>
      </c>
      <c r="I120" s="3382">
        <f>ROUND(0.7965-0.0185*B116,4)</f>
        <v>0.68569999999999998</v>
      </c>
      <c r="J120" s="3382">
        <f t="shared" si="35"/>
        <v>0.68569999999999998</v>
      </c>
      <c r="K120" s="3382">
        <f t="shared" si="35"/>
        <v>0.68569999999999998</v>
      </c>
      <c r="L120" s="3382">
        <f t="shared" si="35"/>
        <v>0.68569999999999998</v>
      </c>
      <c r="M120" s="3405">
        <f t="shared" si="35"/>
        <v>0.68569999999999998</v>
      </c>
      <c r="N120" s="3392"/>
    </row>
    <row r="121" spans="1:14" ht="13.5" thickBot="1">
      <c r="A121" s="3406" t="s">
        <v>1991</v>
      </c>
      <c r="B121" s="3407">
        <f>ROUND(0.7836-0.012*B116,4)</f>
        <v>0.7117</v>
      </c>
      <c r="C121" s="3407">
        <f>B121</f>
        <v>0.7117</v>
      </c>
      <c r="D121" s="3407">
        <f>ROUND(0.753-0.015*B116,4)</f>
        <v>0.66320000000000001</v>
      </c>
      <c r="E121" s="3407">
        <f>D121</f>
        <v>0.66320000000000001</v>
      </c>
      <c r="F121" s="3407">
        <f>E121</f>
        <v>0.66320000000000001</v>
      </c>
      <c r="G121" s="3407">
        <f>ROUND(0.6612-0.018*B116,4)</f>
        <v>0.5534</v>
      </c>
      <c r="H121" s="3407">
        <f>G121</f>
        <v>0.5534</v>
      </c>
      <c r="I121" s="3407">
        <f>ROUND(0.5905-0.019*B116,4)</f>
        <v>0.47670000000000001</v>
      </c>
      <c r="J121" s="3407">
        <f t="shared" si="35"/>
        <v>0.47670000000000001</v>
      </c>
      <c r="K121" s="3407">
        <f t="shared" si="35"/>
        <v>0.47670000000000001</v>
      </c>
      <c r="L121" s="3407">
        <f t="shared" si="35"/>
        <v>0.47670000000000001</v>
      </c>
      <c r="M121" s="3408">
        <f t="shared" si="35"/>
        <v>0.47670000000000001</v>
      </c>
      <c r="N121" s="3392"/>
    </row>
    <row r="122" spans="1:14">
      <c r="A122" s="3409" t="s">
        <v>2604</v>
      </c>
      <c r="B122" s="3382">
        <f>ROUND(0.9404-0.0106*B116,4)</f>
        <v>0.87690000000000001</v>
      </c>
      <c r="C122" s="3382">
        <f>B122</f>
        <v>0.87690000000000001</v>
      </c>
      <c r="D122" s="3382">
        <f>ROUND(0.8955-0.0135*B116,4)</f>
        <v>0.81459999999999999</v>
      </c>
      <c r="E122" s="3382">
        <f t="shared" ref="E122:H122" si="37">D122</f>
        <v>0.81459999999999999</v>
      </c>
      <c r="F122" s="3382">
        <f t="shared" si="37"/>
        <v>0.81459999999999999</v>
      </c>
      <c r="G122" s="3382">
        <f t="shared" si="37"/>
        <v>0.81459999999999999</v>
      </c>
      <c r="H122" s="3382">
        <f t="shared" si="37"/>
        <v>0.81459999999999999</v>
      </c>
      <c r="I122" s="3382">
        <f>ROUND(0.7632-0.0166*B116,4)</f>
        <v>0.66379999999999995</v>
      </c>
      <c r="J122" s="3382">
        <f t="shared" si="35"/>
        <v>0.66379999999999995</v>
      </c>
      <c r="K122" s="3382">
        <f t="shared" si="35"/>
        <v>0.66379999999999995</v>
      </c>
      <c r="L122" s="3382">
        <f t="shared" si="35"/>
        <v>0.66379999999999995</v>
      </c>
      <c r="M122" s="3405">
        <f t="shared" si="35"/>
        <v>0.66379999999999995</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zoomScaleSheetLayoutView="80" workbookViewId="0">
      <selection activeCell="K50" sqref="K5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89"/>
      <c r="C1" s="1190"/>
      <c r="D1" s="1188"/>
      <c r="E1" s="2800"/>
      <c r="F1" s="2800"/>
      <c r="G1" s="2665"/>
      <c r="H1" s="2800"/>
      <c r="I1" s="2800"/>
      <c r="J1" s="2800"/>
      <c r="K1" s="2801">
        <f>MATCH(C1,'数据-取费表'!A6:A16,0)+5</f>
        <v>9</v>
      </c>
    </row>
    <row r="2" spans="1:33" ht="18" customHeight="1">
      <c r="A2" s="201" t="s">
        <v>1460</v>
      </c>
      <c r="B2" s="204">
        <f ca="1">C32</f>
        <v>152686</v>
      </c>
      <c r="C2" s="276" t="s">
        <v>1593</v>
      </c>
      <c r="D2" s="276"/>
      <c r="E2" s="2800"/>
      <c r="F2" s="2800"/>
      <c r="G2" s="2800"/>
      <c r="H2" s="2800"/>
      <c r="I2" s="2800"/>
      <c r="J2" s="2800"/>
      <c r="K2" s="2800"/>
    </row>
    <row r="3" spans="1:33" ht="18" customHeight="1" thickBot="1">
      <c r="A3" s="203" t="s">
        <v>1462</v>
      </c>
      <c r="B3" s="204">
        <f ca="1">ROUND(B2*10000/IF(C1="",'数据-汇总表'!E3,INDIRECT("'数据-取费表'!K"&amp;$K$1)),0)</f>
        <v>11946</v>
      </c>
      <c r="C3" s="276" t="s">
        <v>1594</v>
      </c>
      <c r="D3" s="276"/>
      <c r="E3" s="2800"/>
      <c r="F3" s="2800"/>
      <c r="G3" s="2800"/>
      <c r="H3" s="2800"/>
      <c r="I3" s="2800"/>
      <c r="J3" s="2800"/>
      <c r="K3" s="2800"/>
    </row>
    <row r="4" spans="1:33" s="785" customFormat="1" ht="16.5" customHeight="1">
      <c r="A4" s="782" t="s">
        <v>1595</v>
      </c>
      <c r="B4" s="783"/>
      <c r="C4" s="824">
        <f ca="1">SUM(C8:K8)</f>
        <v>218187</v>
      </c>
      <c r="D4" s="783"/>
      <c r="E4" s="783"/>
      <c r="F4" s="783"/>
      <c r="G4" s="783"/>
      <c r="H4" s="783"/>
      <c r="I4" s="783"/>
      <c r="J4" s="783"/>
      <c r="K4" s="784"/>
    </row>
    <row r="5" spans="1:33" s="789" customFormat="1" ht="15">
      <c r="A5" s="786" t="s">
        <v>1596</v>
      </c>
      <c r="B5" s="787" t="s">
        <v>1597</v>
      </c>
      <c r="C5" s="1858" t="s">
        <v>3746</v>
      </c>
      <c r="D5" s="1858" t="s">
        <v>673</v>
      </c>
      <c r="E5" s="1858" t="s">
        <v>3749</v>
      </c>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'收益法-办公'!B3</f>
        <v>16351</v>
      </c>
      <c r="D6" s="791">
        <f ca="1">'收益法-商业'!B3</f>
        <v>19920</v>
      </c>
      <c r="E6" s="791">
        <f ca="1">'收益法-车位'!B3</f>
        <v>4108</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50988.659999999887</v>
      </c>
      <c r="D7" s="277">
        <f>SUMIF('数据-汇总表'!$C19:$C33,假设开发法!D5,'数据-汇总表'!$E19:$E33)</f>
        <v>65301.39</v>
      </c>
      <c r="E7" s="277">
        <f>SUMIF('数据-汇总表'!$C19:$C33,假设开发法!E5,'数据-汇总表'!$E19:$E33)</f>
        <v>11525.369999999966</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1601</v>
      </c>
      <c r="B8" s="164" t="s">
        <v>1602</v>
      </c>
      <c r="C8" s="825">
        <f ca="1">'收益法-办公'!B2</f>
        <v>83374</v>
      </c>
      <c r="D8" s="825">
        <f ca="1">'收益法-商业'!B2</f>
        <v>130078</v>
      </c>
      <c r="E8" s="825">
        <f ca="1">'收益法-车位'!B2</f>
        <v>4735</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23894</v>
      </c>
      <c r="D11" s="802"/>
      <c r="E11" s="329"/>
      <c r="F11" s="812">
        <f ca="1">1-IF('数据-取费表'!B24=0,1,IF(C1="",'数据-取费表'!N16,INDIRECT("'数据-取费表'!n"&amp;$K$1)))</f>
        <v>0.44999999999999996</v>
      </c>
      <c r="G11" s="5"/>
      <c r="H11" s="797"/>
      <c r="I11" s="797"/>
      <c r="J11" s="797"/>
      <c r="K11" s="798"/>
    </row>
    <row r="12" spans="1:33" s="803" customFormat="1" ht="13.5" customHeight="1">
      <c r="A12" s="800" t="s">
        <v>636</v>
      </c>
      <c r="B12" s="801" t="s">
        <v>1611</v>
      </c>
      <c r="C12" s="21">
        <f ca="1">ROUND(C11*F12,0)</f>
        <v>1195</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1150</v>
      </c>
      <c r="D14" s="846">
        <f ca="1">IF(C1="",'数据-汇总表'!E3,INDIRECT("'数据-取费表'!K"&amp;$K$1)+INDIRECT("'数据-取费表'!S"&amp;$K$1))</f>
        <v>127815.41999999985</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358</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26597</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127815.41999999985</v>
      </c>
      <c r="E17" s="21">
        <f>'数据-取费表'!B32</f>
        <v>0</v>
      </c>
      <c r="F17" s="806"/>
      <c r="G17" s="131" t="s">
        <v>1621</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0" t="s">
        <v>3794</v>
      </c>
      <c r="H18" s="1185"/>
      <c r="I18" s="1861"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1625</v>
      </c>
      <c r="C20" s="21">
        <f ca="1">ROUND(D20*E20/10000,0)</f>
        <v>2556</v>
      </c>
      <c r="D20" s="846">
        <f ca="1">IF(C1="",'数据-汇总表'!E6,IF(INDIRECT("'数据-取费表'!c"&amp;$K$1)="住宅",INDIRECT("'数据-取费表'!s"&amp;$K$1),INDIRECT("'数据-取费表'!k"&amp;$K$1)+INDIRECT("'数据-取费表'!s"&amp;$K$1)))</f>
        <v>127815.41999999985</v>
      </c>
      <c r="E20" s="21">
        <f>'数据-取费表'!B28</f>
        <v>200</v>
      </c>
      <c r="F20" s="804"/>
      <c r="G20" s="12"/>
      <c r="H20" s="809"/>
      <c r="I20" s="809"/>
      <c r="J20" s="809"/>
      <c r="K20" s="810"/>
    </row>
    <row r="21" spans="1:33" s="803" customFormat="1" ht="13.5" customHeight="1">
      <c r="A21" s="790" t="s">
        <v>357</v>
      </c>
      <c r="B21" s="813" t="s">
        <v>1626</v>
      </c>
      <c r="C21" s="814">
        <f ca="1">C16+C17+C18</f>
        <v>26597</v>
      </c>
      <c r="D21" s="815"/>
      <c r="E21" s="281"/>
      <c r="F21" s="281"/>
      <c r="G21" s="131" t="s">
        <v>1627</v>
      </c>
      <c r="H21" s="807"/>
      <c r="I21" s="807"/>
      <c r="J21" s="807"/>
      <c r="K21" s="808"/>
    </row>
    <row r="22" spans="1:33" s="803" customFormat="1" ht="13.5" customHeight="1">
      <c r="A22" s="790" t="s">
        <v>1599</v>
      </c>
      <c r="B22" s="813" t="s">
        <v>1628</v>
      </c>
      <c r="C22" s="814">
        <f ca="1">ROUND(C21*F22,0)</f>
        <v>532</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1964</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5">
        <f ca="1">C27</f>
        <v>583</v>
      </c>
      <c r="D25" s="280">
        <f ca="1">C26</f>
        <v>4.1700000000000001E-2</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6">
        <f ca="1">ROUND(IF('数据-取费表'!B22&lt;=1,(1+C24)*F25*'数据-取费表'!B24,(1+C24)*(POWER((1+F25),'数据-取费表'!B24)-1)),4)</f>
        <v>4.1700000000000001E-2</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7">
        <f ca="1">ROUND(IF('数据-取费表'!B22&lt;=1,(C21+C22+C23)*F25*'数据-取费表'!B24/2,(C21+C22+C23)*(POWER((1+F25),'数据-取费表'!B24/2)-1)),0)</f>
        <v>583</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1639</v>
      </c>
      <c r="B28" s="1863" t="s">
        <v>1640</v>
      </c>
      <c r="C28" s="287">
        <f ca="1">C30</f>
        <v>4073</v>
      </c>
      <c r="D28" s="280">
        <f ca="1">C29</f>
        <v>6.2399999999999997E-2</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1641</v>
      </c>
      <c r="C29" s="284">
        <f ca="1">ROUND((1+C24)*F28*'数据-取费表'!B24/'数据-取费表'!B20,4)</f>
        <v>6.2399999999999997E-2</v>
      </c>
      <c r="D29" s="284"/>
      <c r="E29" s="285"/>
      <c r="F29" s="290"/>
      <c r="G29" s="131" t="s">
        <v>1642</v>
      </c>
      <c r="H29" s="807"/>
      <c r="I29" s="807"/>
      <c r="J29" s="807"/>
      <c r="K29" s="808"/>
    </row>
    <row r="30" spans="1:33" s="291" customFormat="1" ht="13.5" customHeight="1">
      <c r="A30" s="800" t="s">
        <v>359</v>
      </c>
      <c r="B30" s="822" t="s">
        <v>1643</v>
      </c>
      <c r="C30" s="292">
        <f ca="1">ROUND((C21+C22+C23)*F28,0)</f>
        <v>4073</v>
      </c>
      <c r="D30" s="284"/>
      <c r="E30" s="285"/>
      <c r="F30" s="290"/>
      <c r="G30" s="131"/>
      <c r="H30" s="807"/>
      <c r="I30" s="807"/>
      <c r="J30" s="807"/>
      <c r="K30" s="808"/>
    </row>
    <row r="31" spans="1:33" s="803" customFormat="1" ht="13.5" customHeight="1" thickBot="1">
      <c r="A31" s="1864" t="s">
        <v>1644</v>
      </c>
      <c r="B31" s="833" t="s">
        <v>1645</v>
      </c>
      <c r="C31" s="834">
        <f ca="1">ROUND(C4*F31/(1+'数据-取费表'!C42),0)</f>
        <v>11429</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152686</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3746</v>
      </c>
      <c r="D1" s="1360" t="s">
        <v>3784</v>
      </c>
      <c r="E1" s="1361" t="s">
        <v>678</v>
      </c>
      <c r="F1" s="1062">
        <f ca="1">J53</f>
        <v>36.760000000000005</v>
      </c>
      <c r="G1" s="1376">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83374</v>
      </c>
      <c r="C2" s="1385" t="s">
        <v>805</v>
      </c>
      <c r="D2" s="1385"/>
      <c r="E2" s="1386"/>
      <c r="F2" s="1387"/>
      <c r="G2" s="2700"/>
      <c r="H2" s="2689"/>
      <c r="I2" s="2689"/>
      <c r="J2" s="2689"/>
      <c r="K2" s="2690"/>
      <c r="L2" s="2689"/>
      <c r="M2" s="2689"/>
    </row>
    <row r="3" spans="1:37" ht="18" customHeight="1" thickBot="1">
      <c r="A3" s="1388" t="s">
        <v>806</v>
      </c>
      <c r="B3" s="1389">
        <f ca="1">IF(ISERROR(B2*10000/F43),0,ROUND(B2*10000/F43,0))</f>
        <v>16351</v>
      </c>
      <c r="C3" s="1385" t="s">
        <v>807</v>
      </c>
      <c r="D3" s="1385"/>
      <c r="E3" s="1386"/>
      <c r="F3" s="1387"/>
      <c r="G3" s="2700"/>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7128</v>
      </c>
      <c r="D5" s="1362" t="s">
        <v>693</v>
      </c>
      <c r="E5" s="1071"/>
      <c r="F5" s="1072"/>
      <c r="G5" s="1382"/>
      <c r="H5" s="299">
        <v>1</v>
      </c>
      <c r="I5" s="300" t="s">
        <v>692</v>
      </c>
      <c r="J5" s="1070">
        <f ca="1">J6+J10+J12</f>
        <v>0</v>
      </c>
      <c r="K5" s="1362" t="s">
        <v>693</v>
      </c>
      <c r="L5" s="1071"/>
      <c r="M5" s="1072"/>
    </row>
    <row r="6" spans="1:37" ht="18" customHeight="1">
      <c r="A6" s="1069" t="s">
        <v>398</v>
      </c>
      <c r="B6" s="3791" t="s">
        <v>694</v>
      </c>
      <c r="C6" s="1074">
        <f ca="1">ROUND(F6*F8*F7*(1-F9)/10000,0)</f>
        <v>7119</v>
      </c>
      <c r="D6" s="155" t="s">
        <v>2107</v>
      </c>
      <c r="E6" s="302" t="s">
        <v>696</v>
      </c>
      <c r="F6" s="303">
        <f ca="1">INDIRECT("'数据-取费表'!u"&amp;$G$1)</f>
        <v>4.25</v>
      </c>
      <c r="G6" s="1382"/>
      <c r="H6" s="1069" t="s">
        <v>398</v>
      </c>
      <c r="I6" s="3791" t="s">
        <v>694</v>
      </c>
      <c r="J6" s="301">
        <f ca="1">ROUND(M6*M8*M7*(1-M9)/10000,0)</f>
        <v>0</v>
      </c>
      <c r="K6" s="155" t="s">
        <v>2106</v>
      </c>
      <c r="L6" s="302" t="s">
        <v>696</v>
      </c>
      <c r="M6" s="303">
        <f ca="1">INDIRECT("'数据-取费表'!z"&amp;$G$1)</f>
        <v>0</v>
      </c>
    </row>
    <row r="7" spans="1:37" ht="18" customHeight="1">
      <c r="A7" s="1073"/>
      <c r="B7" s="3792"/>
      <c r="C7" s="1075"/>
      <c r="D7" s="307"/>
      <c r="E7" s="1076" t="s">
        <v>697</v>
      </c>
      <c r="F7" s="303">
        <f ca="1">IF(INDIRECT("'数据-取费表'!ah"&amp;$G$1)="",INDIRECT("'数据-取费表'!k"&amp;$G$1),INDIRECT("'数据-取费表'!ah"&amp;$G$1))</f>
        <v>50988.659999999887</v>
      </c>
      <c r="G7" s="1382"/>
      <c r="H7" s="304"/>
      <c r="I7" s="3792"/>
      <c r="J7" s="306"/>
      <c r="K7" s="307"/>
      <c r="L7" s="302" t="s">
        <v>697</v>
      </c>
      <c r="M7" s="303">
        <f ca="1">F7</f>
        <v>50988.659999999887</v>
      </c>
    </row>
    <row r="8" spans="1:37" ht="18" customHeight="1">
      <c r="A8" s="304"/>
      <c r="B8" s="3792"/>
      <c r="C8" s="306"/>
      <c r="D8" s="307"/>
      <c r="E8" s="302" t="s">
        <v>698</v>
      </c>
      <c r="F8" s="303">
        <f ca="1">INDIRECT("'数据-取费表'!ai"&amp;$G$1)</f>
        <v>365</v>
      </c>
      <c r="G8" s="1382"/>
      <c r="H8" s="304"/>
      <c r="I8" s="3792"/>
      <c r="J8" s="306"/>
      <c r="K8" s="307"/>
      <c r="L8" s="302" t="s">
        <v>698</v>
      </c>
      <c r="M8" s="303">
        <f ca="1">INDIRECT("'数据-取费表'!ai"&amp;$G$1)</f>
        <v>365</v>
      </c>
    </row>
    <row r="9" spans="1:37" ht="18" customHeight="1">
      <c r="A9" s="304"/>
      <c r="B9" s="3793"/>
      <c r="C9" s="306"/>
      <c r="D9" s="307"/>
      <c r="E9" s="302" t="s">
        <v>699</v>
      </c>
      <c r="F9" s="312">
        <f ca="1">INDIRECT("'数据-取费表'!w"&amp;$G$1)</f>
        <v>0.1</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9</v>
      </c>
      <c r="D10" s="1364" t="s">
        <v>2115</v>
      </c>
      <c r="E10" s="313" t="s">
        <v>701</v>
      </c>
      <c r="F10" s="1115" t="s">
        <v>3783</v>
      </c>
      <c r="G10" s="1382"/>
      <c r="H10" s="1069"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33644</v>
      </c>
      <c r="D13" s="1080" t="s">
        <v>705</v>
      </c>
      <c r="E13" s="1080" t="s">
        <v>706</v>
      </c>
      <c r="F13" s="1081">
        <f ca="1">INDIRECT("'数据-取费表'!y"&amp;$G$1)</f>
        <v>1</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22945</v>
      </c>
      <c r="D14" s="1343" t="s">
        <v>708</v>
      </c>
      <c r="E14" s="1340"/>
      <c r="F14" s="319"/>
      <c r="G14" s="1382"/>
      <c r="H14" s="982" t="s">
        <v>398</v>
      </c>
      <c r="I14" s="302" t="s">
        <v>709</v>
      </c>
      <c r="J14" s="21">
        <f ca="1">C29</f>
        <v>33644</v>
      </c>
      <c r="K14" s="12"/>
      <c r="L14" s="807"/>
      <c r="M14" s="808"/>
    </row>
    <row r="15" spans="1:37" s="1395" customFormat="1" ht="18" customHeight="1" thickBot="1">
      <c r="A15" s="982" t="s">
        <v>399</v>
      </c>
      <c r="B15" s="302" t="s">
        <v>710</v>
      </c>
      <c r="C15" s="21">
        <f ca="1">ROUND(C14*F15,0)</f>
        <v>1147</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169</v>
      </c>
      <c r="K16" s="1086" t="s">
        <v>715</v>
      </c>
      <c r="L16" s="1087"/>
      <c r="M16" s="1072"/>
    </row>
    <row r="17" spans="1:37" s="1395" customFormat="1" ht="18" customHeight="1">
      <c r="A17" s="982" t="s">
        <v>681</v>
      </c>
      <c r="B17" s="302" t="s">
        <v>716</v>
      </c>
      <c r="C17" s="21">
        <f ca="1">ROUND(F17*(F43+INDIRECT("'数据-取费表'!S"&amp;$G$1))/10000,0)</f>
        <v>1020</v>
      </c>
      <c r="D17" s="302" t="s">
        <v>717</v>
      </c>
      <c r="E17" s="302" t="s">
        <v>718</v>
      </c>
      <c r="F17" s="23">
        <f>'数据-取费表'!B35</f>
        <v>200</v>
      </c>
      <c r="G17" s="1394"/>
      <c r="H17" s="982" t="s">
        <v>398</v>
      </c>
      <c r="I17" s="302" t="s">
        <v>719</v>
      </c>
      <c r="J17" s="2314">
        <f ca="1">ROUND(IF(AND(项目基本情况!B11="自然人",项目基本情况!B10="北京市"),J6*M17/(1+'数据-取费表'!C42),J18+J19+J20),2)</f>
        <v>0.81</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344</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25456</v>
      </c>
      <c r="D19" s="131" t="s">
        <v>726</v>
      </c>
      <c r="E19" s="1358"/>
      <c r="F19" s="23"/>
      <c r="G19" s="1382"/>
      <c r="H19" s="982"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2" t="s">
        <v>402</v>
      </c>
      <c r="B20" s="302" t="s">
        <v>728</v>
      </c>
      <c r="C20" s="21">
        <f ca="1">ROUND(C19*F20,0)</f>
        <v>509</v>
      </c>
      <c r="D20" s="323" t="s">
        <v>729</v>
      </c>
      <c r="E20" s="302" t="s">
        <v>712</v>
      </c>
      <c r="F20" s="322">
        <f>'数据-取费表'!B37</f>
        <v>0.02</v>
      </c>
      <c r="G20" s="1394"/>
      <c r="H20" s="982" t="s">
        <v>680</v>
      </c>
      <c r="I20" s="155" t="s">
        <v>730</v>
      </c>
      <c r="J20" s="22">
        <f ca="1">ROUND(M20*M21/10000,2)</f>
        <v>0.81</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5423.27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168.22</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1217</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-169</v>
      </c>
      <c r="K25" s="1094" t="s">
        <v>753</v>
      </c>
      <c r="L25" s="1095"/>
      <c r="M25" s="1096"/>
    </row>
    <row r="26" spans="1:37">
      <c r="A26" s="982" t="s">
        <v>397</v>
      </c>
      <c r="B26" s="302" t="s">
        <v>754</v>
      </c>
      <c r="C26" s="21">
        <f ca="1">ROUND((C19+C20)*F26,0)</f>
        <v>3895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33644</v>
      </c>
      <c r="D29" s="1091"/>
      <c r="E29" s="1089"/>
      <c r="F29" s="1092"/>
      <c r="G29" s="1394"/>
      <c r="H29" s="334" t="s">
        <v>396</v>
      </c>
      <c r="I29" s="335" t="s">
        <v>768</v>
      </c>
      <c r="J29" s="336">
        <f ca="1">ROUND(J26/(1+F40)^F41,0)</f>
        <v>0</v>
      </c>
      <c r="K29" s="337" t="s">
        <v>769</v>
      </c>
      <c r="L29" s="338"/>
      <c r="M29" s="339">
        <f ca="1">INDIRECT("'数据-取费表'!k"&amp;$G$1)</f>
        <v>50988.659999999887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1460</v>
      </c>
      <c r="D30" s="1086" t="s">
        <v>715</v>
      </c>
      <c r="E30" s="1087"/>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ROUND(IF(AND(项目基本情况!B11="自然人",项目基本情况!B10="北京市"),C6*F31/(1+'数据-取费表'!C42),C32+C33+C34),2)</f>
        <v>1187.31</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IF(项目基本情况!B11="自然人","——",ROUND(C6*F32/(1+'数据-取费表'!C42),2))</f>
        <v>372.9</v>
      </c>
      <c r="D32" s="1342"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813.6</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IF(项目基本情况!B11="自然人","——",ROUND(F34*F35/10000,2))</f>
        <v>0.81</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5423.27</v>
      </c>
      <c r="G35" s="1382"/>
      <c r="H35" s="2691"/>
      <c r="I35" s="1396"/>
      <c r="J35" s="1397"/>
      <c r="K35" s="2695"/>
      <c r="L35" s="2694"/>
      <c r="M35" s="2694"/>
    </row>
    <row r="36" spans="1:18" ht="18" customHeight="1">
      <c r="A36" s="1101" t="s">
        <v>402</v>
      </c>
      <c r="B36" s="302" t="s">
        <v>738</v>
      </c>
      <c r="C36" s="21">
        <f ca="1">ROUND(C29*F36,2)</f>
        <v>168.22</v>
      </c>
      <c r="D36" s="1342" t="s">
        <v>771</v>
      </c>
      <c r="E36" s="302" t="s">
        <v>712</v>
      </c>
      <c r="F36" s="328">
        <f ca="1">INDIRECT("'数据-取费表'!Ak"&amp;$G$1)</f>
        <v>5.0000000000000001E-3</v>
      </c>
      <c r="G36" s="1382"/>
      <c r="H36" s="2694"/>
      <c r="I36" s="1396"/>
      <c r="J36" s="1397"/>
      <c r="K36" s="2538"/>
      <c r="L36" s="2694"/>
      <c r="M36" s="2694"/>
    </row>
    <row r="37" spans="1:18" ht="18" customHeight="1">
      <c r="A37" s="982" t="s">
        <v>437</v>
      </c>
      <c r="B37" s="302" t="s">
        <v>742</v>
      </c>
      <c r="C37" s="21">
        <f ca="1">ROUND(C13*F37,2)</f>
        <v>33.64</v>
      </c>
      <c r="D37" s="1342" t="s">
        <v>743</v>
      </c>
      <c r="E37" s="302" t="s">
        <v>744</v>
      </c>
      <c r="F37" s="330">
        <f ca="1">INDIRECT("'数据-取费表'!Al"&amp;$G$1)</f>
        <v>1E-3</v>
      </c>
      <c r="G37" s="1382"/>
      <c r="H37" s="2694"/>
      <c r="I37" s="1396"/>
      <c r="J37" s="1397"/>
      <c r="K37" s="2538"/>
      <c r="L37" s="2694"/>
      <c r="M37" s="2694"/>
    </row>
    <row r="38" spans="1:18" ht="18" customHeight="1" thickBot="1">
      <c r="A38" s="1088" t="s">
        <v>684</v>
      </c>
      <c r="B38" s="1089" t="s">
        <v>728</v>
      </c>
      <c r="C38" s="1090">
        <f ca="1">ROUND(C5*F38,2)</f>
        <v>71.28</v>
      </c>
      <c r="D38" s="1091" t="s">
        <v>748</v>
      </c>
      <c r="E38" s="1089" t="s">
        <v>744</v>
      </c>
      <c r="F38" s="1085">
        <f ca="1">INDIRECT("'数据-取费表'!Am"&amp;$G$1)</f>
        <v>0.01</v>
      </c>
      <c r="G38" s="1382"/>
      <c r="H38" s="2694"/>
      <c r="I38" s="1396"/>
      <c r="J38" s="1397"/>
      <c r="K38" s="2698"/>
      <c r="L38" s="2694"/>
      <c r="M38" s="2694"/>
    </row>
    <row r="39" spans="1:18" ht="24.6" customHeight="1" thickTop="1">
      <c r="A39" s="1078" t="s">
        <v>394</v>
      </c>
      <c r="B39" s="1093" t="s">
        <v>772</v>
      </c>
      <c r="C39" s="310">
        <f ca="1">C5-C30</f>
        <v>5668</v>
      </c>
      <c r="D39" s="1094" t="s">
        <v>773</v>
      </c>
      <c r="E39" s="1095"/>
      <c r="F39" s="1096"/>
      <c r="G39" s="1382"/>
      <c r="H39" s="2694"/>
      <c r="I39" s="1396">
        <f ca="1">C39/C6</f>
        <v>0.79617923865711482</v>
      </c>
      <c r="J39" s="1397"/>
      <c r="K39" s="2698"/>
      <c r="L39" s="2694"/>
      <c r="M39" s="2694"/>
    </row>
    <row r="40" spans="1:18" ht="18" customHeight="1">
      <c r="A40" s="299" t="s">
        <v>395</v>
      </c>
      <c r="B40" s="300" t="s">
        <v>774</v>
      </c>
      <c r="C40" s="301">
        <f ca="1">ROUND(C39*(1-((1+F42)/(1+F40))^F41)/(F40-F42),0)</f>
        <v>83374</v>
      </c>
      <c r="D40" s="324" t="s">
        <v>758</v>
      </c>
      <c r="E40" s="302" t="s">
        <v>759</v>
      </c>
      <c r="F40" s="312">
        <f ca="1">INDIRECT("'数据-取费表'!I"&amp;$G$1)</f>
        <v>0.06</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36.760000000000005</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f ca="1">ROUND(C40*10000/F43,0)</f>
        <v>16351</v>
      </c>
      <c r="D43" s="337" t="s">
        <v>777</v>
      </c>
      <c r="E43" s="338" t="s">
        <v>778</v>
      </c>
      <c r="F43" s="339">
        <f ca="1">INDIRECT("'数据-取费表'!k"&amp;$G$1)</f>
        <v>50988.659999999887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9" t="s">
        <v>808</v>
      </c>
      <c r="P45" s="1459"/>
      <c r="Q45" s="1459"/>
      <c r="R45" s="1459"/>
    </row>
    <row r="46" spans="1:18" s="1382" customFormat="1" ht="13.5" thickBot="1">
      <c r="A46" s="1402" t="s">
        <v>809</v>
      </c>
      <c r="C46" s="1403">
        <f ca="1">C68-C40</f>
        <v>-86360</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8" t="s">
        <v>691</v>
      </c>
      <c r="F47" s="1059"/>
      <c r="G47" s="722"/>
      <c r="I47" s="1412" t="s">
        <v>815</v>
      </c>
      <c r="J47" s="1413" t="s">
        <v>3785</v>
      </c>
      <c r="K47" s="1414" t="s">
        <v>816</v>
      </c>
      <c r="L47" s="1415">
        <f ca="1">INDIRECT("'数据-取费表'!d"&amp;$G$1)</f>
        <v>50</v>
      </c>
      <c r="M47" s="1378" t="str">
        <f>IF(ISNUMBER(FIND("住宅",C1)),"住宅","非住宅")</f>
        <v>非住宅</v>
      </c>
      <c r="O47" s="1416" t="s">
        <v>403</v>
      </c>
      <c r="P47" s="1417" t="s">
        <v>817</v>
      </c>
      <c r="Q47" s="1418">
        <f ca="1">C40+J29</f>
        <v>83374</v>
      </c>
      <c r="R47" s="1418" t="s">
        <v>818</v>
      </c>
    </row>
    <row r="48" spans="1:18" s="1382" customFormat="1" ht="28.5" thickBot="1">
      <c r="A48" s="1109" t="s">
        <v>438</v>
      </c>
      <c r="B48" s="300" t="s">
        <v>692</v>
      </c>
      <c r="C48" s="1357">
        <f ca="1">C49+C53+C55</f>
        <v>0</v>
      </c>
      <c r="D48" s="1111"/>
      <c r="E48" s="1112"/>
      <c r="F48" s="962"/>
      <c r="G48" s="722"/>
      <c r="H48" s="723"/>
      <c r="I48" s="1419" t="s">
        <v>819</v>
      </c>
      <c r="J48" s="1420" t="s">
        <v>3786</v>
      </c>
      <c r="K48" s="1421" t="s">
        <v>820</v>
      </c>
      <c r="L48" s="1422">
        <f ca="1">INDIRECT("'数据-取费表'!f"&amp;$G$1)</f>
        <v>38.06</v>
      </c>
      <c r="O48" s="1416" t="s">
        <v>404</v>
      </c>
      <c r="P48" s="1417" t="s">
        <v>821</v>
      </c>
      <c r="Q48" s="1418" t="str">
        <f ca="1">J60</f>
        <v>0</v>
      </c>
      <c r="R48" s="1418" t="s">
        <v>822</v>
      </c>
    </row>
    <row r="49" spans="1:18" s="1382" customFormat="1" ht="13.5" thickBot="1">
      <c r="A49" s="975" t="s">
        <v>439</v>
      </c>
      <c r="B49" s="1369" t="s">
        <v>779</v>
      </c>
      <c r="C49" s="1113">
        <f ca="1">ROUND(F49*F51*F50*(1-F52)/10000,0)</f>
        <v>0</v>
      </c>
      <c r="D49" s="1055" t="s">
        <v>2108</v>
      </c>
      <c r="E49" s="1370" t="s">
        <v>780</v>
      </c>
      <c r="F49" s="1060"/>
      <c r="G49" s="1423"/>
      <c r="H49" s="723"/>
      <c r="I49" s="1419" t="s">
        <v>823</v>
      </c>
      <c r="J49" s="1424">
        <v>2025</v>
      </c>
      <c r="K49" s="1421" t="s">
        <v>824</v>
      </c>
      <c r="L49" s="1425"/>
      <c r="O49" s="1426" t="s">
        <v>405</v>
      </c>
      <c r="P49" s="1417" t="s">
        <v>825</v>
      </c>
      <c r="Q49" s="1418">
        <f ca="1">C29</f>
        <v>33644</v>
      </c>
      <c r="R49" s="1418" t="s">
        <v>818</v>
      </c>
    </row>
    <row r="50" spans="1:18" s="1382" customFormat="1" ht="13.5" thickBot="1">
      <c r="A50" s="976"/>
      <c r="B50" s="979"/>
      <c r="C50" s="1117"/>
      <c r="D50" s="953"/>
      <c r="E50" s="1056" t="s">
        <v>697</v>
      </c>
      <c r="F50" s="1057">
        <f ca="1">F7</f>
        <v>50988.659999999887</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61</v>
      </c>
      <c r="K51" s="1432" t="s">
        <v>830</v>
      </c>
      <c r="L51" s="1433">
        <f ca="1">ROUND(-PV(INDIRECT("'数据-取费表'!h"&amp;$G$1),J51,(C39-C13*C76),0),0)</f>
        <v>53302</v>
      </c>
      <c r="M51" s="1434"/>
      <c r="O51" s="1426" t="s">
        <v>407</v>
      </c>
      <c r="P51" s="1417" t="s">
        <v>831</v>
      </c>
      <c r="Q51" s="1429">
        <f>J52</f>
        <v>9.0000000000000011E-2</v>
      </c>
      <c r="R51" s="1418"/>
    </row>
    <row r="52" spans="1:18" s="1382" customFormat="1" ht="13.5" thickBot="1">
      <c r="A52" s="977"/>
      <c r="B52" s="979"/>
      <c r="C52" s="980"/>
      <c r="D52" s="953"/>
      <c r="E52" s="981" t="s">
        <v>699</v>
      </c>
      <c r="F52" s="1054"/>
      <c r="I52" s="1435" t="s">
        <v>832</v>
      </c>
      <c r="J52" s="1436">
        <f>'数据-取费表'!J6+0.005</f>
        <v>9.0000000000000011E-2</v>
      </c>
      <c r="K52" s="1435" t="s">
        <v>833</v>
      </c>
      <c r="L52" s="1436"/>
      <c r="O52" s="1426" t="s">
        <v>408</v>
      </c>
      <c r="P52" s="1417" t="s">
        <v>834</v>
      </c>
      <c r="Q52" s="1418">
        <f ca="1">J53</f>
        <v>36.760000000000005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36.760000000000005</v>
      </c>
      <c r="K53" s="3789" t="s">
        <v>837</v>
      </c>
      <c r="L53" s="3790"/>
      <c r="O53" s="1416" t="s">
        <v>409</v>
      </c>
      <c r="P53" s="1417" t="s">
        <v>838</v>
      </c>
      <c r="Q53" s="1418">
        <f ca="1">Q47+Q48</f>
        <v>83374</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33644</v>
      </c>
      <c r="D56" s="1445"/>
      <c r="E56" s="1446"/>
      <c r="F56" s="1438"/>
      <c r="I56" s="1447" t="s">
        <v>842</v>
      </c>
      <c r="J56" s="1448" t="s">
        <v>3743</v>
      </c>
      <c r="K56" s="1419" t="s">
        <v>843</v>
      </c>
      <c r="L56" s="1422" t="str">
        <f ca="1">IF(L48&lt;J51,"——",L48-J53)</f>
        <v>——</v>
      </c>
      <c r="O56" s="1416" t="s">
        <v>403</v>
      </c>
      <c r="P56" s="1417" t="s">
        <v>817</v>
      </c>
      <c r="Q56" s="1418">
        <f ca="1">C40+J29</f>
        <v>83374</v>
      </c>
      <c r="R56" s="1418" t="s">
        <v>818</v>
      </c>
    </row>
    <row r="57" spans="1:18" s="1382" customFormat="1" ht="24.75" thickBot="1">
      <c r="A57" s="1449"/>
      <c r="B57" s="950" t="s">
        <v>767</v>
      </c>
      <c r="C57" s="238">
        <f ca="1">C29</f>
        <v>33644</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203</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1</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3327</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0.81</v>
      </c>
      <c r="D62" s="965" t="s">
        <v>786</v>
      </c>
      <c r="E62" s="950" t="s">
        <v>787</v>
      </c>
      <c r="F62" s="325">
        <f t="shared" si="0"/>
        <v>1.5</v>
      </c>
      <c r="I62" s="1460" t="s">
        <v>858</v>
      </c>
      <c r="J62" s="1461" t="s">
        <v>859</v>
      </c>
      <c r="K62" s="1461" t="s">
        <v>860</v>
      </c>
      <c r="L62" s="1461" t="s">
        <v>861</v>
      </c>
      <c r="M62" s="1462" t="s">
        <v>862</v>
      </c>
      <c r="O62" s="1416" t="s">
        <v>409</v>
      </c>
      <c r="P62" s="1417" t="s">
        <v>863</v>
      </c>
      <c r="Q62" s="1418">
        <f ca="1">Q56+Q57</f>
        <v>83374</v>
      </c>
      <c r="R62" s="1418" t="s">
        <v>410</v>
      </c>
    </row>
    <row r="63" spans="1:18" s="1382" customFormat="1" ht="13.5" thickBot="1">
      <c r="A63" s="326"/>
      <c r="B63" s="956"/>
      <c r="C63" s="26"/>
      <c r="D63" s="966"/>
      <c r="E63" s="950" t="s">
        <v>788</v>
      </c>
      <c r="F63" s="303">
        <f t="shared" ca="1" si="0"/>
        <v>5423.27</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168.22</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33.64</v>
      </c>
      <c r="D65" s="964" t="s">
        <v>743</v>
      </c>
      <c r="E65" s="950" t="s">
        <v>744</v>
      </c>
      <c r="F65" s="330">
        <f t="shared" ca="1" si="0"/>
        <v>1E-3</v>
      </c>
      <c r="I65" s="1460" t="s">
        <v>867</v>
      </c>
      <c r="J65" s="1461">
        <v>40</v>
      </c>
      <c r="K65" s="1461">
        <v>30</v>
      </c>
      <c r="L65" s="1461">
        <v>50</v>
      </c>
      <c r="M65" s="1463">
        <v>0.02</v>
      </c>
      <c r="O65" s="1416" t="s">
        <v>403</v>
      </c>
      <c r="P65" s="1417" t="s">
        <v>868</v>
      </c>
      <c r="Q65" s="1418">
        <f ca="1">C40+J29</f>
        <v>83374</v>
      </c>
      <c r="R65" s="1418" t="s">
        <v>818</v>
      </c>
    </row>
    <row r="66" spans="1:18" s="1382" customFormat="1" ht="16.5" thickBot="1">
      <c r="A66" s="982" t="s">
        <v>793</v>
      </c>
      <c r="B66" s="950" t="s">
        <v>728</v>
      </c>
      <c r="C66" s="21">
        <f ca="1">ROUND(C48*F66,2)</f>
        <v>0</v>
      </c>
      <c r="D66" s="964" t="s">
        <v>794</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-203</v>
      </c>
      <c r="D67" s="963" t="s">
        <v>753</v>
      </c>
      <c r="E67" s="968"/>
      <c r="F67" s="969"/>
      <c r="O67" s="1426" t="s">
        <v>405</v>
      </c>
      <c r="P67" s="1417" t="s">
        <v>850</v>
      </c>
      <c r="Q67" s="1464">
        <f ca="1">L51</f>
        <v>53302</v>
      </c>
      <c r="R67" s="1418" t="s">
        <v>870</v>
      </c>
    </row>
    <row r="68" spans="1:18" s="1382" customFormat="1" ht="16.5" thickBot="1">
      <c r="A68" s="947" t="s">
        <v>395</v>
      </c>
      <c r="B68" s="948" t="s">
        <v>774</v>
      </c>
      <c r="C68" s="301">
        <f ca="1">ROUND(C67*(1-((1+F70)/(1+F68))^F69)/(F68-F70),0)</f>
        <v>-2986</v>
      </c>
      <c r="D68" s="965" t="s">
        <v>758</v>
      </c>
      <c r="E68" s="950" t="s">
        <v>759</v>
      </c>
      <c r="F68" s="312">
        <f ca="1">F40</f>
        <v>0.06</v>
      </c>
      <c r="O68" s="1426" t="s">
        <v>406</v>
      </c>
      <c r="P68" s="1465" t="s">
        <v>871</v>
      </c>
      <c r="Q68" s="1418">
        <f ca="1">ROUND(Q69-Q70*Q71,0)</f>
        <v>2808</v>
      </c>
      <c r="R68" s="1418" t="s">
        <v>414</v>
      </c>
    </row>
    <row r="69" spans="1:18" s="1382" customFormat="1" ht="13.5" thickBot="1">
      <c r="A69" s="951"/>
      <c r="B69" s="952"/>
      <c r="C69" s="306"/>
      <c r="D69" s="970" t="s">
        <v>762</v>
      </c>
      <c r="E69" s="950" t="s">
        <v>763</v>
      </c>
      <c r="F69" s="333">
        <f ca="1">F41</f>
        <v>36.760000000000005</v>
      </c>
      <c r="O69" s="1426" t="s">
        <v>411</v>
      </c>
      <c r="P69" s="1465" t="s">
        <v>872</v>
      </c>
      <c r="Q69" s="1418">
        <f ca="1">C39</f>
        <v>5668</v>
      </c>
      <c r="R69" s="1418" t="s">
        <v>818</v>
      </c>
    </row>
    <row r="70" spans="1:18" s="1382" customFormat="1" ht="13.5" thickBot="1">
      <c r="A70" s="954"/>
      <c r="B70" s="955"/>
      <c r="C70" s="310"/>
      <c r="D70" s="966"/>
      <c r="E70" s="950" t="s">
        <v>766</v>
      </c>
      <c r="F70" s="1054"/>
      <c r="O70" s="1426" t="s">
        <v>412</v>
      </c>
      <c r="P70" s="1465" t="s">
        <v>873</v>
      </c>
      <c r="Q70" s="1418">
        <f ca="1">C13</f>
        <v>33644</v>
      </c>
      <c r="R70" s="1418" t="s">
        <v>818</v>
      </c>
    </row>
    <row r="71" spans="1:18" s="1382" customFormat="1" ht="13.5" thickBot="1">
      <c r="A71" s="971" t="s">
        <v>396</v>
      </c>
      <c r="B71" s="972" t="s">
        <v>776</v>
      </c>
      <c r="C71" s="336">
        <f ca="1">ROUND(C68*10000/F71,0)</f>
        <v>-586</v>
      </c>
      <c r="D71" s="973" t="s">
        <v>777</v>
      </c>
      <c r="E71" s="974" t="s">
        <v>778</v>
      </c>
      <c r="F71" s="339">
        <f ca="1">F43</f>
        <v>50988.659999999887</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2860</v>
      </c>
      <c r="D75" s="1382"/>
      <c r="E75" s="1382"/>
      <c r="F75" s="1382"/>
      <c r="K75" s="1400"/>
      <c r="L75" s="1382"/>
      <c r="O75" s="1416" t="s">
        <v>409</v>
      </c>
      <c r="P75" s="1417" t="s">
        <v>838</v>
      </c>
      <c r="Q75" s="1418">
        <f ca="1">Q65+Q66</f>
        <v>83374</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0.495</v>
      </c>
    </row>
    <row r="80" spans="1:18">
      <c r="B80" s="340" t="s">
        <v>800</v>
      </c>
      <c r="C80" s="274">
        <f ca="1">ROUND(C75/C39,3)</f>
        <v>0.505</v>
      </c>
    </row>
    <row r="81" spans="2:3">
      <c r="B81" s="270" t="s">
        <v>801</v>
      </c>
      <c r="C81" s="238"/>
    </row>
    <row r="82" spans="2:3">
      <c r="B82" s="273" t="s">
        <v>802</v>
      </c>
      <c r="C82" s="275">
        <f ca="1">1-C83</f>
        <v>0.59599999999999997</v>
      </c>
    </row>
    <row r="83" spans="2:3">
      <c r="B83" s="273" t="s">
        <v>803</v>
      </c>
      <c r="C83" s="274">
        <f ca="1">ROUND(C13/C40,3)</f>
        <v>0.40400000000000003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3784</v>
      </c>
      <c r="E1" s="1361" t="s">
        <v>678</v>
      </c>
      <c r="F1" s="1062">
        <f ca="1">J53</f>
        <v>26.75</v>
      </c>
      <c r="G1" s="1376">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130078</v>
      </c>
      <c r="C2" s="1385" t="s">
        <v>805</v>
      </c>
      <c r="D2" s="1385"/>
      <c r="E2" s="1386"/>
      <c r="F2" s="1387"/>
      <c r="G2" s="2700"/>
      <c r="H2" s="2689"/>
      <c r="I2" s="2689"/>
      <c r="J2" s="2689"/>
      <c r="K2" s="2690"/>
      <c r="L2" s="2689"/>
      <c r="M2" s="2689"/>
    </row>
    <row r="3" spans="1:37" ht="18" customHeight="1" thickBot="1">
      <c r="A3" s="1388" t="s">
        <v>806</v>
      </c>
      <c r="B3" s="1389">
        <f ca="1">IF(ISERROR(B2*10000/F43),0,ROUND(B2*10000/F43,0))</f>
        <v>19920</v>
      </c>
      <c r="C3" s="1385" t="s">
        <v>807</v>
      </c>
      <c r="D3" s="1385"/>
      <c r="E3" s="1386"/>
      <c r="F3" s="1387"/>
      <c r="G3" s="2700"/>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12887</v>
      </c>
      <c r="D5" s="1362" t="s">
        <v>693</v>
      </c>
      <c r="E5" s="1071"/>
      <c r="F5" s="1072"/>
      <c r="G5" s="1382"/>
      <c r="H5" s="299">
        <v>1</v>
      </c>
      <c r="I5" s="300" t="s">
        <v>692</v>
      </c>
      <c r="J5" s="1070">
        <f ca="1">J6+J10+J12</f>
        <v>0</v>
      </c>
      <c r="K5" s="1362" t="s">
        <v>693</v>
      </c>
      <c r="L5" s="1071"/>
      <c r="M5" s="1072"/>
    </row>
    <row r="6" spans="1:37" ht="18" customHeight="1">
      <c r="A6" s="1069" t="s">
        <v>398</v>
      </c>
      <c r="B6" s="3791" t="s">
        <v>694</v>
      </c>
      <c r="C6" s="1074">
        <f ca="1">ROUND(F6*F8*F7*(1-F9)/10000,0)</f>
        <v>12871</v>
      </c>
      <c r="D6" s="155" t="s">
        <v>2107</v>
      </c>
      <c r="E6" s="302" t="s">
        <v>696</v>
      </c>
      <c r="F6" s="303">
        <f ca="1">INDIRECT("'数据-取费表'!u"&amp;$G$1)</f>
        <v>6</v>
      </c>
      <c r="G6" s="1382"/>
      <c r="H6" s="1069" t="s">
        <v>398</v>
      </c>
      <c r="I6" s="3791" t="s">
        <v>694</v>
      </c>
      <c r="J6" s="301">
        <f ca="1">ROUND(M6*M8*M7*(1-M9)/10000,0)</f>
        <v>0</v>
      </c>
      <c r="K6" s="155" t="s">
        <v>2106</v>
      </c>
      <c r="L6" s="302" t="s">
        <v>696</v>
      </c>
      <c r="M6" s="303">
        <f ca="1">INDIRECT("'数据-取费表'!z"&amp;$G$1)</f>
        <v>0</v>
      </c>
    </row>
    <row r="7" spans="1:37" ht="18" customHeight="1">
      <c r="A7" s="1073"/>
      <c r="B7" s="3792"/>
      <c r="C7" s="1075"/>
      <c r="D7" s="307"/>
      <c r="E7" s="3446" t="s">
        <v>697</v>
      </c>
      <c r="F7" s="303">
        <f ca="1">IF(INDIRECT("'数据-取费表'!ah"&amp;$G$1)="",INDIRECT("'数据-取费表'!k"&amp;$G$1),INDIRECT("'数据-取费表'!ah"&amp;$G$1))</f>
        <v>65301.39</v>
      </c>
      <c r="G7" s="1382"/>
      <c r="H7" s="304"/>
      <c r="I7" s="3792"/>
      <c r="J7" s="306"/>
      <c r="K7" s="307"/>
      <c r="L7" s="302" t="s">
        <v>697</v>
      </c>
      <c r="M7" s="303">
        <f ca="1">F7</f>
        <v>65301.39</v>
      </c>
    </row>
    <row r="8" spans="1:37" ht="18" customHeight="1">
      <c r="A8" s="304"/>
      <c r="B8" s="3792"/>
      <c r="C8" s="306"/>
      <c r="D8" s="307"/>
      <c r="E8" s="302" t="s">
        <v>698</v>
      </c>
      <c r="F8" s="303">
        <f ca="1">INDIRECT("'数据-取费表'!ai"&amp;$G$1)</f>
        <v>365</v>
      </c>
      <c r="G8" s="1382"/>
      <c r="H8" s="304"/>
      <c r="I8" s="3792"/>
      <c r="J8" s="306"/>
      <c r="K8" s="307"/>
      <c r="L8" s="302" t="s">
        <v>698</v>
      </c>
      <c r="M8" s="303">
        <f ca="1">INDIRECT("'数据-取费表'!ai"&amp;$G$1)</f>
        <v>365</v>
      </c>
    </row>
    <row r="9" spans="1:37" ht="18" customHeight="1">
      <c r="A9" s="304"/>
      <c r="B9" s="3793"/>
      <c r="C9" s="306"/>
      <c r="D9" s="307"/>
      <c r="E9" s="302" t="s">
        <v>699</v>
      </c>
      <c r="F9" s="312">
        <f ca="1">INDIRECT("'数据-取费表'!w"&amp;$G$1)</f>
        <v>0.1</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16</v>
      </c>
      <c r="D10" s="1364" t="s">
        <v>2114</v>
      </c>
      <c r="E10" s="313" t="s">
        <v>701</v>
      </c>
      <c r="F10" s="1115" t="s">
        <v>3783</v>
      </c>
      <c r="G10" s="1382"/>
      <c r="H10" s="1069"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38493</v>
      </c>
      <c r="D13" s="3443" t="s">
        <v>705</v>
      </c>
      <c r="E13" s="3443" t="s">
        <v>706</v>
      </c>
      <c r="F13" s="1081">
        <f ca="1">INDIRECT("'数据-取费表'!y"&amp;$G$1)</f>
        <v>1</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26121</v>
      </c>
      <c r="D14" s="3453" t="s">
        <v>708</v>
      </c>
      <c r="E14" s="3452"/>
      <c r="F14" s="319"/>
      <c r="G14" s="1382"/>
      <c r="H14" s="982" t="s">
        <v>398</v>
      </c>
      <c r="I14" s="302" t="s">
        <v>709</v>
      </c>
      <c r="J14" s="21">
        <f ca="1">C29</f>
        <v>38493</v>
      </c>
      <c r="K14" s="3445"/>
      <c r="L14" s="807"/>
      <c r="M14" s="808"/>
    </row>
    <row r="15" spans="1:37" s="1395" customFormat="1" ht="18" customHeight="1" thickBot="1">
      <c r="A15" s="982" t="s">
        <v>399</v>
      </c>
      <c r="B15" s="302" t="s">
        <v>710</v>
      </c>
      <c r="C15" s="21">
        <f ca="1">ROUND(C14*F15,0)</f>
        <v>1306</v>
      </c>
      <c r="D15" s="3444" t="s">
        <v>711</v>
      </c>
      <c r="E15" s="3444"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194</v>
      </c>
      <c r="K16" s="1086" t="s">
        <v>715</v>
      </c>
      <c r="L16" s="3455"/>
      <c r="M16" s="1072"/>
    </row>
    <row r="17" spans="1:37" s="1395" customFormat="1" ht="18" customHeight="1">
      <c r="A17" s="982" t="s">
        <v>681</v>
      </c>
      <c r="B17" s="302" t="s">
        <v>716</v>
      </c>
      <c r="C17" s="21">
        <f ca="1">ROUND(F17*(F43+INDIRECT("'数据-取费表'!S"&amp;$G$1))/10000,0)</f>
        <v>1306</v>
      </c>
      <c r="D17" s="302" t="s">
        <v>717</v>
      </c>
      <c r="E17" s="302" t="s">
        <v>718</v>
      </c>
      <c r="F17" s="23">
        <f>'数据-取费表'!B35</f>
        <v>200</v>
      </c>
      <c r="G17" s="1394"/>
      <c r="H17" s="982" t="s">
        <v>398</v>
      </c>
      <c r="I17" s="302" t="s">
        <v>719</v>
      </c>
      <c r="J17" s="2314">
        <f ca="1">ROUND(IF(AND(项目基本情况!B11="自然人",项目基本情况!B10="北京市"),J6*M17/(1+'数据-取费表'!C42),J18+J19+J20),2)</f>
        <v>1.04</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392</v>
      </c>
      <c r="D18" s="302" t="s">
        <v>711</v>
      </c>
      <c r="E18" s="302" t="s">
        <v>712</v>
      </c>
      <c r="F18" s="322">
        <f>'数据-取费表'!B36</f>
        <v>1.4999999999999999E-2</v>
      </c>
      <c r="G18" s="1394"/>
      <c r="H18" s="982" t="s">
        <v>397</v>
      </c>
      <c r="I18" s="302" t="s">
        <v>723</v>
      </c>
      <c r="J18" s="21">
        <f ca="1">ROUND(J6*M18/(1+'数据-取费表'!C42),2)</f>
        <v>0</v>
      </c>
      <c r="K18" s="3454"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29125</v>
      </c>
      <c r="D19" s="131" t="s">
        <v>726</v>
      </c>
      <c r="E19" s="3459"/>
      <c r="F19" s="23"/>
      <c r="G19" s="1382"/>
      <c r="H19" s="982"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2" t="s">
        <v>402</v>
      </c>
      <c r="B20" s="302" t="s">
        <v>728</v>
      </c>
      <c r="C20" s="21">
        <f ca="1">ROUND(C19*F20,0)</f>
        <v>583</v>
      </c>
      <c r="D20" s="2425" t="s">
        <v>729</v>
      </c>
      <c r="E20" s="302" t="s">
        <v>712</v>
      </c>
      <c r="F20" s="322">
        <f>'数据-取费表'!B37</f>
        <v>0.02</v>
      </c>
      <c r="G20" s="1394"/>
      <c r="H20" s="982" t="s">
        <v>680</v>
      </c>
      <c r="I20" s="155" t="s">
        <v>730</v>
      </c>
      <c r="J20" s="22">
        <f ca="1">ROUND(M20*M21/10000,2)</f>
        <v>1.04</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2425" t="s">
        <v>734</v>
      </c>
      <c r="E21" s="302" t="s">
        <v>735</v>
      </c>
      <c r="F21" s="322">
        <f>'数据-取费表'!B38</f>
        <v>0.02</v>
      </c>
      <c r="G21" s="1394"/>
      <c r="H21" s="326"/>
      <c r="I21" s="311"/>
      <c r="J21" s="26"/>
      <c r="K21" s="327"/>
      <c r="L21" s="302" t="s">
        <v>736</v>
      </c>
      <c r="M21" s="303">
        <f ca="1">INDIRECT("'数据-取费表'!r"&amp;$G$1)</f>
        <v>6945.6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2"/>
      <c r="H22" s="982" t="s">
        <v>402</v>
      </c>
      <c r="I22" s="302" t="s">
        <v>738</v>
      </c>
      <c r="J22" s="21">
        <f ca="1">ROUND(J14*M22,2)</f>
        <v>192.47</v>
      </c>
      <c r="K22" s="3454"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1392</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3454"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683</v>
      </c>
      <c r="I24" s="1089" t="s">
        <v>728</v>
      </c>
      <c r="J24" s="1090">
        <f ca="1">ROUND(J5*M24,2)</f>
        <v>0</v>
      </c>
      <c r="K24" s="1091" t="s">
        <v>748</v>
      </c>
      <c r="L24" s="1089" t="s">
        <v>712</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3459"/>
      <c r="F25" s="23"/>
      <c r="G25" s="1382"/>
      <c r="H25" s="1078" t="s">
        <v>394</v>
      </c>
      <c r="I25" s="1093" t="s">
        <v>752</v>
      </c>
      <c r="J25" s="310">
        <f ca="1">J5-J16</f>
        <v>-194</v>
      </c>
      <c r="K25" s="1094" t="s">
        <v>753</v>
      </c>
      <c r="L25" s="1095"/>
      <c r="M25" s="1096"/>
    </row>
    <row r="26" spans="1:37">
      <c r="A26" s="982" t="s">
        <v>397</v>
      </c>
      <c r="B26" s="302" t="s">
        <v>754</v>
      </c>
      <c r="C26" s="21">
        <f ca="1">ROUND((C19+C20)*F26,0)</f>
        <v>4456</v>
      </c>
      <c r="D26" s="2425"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5" t="s">
        <v>761</v>
      </c>
      <c r="E27" s="3444"/>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38493</v>
      </c>
      <c r="D29" s="1091"/>
      <c r="E29" s="1089"/>
      <c r="F29" s="1092"/>
      <c r="G29" s="1394"/>
      <c r="H29" s="334" t="s">
        <v>396</v>
      </c>
      <c r="I29" s="335" t="s">
        <v>768</v>
      </c>
      <c r="J29" s="336">
        <f ca="1">ROUND(J26/(1+F40)^F41,0)</f>
        <v>0</v>
      </c>
      <c r="K29" s="337" t="s">
        <v>769</v>
      </c>
      <c r="L29" s="338"/>
      <c r="M29" s="339">
        <f ca="1">INDIRECT("'数据-取费表'!k"&amp;$G$1)</f>
        <v>65301.39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2506</v>
      </c>
      <c r="D30" s="1086" t="s">
        <v>715</v>
      </c>
      <c r="E30" s="3455"/>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ROUND(IF(AND(项目基本情况!B11="自然人",项目基本情况!B10="北京市"),C6*F31/(1+'数据-取费表'!C42),C32+C33+C34),2)</f>
        <v>2146.21</v>
      </c>
      <c r="D31" s="3453" t="s">
        <v>720</v>
      </c>
      <c r="E31" s="3454"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IF(项目基本情况!B11="自然人","——",ROUND(C6*F32/(1+'数据-取费表'!C42),2))</f>
        <v>674.2</v>
      </c>
      <c r="D32" s="3454"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1470.97</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IF(项目基本情况!B11="自然人","——",ROUND(F34*F35/10000,2))</f>
        <v>1.04</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6945.6</v>
      </c>
      <c r="G35" s="1382"/>
      <c r="H35" s="2691"/>
      <c r="I35" s="1396"/>
      <c r="J35" s="1397"/>
      <c r="K35" s="2695"/>
      <c r="L35" s="2694"/>
      <c r="M35" s="2694"/>
    </row>
    <row r="36" spans="1:18" ht="18" customHeight="1">
      <c r="A36" s="1101" t="s">
        <v>402</v>
      </c>
      <c r="B36" s="302" t="s">
        <v>738</v>
      </c>
      <c r="C36" s="21">
        <f ca="1">ROUND(C29*F36,2)</f>
        <v>192.47</v>
      </c>
      <c r="D36" s="3454" t="s">
        <v>771</v>
      </c>
      <c r="E36" s="302" t="s">
        <v>712</v>
      </c>
      <c r="F36" s="328">
        <f ca="1">INDIRECT("'数据-取费表'!Ak"&amp;$G$1)</f>
        <v>5.0000000000000001E-3</v>
      </c>
      <c r="G36" s="1382"/>
      <c r="H36" s="2694"/>
      <c r="I36" s="1396"/>
      <c r="J36" s="1397"/>
      <c r="K36" s="2538"/>
      <c r="L36" s="2694"/>
      <c r="M36" s="2694"/>
    </row>
    <row r="37" spans="1:18" ht="18" customHeight="1">
      <c r="A37" s="982" t="s">
        <v>437</v>
      </c>
      <c r="B37" s="302" t="s">
        <v>742</v>
      </c>
      <c r="C37" s="21">
        <f ca="1">ROUND(C13*F37,2)</f>
        <v>38.49</v>
      </c>
      <c r="D37" s="3454" t="s">
        <v>743</v>
      </c>
      <c r="E37" s="302" t="s">
        <v>712</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128.87</v>
      </c>
      <c r="D38" s="1091" t="s">
        <v>748</v>
      </c>
      <c r="E38" s="1089" t="s">
        <v>712</v>
      </c>
      <c r="F38" s="1085">
        <f ca="1">INDIRECT("'数据-取费表'!Am"&amp;$G$1)</f>
        <v>0.01</v>
      </c>
      <c r="G38" s="1382"/>
      <c r="H38" s="2694"/>
      <c r="I38" s="1396"/>
      <c r="J38" s="1397"/>
      <c r="K38" s="2698"/>
      <c r="L38" s="2694"/>
      <c r="M38" s="2694"/>
    </row>
    <row r="39" spans="1:18" ht="24.6" customHeight="1" thickTop="1">
      <c r="A39" s="1078" t="s">
        <v>394</v>
      </c>
      <c r="B39" s="1093" t="s">
        <v>752</v>
      </c>
      <c r="C39" s="310">
        <f ca="1">C5-C30</f>
        <v>10381</v>
      </c>
      <c r="D39" s="1094" t="s">
        <v>753</v>
      </c>
      <c r="E39" s="1095"/>
      <c r="F39" s="1096"/>
      <c r="G39" s="1382"/>
      <c r="H39" s="2694"/>
      <c r="I39" s="1396">
        <f ca="1">C39/C6</f>
        <v>0.80654183824100689</v>
      </c>
      <c r="J39" s="1397"/>
      <c r="K39" s="2698"/>
      <c r="L39" s="2694"/>
      <c r="M39" s="2694"/>
    </row>
    <row r="40" spans="1:18" ht="18" customHeight="1">
      <c r="A40" s="299" t="s">
        <v>395</v>
      </c>
      <c r="B40" s="300" t="s">
        <v>774</v>
      </c>
      <c r="C40" s="301">
        <f ca="1">ROUND(C39*(1-((1+F42)/(1+F40))^F41)/(F40-F42),0)</f>
        <v>130078</v>
      </c>
      <c r="D40" s="324" t="s">
        <v>758</v>
      </c>
      <c r="E40" s="302" t="s">
        <v>759</v>
      </c>
      <c r="F40" s="312">
        <f ca="1">INDIRECT("'数据-取费表'!I"&amp;$G$1)</f>
        <v>6.5000000000000002E-2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26.75</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f ca="1">ROUND(C40*10000/F43,0)</f>
        <v>19920</v>
      </c>
      <c r="D43" s="337" t="s">
        <v>777</v>
      </c>
      <c r="E43" s="338" t="s">
        <v>778</v>
      </c>
      <c r="F43" s="339">
        <f ca="1">INDIRECT("'数据-取费表'!k"&amp;$G$1)</f>
        <v>65301.39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9" t="s">
        <v>808</v>
      </c>
      <c r="P45" s="1459"/>
      <c r="Q45" s="1459"/>
      <c r="R45" s="1459"/>
    </row>
    <row r="46" spans="1:18" s="1382" customFormat="1" ht="13.5" thickBot="1">
      <c r="A46" s="1402" t="s">
        <v>809</v>
      </c>
      <c r="C46" s="1403">
        <f ca="1">C68-C40</f>
        <v>-132985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8" t="s">
        <v>691</v>
      </c>
      <c r="F47" s="1059"/>
      <c r="G47" s="722"/>
      <c r="I47" s="1412" t="s">
        <v>815</v>
      </c>
      <c r="J47" s="1413" t="s">
        <v>3785</v>
      </c>
      <c r="K47" s="1414" t="s">
        <v>816</v>
      </c>
      <c r="L47" s="1415">
        <f ca="1">INDIRECT("'数据-取费表'!d"&amp;$G$1)</f>
        <v>40</v>
      </c>
      <c r="M47" s="1378" t="str">
        <f>IF(ISNUMBER(FIND("住宅",C1)),"住宅","非住宅")</f>
        <v>非住宅</v>
      </c>
      <c r="O47" s="1416" t="s">
        <v>403</v>
      </c>
      <c r="P47" s="1417" t="s">
        <v>817</v>
      </c>
      <c r="Q47" s="1418">
        <f ca="1">C40+J29</f>
        <v>130078</v>
      </c>
      <c r="R47" s="1418" t="s">
        <v>818</v>
      </c>
    </row>
    <row r="48" spans="1:18" s="1382" customFormat="1" ht="28.5" thickBot="1">
      <c r="A48" s="1109" t="s">
        <v>438</v>
      </c>
      <c r="B48" s="300" t="s">
        <v>692</v>
      </c>
      <c r="C48" s="3458">
        <f ca="1">C49+C53+C55</f>
        <v>0</v>
      </c>
      <c r="D48" s="1111"/>
      <c r="E48" s="1112"/>
      <c r="F48" s="962"/>
      <c r="G48" s="722"/>
      <c r="H48" s="723"/>
      <c r="I48" s="1419" t="s">
        <v>819</v>
      </c>
      <c r="J48" s="1420" t="s">
        <v>3786</v>
      </c>
      <c r="K48" s="1421" t="s">
        <v>820</v>
      </c>
      <c r="L48" s="1422">
        <f ca="1">INDIRECT("'数据-取费表'!f"&amp;$G$1)</f>
        <v>28.05</v>
      </c>
      <c r="O48" s="1416" t="s">
        <v>404</v>
      </c>
      <c r="P48" s="1417" t="s">
        <v>821</v>
      </c>
      <c r="Q48" s="1418" t="str">
        <f ca="1">J60</f>
        <v>0</v>
      </c>
      <c r="R48" s="1418" t="s">
        <v>822</v>
      </c>
    </row>
    <row r="49" spans="1:18" s="1382" customFormat="1" ht="13.5" thickBot="1">
      <c r="A49" s="975" t="s">
        <v>439</v>
      </c>
      <c r="B49" s="1369" t="s">
        <v>779</v>
      </c>
      <c r="C49" s="1113">
        <f ca="1">ROUND(F49*F51*F50*(1-F52)/10000,0)</f>
        <v>0</v>
      </c>
      <c r="D49" s="1055" t="s">
        <v>2108</v>
      </c>
      <c r="E49" s="1370" t="s">
        <v>780</v>
      </c>
      <c r="F49" s="1060"/>
      <c r="G49" s="1423"/>
      <c r="H49" s="723"/>
      <c r="I49" s="1419" t="s">
        <v>823</v>
      </c>
      <c r="J49" s="1424"/>
      <c r="K49" s="1421" t="s">
        <v>824</v>
      </c>
      <c r="L49" s="1425"/>
      <c r="O49" s="1426" t="s">
        <v>405</v>
      </c>
      <c r="P49" s="1417" t="s">
        <v>825</v>
      </c>
      <c r="Q49" s="1418">
        <f ca="1">C29</f>
        <v>38493</v>
      </c>
      <c r="R49" s="1418" t="s">
        <v>818</v>
      </c>
    </row>
    <row r="50" spans="1:18" s="1382" customFormat="1" ht="13.5" thickBot="1">
      <c r="A50" s="976"/>
      <c r="B50" s="979"/>
      <c r="C50" s="1117"/>
      <c r="D50" s="953"/>
      <c r="E50" s="1056" t="s">
        <v>697</v>
      </c>
      <c r="F50" s="1057">
        <f ca="1">F7</f>
        <v>65301.39</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365</v>
      </c>
      <c r="I51" s="1430" t="s">
        <v>829</v>
      </c>
      <c r="J51" s="1431">
        <f>IF(J49="",J50,J49+J50-YEAR('数据-取费表'!B2))</f>
        <v>60</v>
      </c>
      <c r="K51" s="1432" t="s">
        <v>830</v>
      </c>
      <c r="L51" s="1433">
        <f ca="1">ROUND(-PV(INDIRECT("'数据-取费表'!h"&amp;$G$1),J51,(C39-C13*C76),0),0)</f>
        <v>124053</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26.75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26.75</v>
      </c>
      <c r="K53" s="3789" t="s">
        <v>837</v>
      </c>
      <c r="L53" s="3790"/>
      <c r="O53" s="1416" t="s">
        <v>409</v>
      </c>
      <c r="P53" s="1417" t="s">
        <v>838</v>
      </c>
      <c r="Q53" s="1418">
        <f ca="1">Q47+Q48</f>
        <v>130078</v>
      </c>
      <c r="R53" s="1418" t="s">
        <v>410</v>
      </c>
    </row>
    <row r="54" spans="1:18" s="1382" customFormat="1" ht="13.5" thickBot="1">
      <c r="A54" s="1152"/>
      <c r="B54" s="1365" t="s">
        <v>679</v>
      </c>
      <c r="C54" s="959"/>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38493</v>
      </c>
      <c r="D56" s="1445"/>
      <c r="E56" s="1446"/>
      <c r="F56" s="1438"/>
      <c r="I56" s="1447" t="s">
        <v>842</v>
      </c>
      <c r="J56" s="1448" t="s">
        <v>3743</v>
      </c>
      <c r="K56" s="1419" t="s">
        <v>843</v>
      </c>
      <c r="L56" s="1422" t="str">
        <f ca="1">IF(L48&lt;J51,"——",L48-J53)</f>
        <v>——</v>
      </c>
      <c r="O56" s="1416" t="s">
        <v>403</v>
      </c>
      <c r="P56" s="1417" t="s">
        <v>817</v>
      </c>
      <c r="Q56" s="1418">
        <f ca="1">C40+J29</f>
        <v>130078</v>
      </c>
      <c r="R56" s="1418" t="s">
        <v>818</v>
      </c>
    </row>
    <row r="57" spans="1:18" s="1382" customFormat="1" ht="24.75" thickBot="1">
      <c r="A57" s="1449"/>
      <c r="B57" s="950" t="s">
        <v>767</v>
      </c>
      <c r="C57" s="238">
        <f ca="1">C29</f>
        <v>38493</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232</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1</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727</v>
      </c>
      <c r="C61" s="21">
        <f ca="1">IF(项目基本情况!B11="自然人","——",IF(D61="按租金收入计税",ROUND(C49*F61/(1+'数据-取费表'!C42),2),IF(D61="按房产原值计税",ROUND(C57*F61*0.7,2),INDIRECT("'数据-取费表'!Aj"&amp;$G$1))))</f>
        <v>0</v>
      </c>
      <c r="D61" s="1368" t="s">
        <v>3327</v>
      </c>
      <c r="E61" s="950" t="s">
        <v>712</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730</v>
      </c>
      <c r="C62" s="22">
        <f ca="1">IF(项目基本情况!B11="自然人","——",ROUND(F62*F63/10000,2))</f>
        <v>1.04</v>
      </c>
      <c r="D62" s="965" t="s">
        <v>731</v>
      </c>
      <c r="E62" s="950" t="s">
        <v>732</v>
      </c>
      <c r="F62" s="325">
        <f t="shared" si="0"/>
        <v>1.5</v>
      </c>
      <c r="I62" s="1460" t="s">
        <v>858</v>
      </c>
      <c r="J62" s="1461" t="s">
        <v>859</v>
      </c>
      <c r="K62" s="1461" t="s">
        <v>860</v>
      </c>
      <c r="L62" s="1461" t="s">
        <v>861</v>
      </c>
      <c r="M62" s="1462" t="s">
        <v>862</v>
      </c>
      <c r="O62" s="1416" t="s">
        <v>409</v>
      </c>
      <c r="P62" s="1417" t="s">
        <v>838</v>
      </c>
      <c r="Q62" s="1418">
        <f ca="1">Q56+Q57</f>
        <v>130078</v>
      </c>
      <c r="R62" s="1418" t="s">
        <v>410</v>
      </c>
    </row>
    <row r="63" spans="1:18" s="1382" customFormat="1" ht="13.5" thickBot="1">
      <c r="A63" s="326"/>
      <c r="B63" s="956"/>
      <c r="C63" s="26"/>
      <c r="D63" s="966"/>
      <c r="E63" s="950" t="s">
        <v>736</v>
      </c>
      <c r="F63" s="303">
        <f t="shared" ca="1" si="0"/>
        <v>6945.6</v>
      </c>
      <c r="I63" s="1460" t="s">
        <v>864</v>
      </c>
      <c r="J63" s="1461">
        <v>70</v>
      </c>
      <c r="K63" s="1461">
        <v>50</v>
      </c>
      <c r="L63" s="1461">
        <v>80</v>
      </c>
      <c r="M63" s="1463">
        <v>0.02</v>
      </c>
      <c r="O63" s="1401" t="s">
        <v>865</v>
      </c>
      <c r="P63" s="1379"/>
      <c r="Q63" s="1379"/>
      <c r="R63" s="1379"/>
    </row>
    <row r="64" spans="1:18" s="1382" customFormat="1" ht="13.5" thickBot="1">
      <c r="A64" s="982" t="s">
        <v>402</v>
      </c>
      <c r="B64" s="950" t="s">
        <v>738</v>
      </c>
      <c r="C64" s="21">
        <f ca="1">ROUND(C57*F64,2)</f>
        <v>192.47</v>
      </c>
      <c r="D64" s="964" t="s">
        <v>771</v>
      </c>
      <c r="E64" s="950"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38.49</v>
      </c>
      <c r="D65" s="964" t="s">
        <v>743</v>
      </c>
      <c r="E65" s="950" t="s">
        <v>712</v>
      </c>
      <c r="F65" s="330">
        <f t="shared" ca="1" si="0"/>
        <v>1E-3</v>
      </c>
      <c r="I65" s="1460" t="s">
        <v>867</v>
      </c>
      <c r="J65" s="1461">
        <v>40</v>
      </c>
      <c r="K65" s="1461">
        <v>30</v>
      </c>
      <c r="L65" s="1461">
        <v>50</v>
      </c>
      <c r="M65" s="1463">
        <v>0.02</v>
      </c>
      <c r="O65" s="1416" t="s">
        <v>403</v>
      </c>
      <c r="P65" s="1417" t="s">
        <v>817</v>
      </c>
      <c r="Q65" s="1418">
        <f ca="1">C40+J29</f>
        <v>130078</v>
      </c>
      <c r="R65" s="1418" t="s">
        <v>818</v>
      </c>
    </row>
    <row r="66" spans="1:18" s="1382" customFormat="1" ht="16.5" thickBot="1">
      <c r="A66" s="982" t="s">
        <v>793</v>
      </c>
      <c r="B66" s="950" t="s">
        <v>728</v>
      </c>
      <c r="C66" s="21">
        <f ca="1">ROUND(C48*F66,2)</f>
        <v>0</v>
      </c>
      <c r="D66" s="964" t="s">
        <v>748</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-232</v>
      </c>
      <c r="D67" s="963" t="s">
        <v>753</v>
      </c>
      <c r="E67" s="968"/>
      <c r="F67" s="969"/>
      <c r="O67" s="1426" t="s">
        <v>405</v>
      </c>
      <c r="P67" s="1417" t="s">
        <v>850</v>
      </c>
      <c r="Q67" s="1464">
        <f ca="1">L51</f>
        <v>124053</v>
      </c>
      <c r="R67" s="1418" t="s">
        <v>870</v>
      </c>
    </row>
    <row r="68" spans="1:18" s="1382" customFormat="1" ht="16.5" thickBot="1">
      <c r="A68" s="947" t="s">
        <v>395</v>
      </c>
      <c r="B68" s="948" t="s">
        <v>774</v>
      </c>
      <c r="C68" s="301">
        <f ca="1">ROUND(C67*(1-((1+F70)/(1+F68))^F69)/(F68-F70),0)</f>
        <v>-2907</v>
      </c>
      <c r="D68" s="965" t="s">
        <v>758</v>
      </c>
      <c r="E68" s="950" t="s">
        <v>759</v>
      </c>
      <c r="F68" s="312">
        <f ca="1">F40</f>
        <v>6.5000000000000002E-2</v>
      </c>
      <c r="O68" s="1426" t="s">
        <v>406</v>
      </c>
      <c r="P68" s="1465" t="s">
        <v>871</v>
      </c>
      <c r="Q68" s="1418">
        <f ca="1">ROUND(Q69-Q70*Q71,0)</f>
        <v>7109</v>
      </c>
      <c r="R68" s="1418" t="s">
        <v>414</v>
      </c>
    </row>
    <row r="69" spans="1:18" s="1382" customFormat="1" ht="13.5" thickBot="1">
      <c r="A69" s="951"/>
      <c r="B69" s="952"/>
      <c r="C69" s="306"/>
      <c r="D69" s="970" t="s">
        <v>762</v>
      </c>
      <c r="E69" s="950" t="s">
        <v>763</v>
      </c>
      <c r="F69" s="333">
        <f ca="1">F41</f>
        <v>26.75</v>
      </c>
      <c r="O69" s="1426" t="s">
        <v>411</v>
      </c>
      <c r="P69" s="1465" t="s">
        <v>872</v>
      </c>
      <c r="Q69" s="1418">
        <f ca="1">C39</f>
        <v>10381</v>
      </c>
      <c r="R69" s="1418" t="s">
        <v>818</v>
      </c>
    </row>
    <row r="70" spans="1:18" s="1382" customFormat="1" ht="13.5" thickBot="1">
      <c r="A70" s="954"/>
      <c r="B70" s="955"/>
      <c r="C70" s="310"/>
      <c r="D70" s="966"/>
      <c r="E70" s="950" t="s">
        <v>766</v>
      </c>
      <c r="F70" s="1054"/>
      <c r="O70" s="1426" t="s">
        <v>412</v>
      </c>
      <c r="P70" s="1465" t="s">
        <v>873</v>
      </c>
      <c r="Q70" s="1418">
        <f ca="1">C13</f>
        <v>38493</v>
      </c>
      <c r="R70" s="1418" t="s">
        <v>818</v>
      </c>
    </row>
    <row r="71" spans="1:18" s="1382" customFormat="1" ht="13.5" thickBot="1">
      <c r="A71" s="971" t="s">
        <v>396</v>
      </c>
      <c r="B71" s="972" t="s">
        <v>776</v>
      </c>
      <c r="C71" s="336">
        <f ca="1">ROUND(C68*10000/F71,0)</f>
        <v>-445</v>
      </c>
      <c r="D71" s="973" t="s">
        <v>777</v>
      </c>
      <c r="E71" s="974" t="s">
        <v>778</v>
      </c>
      <c r="F71" s="339">
        <f ca="1">F43</f>
        <v>65301.39</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3272</v>
      </c>
      <c r="D75" s="1382"/>
      <c r="E75" s="1382"/>
      <c r="F75" s="1382"/>
      <c r="K75" s="1400"/>
      <c r="L75" s="1382"/>
      <c r="O75" s="1416" t="s">
        <v>409</v>
      </c>
      <c r="P75" s="1417" t="s">
        <v>838</v>
      </c>
      <c r="Q75" s="1418">
        <f ca="1">Q65+Q66</f>
        <v>130078</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0.68500000000000005</v>
      </c>
    </row>
    <row r="80" spans="1:18">
      <c r="B80" s="340" t="s">
        <v>800</v>
      </c>
      <c r="C80" s="274">
        <f ca="1">ROUND(C75/C39,3)</f>
        <v>0.315</v>
      </c>
    </row>
    <row r="81" spans="2:3">
      <c r="B81" s="270" t="s">
        <v>801</v>
      </c>
      <c r="C81" s="238"/>
    </row>
    <row r="82" spans="2:3">
      <c r="B82" s="273" t="s">
        <v>802</v>
      </c>
      <c r="C82" s="275">
        <f ca="1">1-C83</f>
        <v>0.70399999999999996</v>
      </c>
    </row>
    <row r="83" spans="2:3">
      <c r="B83" s="273" t="s">
        <v>803</v>
      </c>
      <c r="C83" s="274">
        <f ca="1">ROUND(C13/C40,3)</f>
        <v>0.29599999999999999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54">
      <c r="A4" s="1478" t="str">
        <f>"受贵公司委托，我公司对"&amp;项目基本情况!S1&amp;"进行了预评估。"</f>
        <v>受贵公司委托，我公司对北京市通州区运河核心区Ⅷ-13地块F3其它类多功能用地项目商务金融（办公（商务型公寓）、商业及地下车库）用地出让国有建设用地使用权及在建建筑物房地产抵押价值进行了预评估。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Ⅷ-13地块F3其它类多功能用地项目商务金融（办公（商务型公寓）、商业及地下车库）用地出让国有建设用地使用权及在建建筑物房地产，为所有。根据《国有土地使用证》[]，估价对象（分摊）出让国有建设用地使用权面积为13594.73平方米，建筑面积为127815.42平方米。</v>
      </c>
    </row>
    <row r="8" spans="1:1" ht="57.75">
      <c r="A8" s="1481" t="s">
        <v>901</v>
      </c>
    </row>
    <row r="9" spans="1:1" ht="18.75">
      <c r="A9" s="1480" t="s">
        <v>902</v>
      </c>
    </row>
    <row r="10" spans="1:1" ht="90">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Ⅷ-13地块F3其它类多功能用地项目商务金融（办公（商务型公寓）、商业及地下车库）用地出让国有建设用地使用权及在建建筑物房地产,为开发建设的综合项目（商业、办公），该项目尚在开发建设中。根据《国有土地使用证》[]，估价对象（分摊）出让国有建设用地使用权面积为13594.73平方米，规划建筑面积为127815.42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通州区运河核心区Ⅷ-13地块F3其它类多功能用地项目商务金融（办公（商务型公寓）、商业及地下车库）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3749</v>
      </c>
      <c r="D1" s="1360" t="s">
        <v>3784</v>
      </c>
      <c r="E1" s="1361" t="s">
        <v>678</v>
      </c>
      <c r="F1" s="1062">
        <f ca="1">J53</f>
        <v>36.760000000000005</v>
      </c>
      <c r="G1" s="1376">
        <f>MATCH(C1,'数据-取费表'!A6:A16,0)+5</f>
        <v>8</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4735</v>
      </c>
      <c r="C2" s="1385" t="s">
        <v>805</v>
      </c>
      <c r="D2" s="1385"/>
      <c r="E2" s="1386"/>
      <c r="F2" s="1387"/>
      <c r="G2" s="2700"/>
      <c r="H2" s="2689"/>
      <c r="I2" s="2689"/>
      <c r="J2" s="2689"/>
      <c r="K2" s="2690"/>
      <c r="L2" s="2689"/>
      <c r="M2" s="2689"/>
    </row>
    <row r="3" spans="1:37" ht="18" customHeight="1" thickBot="1">
      <c r="A3" s="1388" t="s">
        <v>806</v>
      </c>
      <c r="B3" s="1389">
        <f ca="1">IF(ISERROR(B2*10000/F43),0,ROUND(B2*10000/F43,0))</f>
        <v>4108</v>
      </c>
      <c r="C3" s="1385" t="s">
        <v>807</v>
      </c>
      <c r="D3" s="1385"/>
      <c r="E3" s="1386"/>
      <c r="F3" s="1387"/>
      <c r="G3" s="2700"/>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344</v>
      </c>
      <c r="D5" s="1362" t="s">
        <v>693</v>
      </c>
      <c r="E5" s="1071"/>
      <c r="F5" s="1072"/>
      <c r="G5" s="1382"/>
      <c r="H5" s="299">
        <v>1</v>
      </c>
      <c r="I5" s="300" t="s">
        <v>692</v>
      </c>
      <c r="J5" s="1070">
        <f ca="1">J6+J10+J12</f>
        <v>0</v>
      </c>
      <c r="K5" s="1362" t="s">
        <v>693</v>
      </c>
      <c r="L5" s="1071"/>
      <c r="M5" s="1072"/>
    </row>
    <row r="6" spans="1:37" ht="18" customHeight="1">
      <c r="A6" s="1069" t="s">
        <v>398</v>
      </c>
      <c r="B6" s="3791" t="s">
        <v>694</v>
      </c>
      <c r="C6" s="1074">
        <f ca="1">ROUND(F6*F8*F7*(1-F9)/10000,0)</f>
        <v>252</v>
      </c>
      <c r="D6" s="155" t="s">
        <v>2107</v>
      </c>
      <c r="E6" s="302" t="s">
        <v>696</v>
      </c>
      <c r="F6" s="303">
        <f ca="1">INDIRECT("'数据-取费表'!u"&amp;$G$1)</f>
        <v>600</v>
      </c>
      <c r="G6" s="1382"/>
      <c r="H6" s="1069" t="s">
        <v>398</v>
      </c>
      <c r="I6" s="3791" t="s">
        <v>694</v>
      </c>
      <c r="J6" s="301">
        <f ca="1">ROUND(M6*M8*M7*(1-M9)/10000,0)</f>
        <v>0</v>
      </c>
      <c r="K6" s="155" t="s">
        <v>2106</v>
      </c>
      <c r="L6" s="302" t="s">
        <v>696</v>
      </c>
      <c r="M6" s="303">
        <f ca="1">INDIRECT("'数据-取费表'!z"&amp;$G$1)</f>
        <v>0</v>
      </c>
    </row>
    <row r="7" spans="1:37" ht="18" customHeight="1">
      <c r="A7" s="1073"/>
      <c r="B7" s="3792"/>
      <c r="C7" s="1075"/>
      <c r="D7" s="307"/>
      <c r="E7" s="3446" t="s">
        <v>697</v>
      </c>
      <c r="F7" s="303">
        <f ca="1">IF(INDIRECT("'数据-取费表'!ah"&amp;$G$1)="",INDIRECT("'数据-取费表'!k"&amp;$G$1),INDIRECT("'数据-取费表'!ah"&amp;$G$1))</f>
        <v>412</v>
      </c>
      <c r="G7" s="1382"/>
      <c r="H7" s="304"/>
      <c r="I7" s="3792"/>
      <c r="J7" s="306"/>
      <c r="K7" s="307"/>
      <c r="L7" s="302" t="s">
        <v>697</v>
      </c>
      <c r="M7" s="303">
        <f ca="1">F7</f>
        <v>412</v>
      </c>
    </row>
    <row r="8" spans="1:37" ht="18" customHeight="1">
      <c r="A8" s="304"/>
      <c r="B8" s="3792"/>
      <c r="C8" s="306"/>
      <c r="D8" s="307"/>
      <c r="E8" s="302" t="s">
        <v>698</v>
      </c>
      <c r="F8" s="303">
        <f ca="1">INDIRECT("'数据-取费表'!ai"&amp;$G$1)</f>
        <v>12</v>
      </c>
      <c r="G8" s="1382"/>
      <c r="H8" s="304"/>
      <c r="I8" s="3792"/>
      <c r="J8" s="306"/>
      <c r="K8" s="307"/>
      <c r="L8" s="302" t="s">
        <v>698</v>
      </c>
      <c r="M8" s="303">
        <f ca="1">INDIRECT("'数据-取费表'!ai"&amp;$G$1)</f>
        <v>12</v>
      </c>
    </row>
    <row r="9" spans="1:37" ht="18" customHeight="1">
      <c r="A9" s="304"/>
      <c r="B9" s="3793"/>
      <c r="C9" s="306"/>
      <c r="D9" s="307"/>
      <c r="E9" s="302" t="s">
        <v>699</v>
      </c>
      <c r="F9" s="312">
        <f ca="1">INDIRECT("'数据-取费表'!w"&amp;$G$1)</f>
        <v>0.15</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2114</v>
      </c>
      <c r="E10" s="313" t="s">
        <v>701</v>
      </c>
      <c r="F10" s="1115" t="s">
        <v>3793</v>
      </c>
      <c r="G10" s="1382"/>
      <c r="H10" s="1069"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f ca="1">ROUND(151*600*12/10000*(1-F9),0)</f>
        <v>92</v>
      </c>
      <c r="D12" s="1084"/>
      <c r="E12" s="1089"/>
      <c r="F12" s="1085"/>
      <c r="G12" s="1382"/>
      <c r="H12" s="1082" t="s">
        <v>437</v>
      </c>
      <c r="I12" s="1367" t="s">
        <v>703</v>
      </c>
      <c r="J12" s="1083"/>
      <c r="K12" s="1097"/>
      <c r="L12" s="1089"/>
      <c r="M12" s="1098"/>
    </row>
    <row r="13" spans="1:37" ht="18" customHeight="1" thickTop="1">
      <c r="A13" s="1078">
        <v>2</v>
      </c>
      <c r="B13" s="1079" t="s">
        <v>704</v>
      </c>
      <c r="C13" s="310">
        <f ca="1">ROUND(C29*F13,0)</f>
        <v>5473</v>
      </c>
      <c r="D13" s="3443" t="s">
        <v>705</v>
      </c>
      <c r="E13" s="3443" t="s">
        <v>706</v>
      </c>
      <c r="F13" s="1081">
        <f ca="1">INDIRECT("'数据-取费表'!y"&amp;$G$1)</f>
        <v>1</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4034</v>
      </c>
      <c r="D14" s="3453" t="s">
        <v>708</v>
      </c>
      <c r="E14" s="3452"/>
      <c r="F14" s="319"/>
      <c r="G14" s="1382"/>
      <c r="H14" s="982" t="s">
        <v>398</v>
      </c>
      <c r="I14" s="302" t="s">
        <v>709</v>
      </c>
      <c r="J14" s="21">
        <f ca="1">C29</f>
        <v>5473</v>
      </c>
      <c r="K14" s="3445"/>
      <c r="L14" s="807"/>
      <c r="M14" s="808"/>
    </row>
    <row r="15" spans="1:37" s="1395" customFormat="1" ht="18" customHeight="1" thickBot="1">
      <c r="A15" s="982" t="s">
        <v>399</v>
      </c>
      <c r="B15" s="302" t="s">
        <v>710</v>
      </c>
      <c r="C15" s="21">
        <f ca="1">ROUND(C14*F15,0)</f>
        <v>202</v>
      </c>
      <c r="D15" s="3444" t="s">
        <v>711</v>
      </c>
      <c r="E15" s="3444"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11</v>
      </c>
      <c r="K16" s="1086" t="s">
        <v>715</v>
      </c>
      <c r="L16" s="3455"/>
      <c r="M16" s="1072"/>
    </row>
    <row r="17" spans="1:37" s="1395" customFormat="1" ht="18" customHeight="1">
      <c r="A17" s="982" t="s">
        <v>681</v>
      </c>
      <c r="B17" s="302" t="s">
        <v>716</v>
      </c>
      <c r="C17" s="21">
        <f ca="1">ROUND(F17*(F43+INDIRECT("'数据-取费表'!S"&amp;$G$1))/10000,0)</f>
        <v>231</v>
      </c>
      <c r="D17" s="302" t="s">
        <v>717</v>
      </c>
      <c r="E17" s="302" t="s">
        <v>718</v>
      </c>
      <c r="F17" s="23">
        <f>'数据-取费表'!B35</f>
        <v>200</v>
      </c>
      <c r="G17" s="1394"/>
      <c r="H17" s="982" t="s">
        <v>398</v>
      </c>
      <c r="I17" s="302" t="s">
        <v>719</v>
      </c>
      <c r="J17" s="2314">
        <f ca="1">ROUND(IF(AND(项目基本情况!B11="自然人",项目基本情况!B10="北京市"),J6*M17/(1+'数据-取费表'!C42),J18+J19+J20),2)</f>
        <v>0.18</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61</v>
      </c>
      <c r="D18" s="302" t="s">
        <v>711</v>
      </c>
      <c r="E18" s="302" t="s">
        <v>712</v>
      </c>
      <c r="F18" s="322">
        <f>'数据-取费表'!B36</f>
        <v>1.4999999999999999E-2</v>
      </c>
      <c r="G18" s="1394"/>
      <c r="H18" s="982" t="s">
        <v>397</v>
      </c>
      <c r="I18" s="302" t="s">
        <v>723</v>
      </c>
      <c r="J18" s="21">
        <f ca="1">ROUND(J6*M18/(1+'数据-取费表'!C42),2)</f>
        <v>0</v>
      </c>
      <c r="K18" s="3454"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4528</v>
      </c>
      <c r="D19" s="131" t="s">
        <v>726</v>
      </c>
      <c r="E19" s="3459"/>
      <c r="F19" s="23"/>
      <c r="G19" s="1382"/>
      <c r="H19" s="982"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2" t="s">
        <v>402</v>
      </c>
      <c r="B20" s="302" t="s">
        <v>728</v>
      </c>
      <c r="C20" s="21">
        <f ca="1">ROUND(C19*F20,0)</f>
        <v>91</v>
      </c>
      <c r="D20" s="2425" t="s">
        <v>729</v>
      </c>
      <c r="E20" s="302" t="s">
        <v>712</v>
      </c>
      <c r="F20" s="322">
        <f>'数据-取费表'!B37</f>
        <v>0.02</v>
      </c>
      <c r="G20" s="1394"/>
      <c r="H20" s="982" t="s">
        <v>680</v>
      </c>
      <c r="I20" s="155" t="s">
        <v>730</v>
      </c>
      <c r="J20" s="22">
        <f ca="1">ROUND(M20*M21/10000,2)</f>
        <v>0.18</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2425" t="s">
        <v>734</v>
      </c>
      <c r="E21" s="302" t="s">
        <v>735</v>
      </c>
      <c r="F21" s="322">
        <f>'数据-取费表'!B38</f>
        <v>0.02</v>
      </c>
      <c r="G21" s="1394"/>
      <c r="H21" s="326"/>
      <c r="I21" s="311"/>
      <c r="J21" s="26"/>
      <c r="K21" s="327"/>
      <c r="L21" s="302" t="s">
        <v>736</v>
      </c>
      <c r="M21" s="303">
        <f ca="1">INDIRECT("'数据-取费表'!r"&amp;$G$1)</f>
        <v>1225.8599999999999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2"/>
      <c r="H22" s="982" t="s">
        <v>402</v>
      </c>
      <c r="I22" s="302" t="s">
        <v>738</v>
      </c>
      <c r="J22" s="21">
        <f ca="1">ROUND(J14*M22,2)</f>
        <v>10.95</v>
      </c>
      <c r="K22" s="3454" t="s">
        <v>739</v>
      </c>
      <c r="L22" s="302" t="s">
        <v>712</v>
      </c>
      <c r="M22" s="328">
        <f ca="1">INDIRECT("'数据-取费表'!Ak"&amp;$G$1)</f>
        <v>2E-3</v>
      </c>
    </row>
    <row r="23" spans="1:37" s="1395" customFormat="1" ht="18" customHeight="1">
      <c r="A23" s="982" t="s">
        <v>397</v>
      </c>
      <c r="B23" s="302" t="s">
        <v>740</v>
      </c>
      <c r="C23" s="21">
        <f ca="1">IF('数据-取费表'!B22&lt;=1,ROUND(C19*F24*F23/2,0)+ROUND(C20*F24*F23/2,0),ROUND(C19*(POWER((1+F24),F23/2)-1),0)+ROUND(C20*(POWER((1+F24),F23/2)-1),0))</f>
        <v>216</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ROUND(J13*M23,2)</f>
        <v>0</v>
      </c>
      <c r="K23" s="3454"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3459"/>
      <c r="F25" s="23"/>
      <c r="G25" s="1382"/>
      <c r="H25" s="1078" t="s">
        <v>394</v>
      </c>
      <c r="I25" s="1093" t="s">
        <v>752</v>
      </c>
      <c r="J25" s="310">
        <f ca="1">J5-J16</f>
        <v>-11</v>
      </c>
      <c r="K25" s="1094" t="s">
        <v>753</v>
      </c>
      <c r="L25" s="1095"/>
      <c r="M25" s="1096"/>
    </row>
    <row r="26" spans="1:37">
      <c r="A26" s="982" t="s">
        <v>397</v>
      </c>
      <c r="B26" s="302" t="s">
        <v>754</v>
      </c>
      <c r="C26" s="21">
        <f ca="1">ROUND((C19+C20)*F26,0)</f>
        <v>231</v>
      </c>
      <c r="D26" s="2425"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4"/>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5473</v>
      </c>
      <c r="D29" s="1091"/>
      <c r="E29" s="1089"/>
      <c r="F29" s="1092"/>
      <c r="G29" s="1394"/>
      <c r="H29" s="334" t="s">
        <v>396</v>
      </c>
      <c r="I29" s="335" t="s">
        <v>768</v>
      </c>
      <c r="J29" s="336">
        <f ca="1">ROUND(J26/(1+F40)^F41,0)</f>
        <v>0</v>
      </c>
      <c r="K29" s="337" t="s">
        <v>769</v>
      </c>
      <c r="L29" s="338"/>
      <c r="M29" s="339">
        <f ca="1">INDIRECT("'数据-取费表'!k"&amp;$G$1)</f>
        <v>11525.369999999966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60</v>
      </c>
      <c r="D30" s="1086" t="s">
        <v>715</v>
      </c>
      <c r="E30" s="3455"/>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ROUND(IF(AND(项目基本情况!B11="自然人",项目基本情况!B10="北京市"),C6*F31/(1+'数据-取费表'!C42),C32+C33+C34),2)</f>
        <v>42.18</v>
      </c>
      <c r="D31" s="3453" t="s">
        <v>720</v>
      </c>
      <c r="E31" s="3454"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IF(项目基本情况!B11="自然人","——",ROUND(C6*F32/(1+'数据-取费表'!C42),2))</f>
        <v>13.2</v>
      </c>
      <c r="D32" s="3454"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28.8</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IF(项目基本情况!B11="自然人","——",ROUND(F34*F35/10000,2))</f>
        <v>0.18</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1225.8599999999999</v>
      </c>
      <c r="G35" s="1382"/>
      <c r="H35" s="2691"/>
      <c r="I35" s="1396"/>
      <c r="J35" s="1397"/>
      <c r="K35" s="2695"/>
      <c r="L35" s="2694"/>
      <c r="M35" s="2694"/>
    </row>
    <row r="36" spans="1:18" ht="18" customHeight="1">
      <c r="A36" s="1101" t="s">
        <v>402</v>
      </c>
      <c r="B36" s="302" t="s">
        <v>738</v>
      </c>
      <c r="C36" s="21">
        <f ca="1">ROUND(C29*F36,2)</f>
        <v>10.95</v>
      </c>
      <c r="D36" s="3454" t="s">
        <v>771</v>
      </c>
      <c r="E36" s="302" t="s">
        <v>712</v>
      </c>
      <c r="F36" s="328">
        <f ca="1">INDIRECT("'数据-取费表'!Ak"&amp;$G$1)</f>
        <v>2E-3</v>
      </c>
      <c r="G36" s="1382"/>
      <c r="H36" s="2694"/>
      <c r="I36" s="1396"/>
      <c r="J36" s="1397"/>
      <c r="K36" s="2538"/>
      <c r="L36" s="2694"/>
      <c r="M36" s="2694"/>
    </row>
    <row r="37" spans="1:18" ht="18" customHeight="1">
      <c r="A37" s="982" t="s">
        <v>437</v>
      </c>
      <c r="B37" s="302" t="s">
        <v>742</v>
      </c>
      <c r="C37" s="21">
        <f ca="1">ROUND(C13*F37,2)</f>
        <v>5.47</v>
      </c>
      <c r="D37" s="3454" t="s">
        <v>743</v>
      </c>
      <c r="E37" s="302" t="s">
        <v>712</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1.72</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10">
        <f ca="1">C5-C30</f>
        <v>284</v>
      </c>
      <c r="D39" s="1094" t="s">
        <v>753</v>
      </c>
      <c r="E39" s="1095"/>
      <c r="F39" s="1096"/>
      <c r="G39" s="1382"/>
      <c r="H39" s="2694"/>
      <c r="I39" s="1396">
        <f ca="1">C39/C5</f>
        <v>0.82558139534883723</v>
      </c>
      <c r="J39" s="1397"/>
      <c r="K39" s="2698"/>
      <c r="L39" s="2694"/>
      <c r="M39" s="2694"/>
    </row>
    <row r="40" spans="1:18" ht="18" customHeight="1">
      <c r="A40" s="299" t="s">
        <v>395</v>
      </c>
      <c r="B40" s="300" t="s">
        <v>774</v>
      </c>
      <c r="C40" s="301">
        <f ca="1">ROUND(C39*(1-((1+F42)/(1+F40))^F41)/(F40-F42),0)</f>
        <v>4735</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36.760000000000005</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f ca="1">ROUND(C40*10000/F43,0)</f>
        <v>4108</v>
      </c>
      <c r="D43" s="337" t="s">
        <v>777</v>
      </c>
      <c r="E43" s="338" t="s">
        <v>778</v>
      </c>
      <c r="F43" s="339">
        <f ca="1">INDIRECT("'数据-取费表'!k"&amp;$G$1)</f>
        <v>11525.369999999966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9" t="s">
        <v>808</v>
      </c>
      <c r="P45" s="1459"/>
      <c r="Q45" s="1459"/>
      <c r="R45" s="1459"/>
    </row>
    <row r="46" spans="1:18" s="1382" customFormat="1" ht="13.5" thickBot="1">
      <c r="A46" s="1402" t="s">
        <v>809</v>
      </c>
      <c r="C46" s="1403">
        <f ca="1">C68-C40</f>
        <v>-5002</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8" t="s">
        <v>691</v>
      </c>
      <c r="F47" s="1059"/>
      <c r="G47" s="722"/>
      <c r="I47" s="1412" t="s">
        <v>815</v>
      </c>
      <c r="J47" s="1413" t="s">
        <v>3785</v>
      </c>
      <c r="K47" s="1414" t="s">
        <v>816</v>
      </c>
      <c r="L47" s="1415">
        <f ca="1">INDIRECT("'数据-取费表'!d"&amp;$G$1)</f>
        <v>50</v>
      </c>
      <c r="M47" s="1378" t="str">
        <f>IF(ISNUMBER(FIND("住宅",C1)),"住宅","非住宅")</f>
        <v>非住宅</v>
      </c>
      <c r="O47" s="1416" t="s">
        <v>403</v>
      </c>
      <c r="P47" s="1417" t="s">
        <v>817</v>
      </c>
      <c r="Q47" s="1418">
        <f ca="1">C40+J29</f>
        <v>4735</v>
      </c>
      <c r="R47" s="1418" t="s">
        <v>818</v>
      </c>
    </row>
    <row r="48" spans="1:18" s="1382" customFormat="1" ht="28.5" thickBot="1">
      <c r="A48" s="1109" t="s">
        <v>438</v>
      </c>
      <c r="B48" s="300" t="s">
        <v>692</v>
      </c>
      <c r="C48" s="3458">
        <f ca="1">C49+C53+C55</f>
        <v>0</v>
      </c>
      <c r="D48" s="1111"/>
      <c r="E48" s="1112"/>
      <c r="F48" s="962"/>
      <c r="G48" s="722"/>
      <c r="H48" s="723"/>
      <c r="I48" s="1419" t="s">
        <v>819</v>
      </c>
      <c r="J48" s="1420" t="s">
        <v>3786</v>
      </c>
      <c r="K48" s="1421" t="s">
        <v>820</v>
      </c>
      <c r="L48" s="1422">
        <f ca="1">INDIRECT("'数据-取费表'!f"&amp;$G$1)</f>
        <v>38.06</v>
      </c>
      <c r="O48" s="1416" t="s">
        <v>404</v>
      </c>
      <c r="P48" s="1417" t="s">
        <v>821</v>
      </c>
      <c r="Q48" s="1418" t="str">
        <f ca="1">J60</f>
        <v>0</v>
      </c>
      <c r="R48" s="1418" t="s">
        <v>822</v>
      </c>
    </row>
    <row r="49" spans="1:18" s="1382" customFormat="1" ht="13.5" thickBot="1">
      <c r="A49" s="975" t="s">
        <v>439</v>
      </c>
      <c r="B49" s="1369" t="s">
        <v>779</v>
      </c>
      <c r="C49" s="1113">
        <f ca="1">ROUND(F49*F51*F50*(1-F52)/10000,0)</f>
        <v>0</v>
      </c>
      <c r="D49" s="1055" t="s">
        <v>2108</v>
      </c>
      <c r="E49" s="1370" t="s">
        <v>780</v>
      </c>
      <c r="F49" s="1060"/>
      <c r="G49" s="1423"/>
      <c r="H49" s="723"/>
      <c r="I49" s="1419" t="s">
        <v>823</v>
      </c>
      <c r="J49" s="1424"/>
      <c r="K49" s="1421" t="s">
        <v>824</v>
      </c>
      <c r="L49" s="1425"/>
      <c r="O49" s="1426" t="s">
        <v>405</v>
      </c>
      <c r="P49" s="1417" t="s">
        <v>825</v>
      </c>
      <c r="Q49" s="1418">
        <f ca="1">C29</f>
        <v>5473</v>
      </c>
      <c r="R49" s="1418" t="s">
        <v>818</v>
      </c>
    </row>
    <row r="50" spans="1:18" s="1382" customFormat="1" ht="13.5" thickBot="1">
      <c r="A50" s="976"/>
      <c r="B50" s="979"/>
      <c r="C50" s="1117"/>
      <c r="D50" s="953"/>
      <c r="E50" s="1056" t="s">
        <v>697</v>
      </c>
      <c r="F50" s="1057">
        <f ca="1">F7</f>
        <v>412</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12</v>
      </c>
      <c r="I51" s="1430" t="s">
        <v>829</v>
      </c>
      <c r="J51" s="1431">
        <f>IF(J49="",J50,J49+J50-YEAR('数据-取费表'!B2))</f>
        <v>60</v>
      </c>
      <c r="K51" s="1432" t="s">
        <v>830</v>
      </c>
      <c r="L51" s="1433">
        <f ca="1">ROUND(-PV(INDIRECT("'数据-取费表'!h"&amp;$G$1),J51,(C39-C13*C76),0),0)</f>
        <v>-3740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36.760000000000005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36.760000000000005</v>
      </c>
      <c r="K53" s="3789" t="s">
        <v>837</v>
      </c>
      <c r="L53" s="3790"/>
      <c r="O53" s="1416" t="s">
        <v>409</v>
      </c>
      <c r="P53" s="1417" t="s">
        <v>838</v>
      </c>
      <c r="Q53" s="1418">
        <f ca="1">Q47+Q48</f>
        <v>4735</v>
      </c>
      <c r="R53" s="1418" t="s">
        <v>410</v>
      </c>
    </row>
    <row r="54" spans="1:18" s="1382" customFormat="1" ht="13.5" thickBot="1">
      <c r="A54" s="1152"/>
      <c r="B54" s="1365" t="s">
        <v>679</v>
      </c>
      <c r="C54" s="959"/>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5473</v>
      </c>
      <c r="D56" s="1445"/>
      <c r="E56" s="1446"/>
      <c r="F56" s="1438"/>
      <c r="I56" s="1447" t="s">
        <v>842</v>
      </c>
      <c r="J56" s="1448" t="s">
        <v>3743</v>
      </c>
      <c r="K56" s="1419" t="s">
        <v>843</v>
      </c>
      <c r="L56" s="1422" t="str">
        <f ca="1">IF(L48&lt;J51,"——",L48-J53)</f>
        <v>——</v>
      </c>
      <c r="O56" s="1416" t="s">
        <v>403</v>
      </c>
      <c r="P56" s="1417" t="s">
        <v>817</v>
      </c>
      <c r="Q56" s="1418">
        <f ca="1">C40+J29</f>
        <v>4735</v>
      </c>
      <c r="R56" s="1418" t="s">
        <v>818</v>
      </c>
    </row>
    <row r="57" spans="1:18" s="1382" customFormat="1" ht="24.75" thickBot="1">
      <c r="A57" s="1449"/>
      <c r="B57" s="950" t="s">
        <v>767</v>
      </c>
      <c r="C57" s="238">
        <f ca="1">C29</f>
        <v>5473</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16</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727</v>
      </c>
      <c r="C61" s="21">
        <f ca="1">IF(项目基本情况!B11="自然人","——",IF(D61="按租金收入计税",ROUND(C49*F61/(1+'数据-取费表'!C42),2),IF(D61="按房产原值计税",ROUND(C57*F61*0.7,2),INDIRECT("'数据-取费表'!Aj"&amp;$G$1))))</f>
        <v>0</v>
      </c>
      <c r="D61" s="1368" t="s">
        <v>3327</v>
      </c>
      <c r="E61" s="950" t="s">
        <v>712</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730</v>
      </c>
      <c r="C62" s="22">
        <f ca="1">IF(项目基本情况!B11="自然人","——",ROUND(F62*F63/10000,2))</f>
        <v>0.18</v>
      </c>
      <c r="D62" s="965" t="s">
        <v>731</v>
      </c>
      <c r="E62" s="950" t="s">
        <v>732</v>
      </c>
      <c r="F62" s="325">
        <f t="shared" si="0"/>
        <v>1.5</v>
      </c>
      <c r="I62" s="1460" t="s">
        <v>858</v>
      </c>
      <c r="J62" s="1461" t="s">
        <v>859</v>
      </c>
      <c r="K62" s="1461" t="s">
        <v>860</v>
      </c>
      <c r="L62" s="1461" t="s">
        <v>861</v>
      </c>
      <c r="M62" s="1462" t="s">
        <v>862</v>
      </c>
      <c r="O62" s="1416" t="s">
        <v>409</v>
      </c>
      <c r="P62" s="1417" t="s">
        <v>838</v>
      </c>
      <c r="Q62" s="1418">
        <f ca="1">Q56+Q57</f>
        <v>4735</v>
      </c>
      <c r="R62" s="1418" t="s">
        <v>410</v>
      </c>
    </row>
    <row r="63" spans="1:18" s="1382" customFormat="1" ht="13.5" thickBot="1">
      <c r="A63" s="326"/>
      <c r="B63" s="956"/>
      <c r="C63" s="26"/>
      <c r="D63" s="966"/>
      <c r="E63" s="950" t="s">
        <v>736</v>
      </c>
      <c r="F63" s="303">
        <f t="shared" ca="1" si="0"/>
        <v>1225.8599999999999</v>
      </c>
      <c r="I63" s="1460" t="s">
        <v>864</v>
      </c>
      <c r="J63" s="1461">
        <v>70</v>
      </c>
      <c r="K63" s="1461">
        <v>50</v>
      </c>
      <c r="L63" s="1461">
        <v>80</v>
      </c>
      <c r="M63" s="1463">
        <v>0.02</v>
      </c>
      <c r="O63" s="1401" t="s">
        <v>865</v>
      </c>
      <c r="P63" s="1379"/>
      <c r="Q63" s="1379"/>
      <c r="R63" s="1379"/>
    </row>
    <row r="64" spans="1:18" s="1382" customFormat="1" ht="13.5" thickBot="1">
      <c r="A64" s="982" t="s">
        <v>402</v>
      </c>
      <c r="B64" s="950" t="s">
        <v>738</v>
      </c>
      <c r="C64" s="21">
        <f ca="1">ROUND(C57*F64,2)</f>
        <v>10.95</v>
      </c>
      <c r="D64" s="964" t="s">
        <v>771</v>
      </c>
      <c r="E64" s="950" t="s">
        <v>712</v>
      </c>
      <c r="F64" s="328">
        <f t="shared" ca="1" si="0"/>
        <v>2E-3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5.47</v>
      </c>
      <c r="D65" s="964" t="s">
        <v>743</v>
      </c>
      <c r="E65" s="950" t="s">
        <v>712</v>
      </c>
      <c r="F65" s="330">
        <f t="shared" ca="1" si="0"/>
        <v>1E-3</v>
      </c>
      <c r="I65" s="1460" t="s">
        <v>867</v>
      </c>
      <c r="J65" s="1461">
        <v>40</v>
      </c>
      <c r="K65" s="1461">
        <v>30</v>
      </c>
      <c r="L65" s="1461">
        <v>50</v>
      </c>
      <c r="M65" s="1463">
        <v>0.02</v>
      </c>
      <c r="O65" s="1416" t="s">
        <v>403</v>
      </c>
      <c r="P65" s="1417" t="s">
        <v>817</v>
      </c>
      <c r="Q65" s="1418">
        <f ca="1">C40+J29</f>
        <v>4735</v>
      </c>
      <c r="R65" s="1418" t="s">
        <v>818</v>
      </c>
    </row>
    <row r="66" spans="1:18" s="1382" customFormat="1" ht="16.5" thickBot="1">
      <c r="A66" s="982" t="s">
        <v>793</v>
      </c>
      <c r="B66" s="950" t="s">
        <v>728</v>
      </c>
      <c r="C66" s="21">
        <f ca="1">ROUND(C48*F66,2)</f>
        <v>0</v>
      </c>
      <c r="D66" s="964" t="s">
        <v>748</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-16</v>
      </c>
      <c r="D67" s="963" t="s">
        <v>753</v>
      </c>
      <c r="E67" s="968"/>
      <c r="F67" s="969"/>
      <c r="O67" s="1426" t="s">
        <v>405</v>
      </c>
      <c r="P67" s="1417" t="s">
        <v>850</v>
      </c>
      <c r="Q67" s="1464">
        <f ca="1">L51</f>
        <v>-3740</v>
      </c>
      <c r="R67" s="1418" t="s">
        <v>870</v>
      </c>
    </row>
    <row r="68" spans="1:18" s="1382" customFormat="1" ht="16.5" thickBot="1">
      <c r="A68" s="947" t="s">
        <v>395</v>
      </c>
      <c r="B68" s="948" t="s">
        <v>774</v>
      </c>
      <c r="C68" s="301">
        <f ca="1">ROUND(C67*(1-((1+F70)/(1+F68))^F69)/(F68-F70),0)</f>
        <v>-267</v>
      </c>
      <c r="D68" s="965" t="s">
        <v>758</v>
      </c>
      <c r="E68" s="950" t="s">
        <v>759</v>
      </c>
      <c r="F68" s="312">
        <f ca="1">F40</f>
        <v>0.05</v>
      </c>
      <c r="O68" s="1426" t="s">
        <v>406</v>
      </c>
      <c r="P68" s="1465" t="s">
        <v>871</v>
      </c>
      <c r="Q68" s="1418">
        <f ca="1">ROUND(Q69-Q70*Q71,0)</f>
        <v>-181</v>
      </c>
      <c r="R68" s="1418" t="s">
        <v>414</v>
      </c>
    </row>
    <row r="69" spans="1:18" s="1382" customFormat="1" ht="13.5" thickBot="1">
      <c r="A69" s="951"/>
      <c r="B69" s="952"/>
      <c r="C69" s="306"/>
      <c r="D69" s="970" t="s">
        <v>762</v>
      </c>
      <c r="E69" s="950" t="s">
        <v>763</v>
      </c>
      <c r="F69" s="333">
        <f ca="1">F41</f>
        <v>36.760000000000005</v>
      </c>
      <c r="O69" s="1426" t="s">
        <v>411</v>
      </c>
      <c r="P69" s="1465" t="s">
        <v>872</v>
      </c>
      <c r="Q69" s="1418">
        <f ca="1">C39</f>
        <v>284</v>
      </c>
      <c r="R69" s="1418" t="s">
        <v>818</v>
      </c>
    </row>
    <row r="70" spans="1:18" s="1382" customFormat="1" ht="13.5" thickBot="1">
      <c r="A70" s="954"/>
      <c r="B70" s="955"/>
      <c r="C70" s="310"/>
      <c r="D70" s="966"/>
      <c r="E70" s="950" t="s">
        <v>766</v>
      </c>
      <c r="F70" s="1054"/>
      <c r="O70" s="1426" t="s">
        <v>412</v>
      </c>
      <c r="P70" s="1465" t="s">
        <v>873</v>
      </c>
      <c r="Q70" s="1418">
        <f ca="1">C13</f>
        <v>5473</v>
      </c>
      <c r="R70" s="1418" t="s">
        <v>818</v>
      </c>
    </row>
    <row r="71" spans="1:18" s="1382" customFormat="1" ht="13.5" thickBot="1">
      <c r="A71" s="971" t="s">
        <v>396</v>
      </c>
      <c r="B71" s="972" t="s">
        <v>776</v>
      </c>
      <c r="C71" s="336">
        <f ca="1">ROUND(C68*10000/F71,0)</f>
        <v>-232</v>
      </c>
      <c r="D71" s="973" t="s">
        <v>777</v>
      </c>
      <c r="E71" s="974" t="s">
        <v>778</v>
      </c>
      <c r="F71" s="339">
        <f ca="1">F43</f>
        <v>11525.369999999966</v>
      </c>
      <c r="O71" s="1426" t="s">
        <v>413</v>
      </c>
      <c r="P71" s="1465" t="s">
        <v>874</v>
      </c>
      <c r="Q71" s="1429">
        <f ca="1">C76</f>
        <v>8.5000000000000006E-2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465</v>
      </c>
      <c r="D75" s="1382"/>
      <c r="E75" s="1382"/>
      <c r="F75" s="1382"/>
      <c r="K75" s="1400"/>
      <c r="L75" s="1382"/>
      <c r="O75" s="1416" t="s">
        <v>409</v>
      </c>
      <c r="P75" s="1417" t="s">
        <v>838</v>
      </c>
      <c r="Q75" s="1418">
        <f ca="1">Q65+Q66</f>
        <v>4735</v>
      </c>
      <c r="R75" s="1418" t="s">
        <v>410</v>
      </c>
    </row>
    <row r="76" spans="1:18">
      <c r="B76" s="342" t="s">
        <v>796</v>
      </c>
      <c r="C76" s="343">
        <f ca="1">INDIRECT("'数据-取费表'!j"&amp;$G$1)</f>
        <v>8.5000000000000006E-2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-0.63700000000000001</v>
      </c>
    </row>
    <row r="80" spans="1:18">
      <c r="B80" s="340" t="s">
        <v>800</v>
      </c>
      <c r="C80" s="274">
        <f ca="1">ROUND(C75/C39,3)</f>
        <v>1.637</v>
      </c>
    </row>
    <row r="81" spans="2:3">
      <c r="B81" s="270" t="s">
        <v>801</v>
      </c>
      <c r="C81" s="238"/>
    </row>
    <row r="82" spans="2:3">
      <c r="B82" s="273" t="s">
        <v>802</v>
      </c>
      <c r="C82" s="275">
        <f ca="1">1-C83</f>
        <v>-0.15599999999999992</v>
      </c>
    </row>
    <row r="83" spans="2:3">
      <c r="B83" s="273" t="s">
        <v>803</v>
      </c>
      <c r="C83" s="274">
        <f ca="1">ROUND(C13/C40,3)</f>
        <v>1.1559999999999999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9</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791" t="s">
        <v>694</v>
      </c>
      <c r="C6" s="1074">
        <f ca="1">ROUND(F6*F8*F7*(1-F9),0)</f>
        <v>0</v>
      </c>
      <c r="D6" s="155" t="s">
        <v>2104</v>
      </c>
      <c r="E6" s="302" t="s">
        <v>696</v>
      </c>
      <c r="F6" s="303">
        <f ca="1">INDIRECT("'数据-取费表'!u"&amp;$G$1)</f>
        <v>0</v>
      </c>
      <c r="G6" s="1382"/>
      <c r="H6" s="1069" t="s">
        <v>398</v>
      </c>
      <c r="I6" s="3791" t="s">
        <v>694</v>
      </c>
      <c r="J6" s="301">
        <f ca="1">ROUND(M6*M8*M7*(1-M9),0)</f>
        <v>0</v>
      </c>
      <c r="K6" s="1374" t="s">
        <v>2105</v>
      </c>
      <c r="L6" s="302" t="s">
        <v>696</v>
      </c>
      <c r="M6" s="303">
        <f ca="1">INDIRECT("'数据-取费表'!z"&amp;$G$1)</f>
        <v>0</v>
      </c>
    </row>
    <row r="7" spans="1:37" ht="18" customHeight="1">
      <c r="A7" s="1073"/>
      <c r="B7" s="3792"/>
      <c r="C7" s="1075"/>
      <c r="D7" s="307"/>
      <c r="E7" s="1076" t="s">
        <v>697</v>
      </c>
      <c r="F7" s="303">
        <f ca="1">IF(INDIRECT("'数据-取费表'!ah"&amp;$G$1)="",INDIRECT("'数据-取费表'!k"&amp;$G$1),INDIRECT("'数据-取费表'!ah"&amp;$G$1))</f>
        <v>0</v>
      </c>
      <c r="G7" s="1382"/>
      <c r="H7" s="304"/>
      <c r="I7" s="3792"/>
      <c r="J7" s="306"/>
      <c r="K7" s="307"/>
      <c r="L7" s="302" t="s">
        <v>697</v>
      </c>
      <c r="M7" s="303">
        <f ca="1">F7</f>
        <v>0</v>
      </c>
    </row>
    <row r="8" spans="1:37" ht="18" customHeight="1">
      <c r="A8" s="304"/>
      <c r="B8" s="3792"/>
      <c r="C8" s="306"/>
      <c r="D8" s="307"/>
      <c r="E8" s="302" t="s">
        <v>698</v>
      </c>
      <c r="F8" s="303">
        <f ca="1">INDIRECT("'数据-取费表'!ai"&amp;$G$1)</f>
        <v>0</v>
      </c>
      <c r="G8" s="1382"/>
      <c r="H8" s="304"/>
      <c r="I8" s="3792"/>
      <c r="J8" s="306"/>
      <c r="K8" s="307"/>
      <c r="L8" s="302" t="s">
        <v>698</v>
      </c>
      <c r="M8" s="303">
        <f ca="1">INDIRECT("'数据-取费表'!ai"&amp;$G$1)</f>
        <v>0</v>
      </c>
    </row>
    <row r="9" spans="1:37" ht="18" customHeight="1">
      <c r="A9" s="304"/>
      <c r="B9" s="3793"/>
      <c r="C9" s="306"/>
      <c r="D9" s="307"/>
      <c r="E9" s="302" t="s">
        <v>699</v>
      </c>
      <c r="F9" s="312">
        <f ca="1">INDIRECT("'数据-取费表'!w"&amp;$G$1)</f>
        <v>0</v>
      </c>
      <c r="G9" s="1382"/>
      <c r="H9" s="304"/>
      <c r="I9" s="3793"/>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2114</v>
      </c>
      <c r="E10" s="313" t="s">
        <v>701</v>
      </c>
      <c r="F10" s="1115"/>
      <c r="G10" s="1382"/>
      <c r="H10" s="1069" t="s">
        <v>402</v>
      </c>
      <c r="I10" s="1363" t="s">
        <v>700</v>
      </c>
      <c r="J10" s="301">
        <f ca="1">ROUND(IF(M10="押一",J6/12*M11,IF(M10="押二",J6/12*2*M11,IF(M10="押三",J6/12*3*M11,J11*M11))),0)</f>
        <v>0</v>
      </c>
      <c r="K10" s="1375" t="s">
        <v>2116</v>
      </c>
      <c r="L10" s="313" t="s">
        <v>701</v>
      </c>
      <c r="M10" s="1115"/>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8">
        <f ca="1">ROUND(J14*J15,0)</f>
        <v>0</v>
      </c>
      <c r="K13" s="1086"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2"/>
    </row>
    <row r="17" spans="1:37" s="1395" customFormat="1" ht="18" customHeight="1">
      <c r="A17" s="982" t="s">
        <v>681</v>
      </c>
      <c r="B17" s="302" t="s">
        <v>716</v>
      </c>
      <c r="C17" s="21">
        <f ca="1">ROUND(F17*(F43+INDIRECT("'数据-取费表'!S"&amp;$G$1)),0)</f>
        <v>0</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3327</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2"/>
      <c r="G30" s="1382"/>
      <c r="H30" s="2691"/>
      <c r="I30" s="1396"/>
      <c r="J30" s="1397"/>
      <c r="K30" s="2469"/>
      <c r="L30" s="2692"/>
      <c r="M30" s="2693"/>
    </row>
    <row r="31" spans="1:37" ht="18" customHeight="1">
      <c r="A31" s="982"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2"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2"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3343</v>
      </c>
      <c r="B45" s="1398"/>
      <c r="C45" s="1470" t="e">
        <f ca="1">ROUND((C68-C40)/10000,4)</f>
        <v>#DIV/0!</v>
      </c>
      <c r="D45" s="3426" t="s">
        <v>3344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6">
        <f ca="1">IF(M47="住宅",IF(D1="——",MAX(J51,L48),MAX(J51,L48-'数据-取费表'!B24)),IF(D1="——",MIN(J51,L48),MIN(J51,L48-'数据-取费表'!B24)))</f>
        <v>0</v>
      </c>
      <c r="K53" s="3789" t="s">
        <v>837</v>
      </c>
      <c r="L53" s="3790"/>
      <c r="O53" s="1416" t="s">
        <v>409</v>
      </c>
      <c r="P53" s="1417" t="s">
        <v>838</v>
      </c>
      <c r="Q53" s="1418" t="e">
        <f ca="1">Q47+Q48</f>
        <v>#DIV/0!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3327</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2427</v>
      </c>
      <c r="B1" s="2826"/>
      <c r="C1" s="2838"/>
      <c r="D1" s="2838"/>
      <c r="E1" s="2827"/>
      <c r="F1" s="2828"/>
      <c r="G1" s="2829"/>
      <c r="J1" s="2832" t="s">
        <v>2306</v>
      </c>
      <c r="K1" s="2833"/>
      <c r="L1" s="2833"/>
      <c r="M1" s="2833"/>
      <c r="N1" s="2833"/>
      <c r="O1" s="2833"/>
      <c r="P1" s="2833"/>
      <c r="Q1" s="2833"/>
      <c r="R1" s="2834"/>
      <c r="S1" s="2835"/>
      <c r="T1" s="2835"/>
      <c r="U1" s="2835"/>
    </row>
    <row r="2" spans="1:22" s="2847" customFormat="1" ht="13.15" customHeight="1">
      <c r="A2" s="1383" t="s">
        <v>2307</v>
      </c>
      <c r="B2" s="2837" t="e">
        <f>IF(D2="——",C40,C40+E2)</f>
        <v>#DIV/0!</v>
      </c>
      <c r="C2" s="2838" t="s">
        <v>2308</v>
      </c>
      <c r="D2" s="3437" t="s">
        <v>3350</v>
      </c>
      <c r="E2" s="3438"/>
      <c r="F2" s="2840"/>
      <c r="G2" s="2841"/>
      <c r="H2" s="2842"/>
      <c r="I2" s="2843"/>
      <c r="J2" s="3800" t="s">
        <v>2309</v>
      </c>
      <c r="K2" s="3801"/>
      <c r="L2" s="2844" t="s">
        <v>2310</v>
      </c>
      <c r="M2" s="2844" t="s">
        <v>2311</v>
      </c>
      <c r="N2" s="2844" t="s">
        <v>2312</v>
      </c>
      <c r="O2" s="2844" t="s">
        <v>2313</v>
      </c>
      <c r="P2" s="2844" t="s">
        <v>2314</v>
      </c>
      <c r="Q2" s="2845" t="s">
        <v>2315</v>
      </c>
      <c r="R2" s="2846" t="s">
        <v>2316</v>
      </c>
      <c r="S2" s="2835"/>
      <c r="T2" s="2835"/>
      <c r="U2" s="2835"/>
      <c r="V2" s="2843"/>
    </row>
    <row r="3" spans="1:22" s="2847" customFormat="1" ht="13.15" customHeight="1">
      <c r="A3" s="2848" t="s">
        <v>2317</v>
      </c>
      <c r="B3" s="2849" t="e">
        <f>ROUND(B2*10000/B4,0)</f>
        <v>#DIV/0!</v>
      </c>
      <c r="C3" s="2838" t="s">
        <v>2318</v>
      </c>
      <c r="D3" s="2838"/>
      <c r="E3" s="2839"/>
      <c r="F3" s="2840"/>
      <c r="G3" s="2841"/>
      <c r="H3" s="2842"/>
      <c r="I3" s="2843"/>
      <c r="J3" s="3802" t="s">
        <v>2319</v>
      </c>
      <c r="K3" s="3803"/>
      <c r="L3" s="2850"/>
      <c r="M3" s="2850"/>
      <c r="N3" s="2850"/>
      <c r="O3" s="2850"/>
      <c r="P3" s="2850"/>
      <c r="Q3" s="2851"/>
      <c r="R3" s="2852">
        <f>SUM(L3:Q3)</f>
        <v>0</v>
      </c>
      <c r="S3" s="2835"/>
      <c r="T3" s="2835"/>
      <c r="U3" s="2835"/>
      <c r="V3" s="2843"/>
    </row>
    <row r="4" spans="1:22" s="2847" customFormat="1" ht="13.15" customHeight="1">
      <c r="A4" s="2853" t="s">
        <v>2320</v>
      </c>
      <c r="B4" s="2854"/>
      <c r="C4" s="2838"/>
      <c r="D4" s="2838"/>
      <c r="E4" s="2839"/>
      <c r="F4" s="2840"/>
      <c r="G4" s="2841"/>
      <c r="H4" s="2842"/>
      <c r="I4" s="2843"/>
      <c r="J4" s="3802" t="s">
        <v>2321</v>
      </c>
      <c r="K4" s="3803"/>
      <c r="L4" s="2855"/>
      <c r="M4" s="2855"/>
      <c r="N4" s="2855"/>
      <c r="O4" s="2855"/>
      <c r="P4" s="2855"/>
      <c r="Q4" s="2856"/>
      <c r="R4" s="2857">
        <f>SUM(L4:Q4)</f>
        <v>0</v>
      </c>
      <c r="S4" s="2835"/>
      <c r="T4" s="2835"/>
      <c r="U4" s="2835"/>
      <c r="V4" s="2843"/>
    </row>
    <row r="5" spans="1:22" s="2847" customFormat="1" ht="13.15" customHeight="1" thickBot="1">
      <c r="A5" s="2858" t="s">
        <v>2322</v>
      </c>
      <c r="B5" s="2859"/>
      <c r="C5" s="2838"/>
      <c r="D5" s="2860"/>
      <c r="E5" s="2840"/>
      <c r="F5" s="2840"/>
      <c r="G5" s="2841"/>
      <c r="H5" s="2842"/>
      <c r="I5" s="2843"/>
      <c r="J5" s="2861" t="s">
        <v>2323</v>
      </c>
      <c r="K5" s="2862"/>
      <c r="L5" s="2862"/>
      <c r="M5" s="2863"/>
      <c r="N5" s="2863"/>
      <c r="O5" s="2863"/>
      <c r="P5" s="2863"/>
      <c r="Q5" s="2863"/>
      <c r="R5" s="2846">
        <f>SUM(R14,R19,R24,R25,R27,R28)</f>
        <v>0</v>
      </c>
      <c r="S5" s="2835"/>
      <c r="T5" s="2835" t="s">
        <v>2324</v>
      </c>
      <c r="U5" s="2835" t="e">
        <f>ROUND(R5*10000/365/R3,1)</f>
        <v>#DIV/0!</v>
      </c>
      <c r="V5" s="2843"/>
    </row>
    <row r="6" spans="1:22" s="2847" customFormat="1" ht="13.15" customHeight="1" thickBot="1">
      <c r="A6" s="3808" t="s">
        <v>2325</v>
      </c>
      <c r="B6" s="3809"/>
      <c r="C6" s="3810"/>
      <c r="D6" s="2864"/>
      <c r="E6" s="2865"/>
      <c r="F6" s="2866"/>
      <c r="G6" s="2867"/>
      <c r="H6" s="2842"/>
      <c r="I6" s="2843"/>
      <c r="J6" s="3794">
        <v>1</v>
      </c>
      <c r="K6" s="3795" t="s">
        <v>2326</v>
      </c>
      <c r="L6" s="2868" t="s">
        <v>2327</v>
      </c>
      <c r="M6" s="2869" t="s">
        <v>2328</v>
      </c>
      <c r="N6" s="2869" t="s">
        <v>2329</v>
      </c>
      <c r="O6" s="2869" t="s">
        <v>2330</v>
      </c>
      <c r="P6" s="2869" t="s">
        <v>2331</v>
      </c>
      <c r="Q6" s="2869" t="s">
        <v>2332</v>
      </c>
      <c r="R6" s="2852" t="s">
        <v>2333</v>
      </c>
      <c r="S6" s="2835"/>
      <c r="T6" s="2835" t="s">
        <v>2334</v>
      </c>
      <c r="U6" s="2835"/>
      <c r="V6" s="2843"/>
    </row>
    <row r="7" spans="1:22" s="2847" customFormat="1" ht="13.15" customHeight="1">
      <c r="A7" s="2870" t="s">
        <v>2335</v>
      </c>
      <c r="B7" s="2871"/>
      <c r="C7" s="2872"/>
      <c r="D7" s="2873">
        <f>SUM(D9,D10,D11,D17,0)</f>
        <v>0</v>
      </c>
      <c r="E7" s="2874" t="e">
        <f>E9+E10+E11+E17</f>
        <v>#DIV/0!</v>
      </c>
      <c r="F7" s="2875"/>
      <c r="G7" s="2876"/>
      <c r="H7" s="2842"/>
      <c r="I7" s="2843"/>
      <c r="J7" s="3794"/>
      <c r="K7" s="3796"/>
      <c r="L7" s="2877" t="s">
        <v>2336</v>
      </c>
      <c r="M7" s="2878"/>
      <c r="N7" s="2854"/>
      <c r="O7" s="2879"/>
      <c r="P7" s="2879"/>
      <c r="Q7" s="2880">
        <v>365</v>
      </c>
      <c r="R7" s="2881">
        <f>ROUND(M7*N7*O7*P7*Q7/10000,0)</f>
        <v>0</v>
      </c>
      <c r="S7" s="2835"/>
      <c r="T7" s="2835" t="s">
        <v>2337</v>
      </c>
      <c r="U7" s="2835"/>
      <c r="V7" s="2843"/>
    </row>
    <row r="8" spans="1:22" s="2847" customFormat="1" ht="13.15" customHeight="1">
      <c r="A8" s="2882" t="s">
        <v>2338</v>
      </c>
      <c r="B8" s="3811" t="s">
        <v>2339</v>
      </c>
      <c r="C8" s="3812"/>
      <c r="D8" s="2883" t="s">
        <v>2340</v>
      </c>
      <c r="E8" s="2884" t="s">
        <v>2341</v>
      </c>
      <c r="F8" s="2885" t="s">
        <v>2342</v>
      </c>
      <c r="G8" s="2886"/>
      <c r="H8" s="2842"/>
      <c r="I8" s="2843"/>
      <c r="J8" s="3794"/>
      <c r="K8" s="3796"/>
      <c r="L8" s="2877" t="s">
        <v>2343</v>
      </c>
      <c r="M8" s="2878"/>
      <c r="N8" s="2854"/>
      <c r="O8" s="2879"/>
      <c r="P8" s="2879"/>
      <c r="Q8" s="2880">
        <v>365</v>
      </c>
      <c r="R8" s="2881">
        <f t="shared" ref="R8:R13" si="0">ROUND(M8*N8*O8*P8*Q8/10000,0)</f>
        <v>0</v>
      </c>
      <c r="S8" s="2835"/>
      <c r="T8" s="2835" t="s">
        <v>2344</v>
      </c>
      <c r="U8" s="2835"/>
      <c r="V8" s="2843"/>
    </row>
    <row r="9" spans="1:22" s="2847" customFormat="1" ht="13.15" customHeight="1">
      <c r="A9" s="2882">
        <v>1</v>
      </c>
      <c r="B9" s="3811" t="s">
        <v>2345</v>
      </c>
      <c r="C9" s="3812"/>
      <c r="D9" s="2883">
        <f>ROUND(D6*E9,0)</f>
        <v>0</v>
      </c>
      <c r="E9" s="2887"/>
      <c r="F9" s="2888" t="s">
        <v>2346</v>
      </c>
      <c r="G9" s="2867"/>
      <c r="H9" s="2842"/>
      <c r="I9" s="2843"/>
      <c r="J9" s="3794"/>
      <c r="K9" s="3796"/>
      <c r="L9" s="2877" t="s">
        <v>2347</v>
      </c>
      <c r="M9" s="2878"/>
      <c r="N9" s="2854"/>
      <c r="O9" s="2879"/>
      <c r="P9" s="2879"/>
      <c r="Q9" s="2880">
        <v>365</v>
      </c>
      <c r="R9" s="2881">
        <f t="shared" si="0"/>
        <v>0</v>
      </c>
      <c r="S9" s="2835"/>
      <c r="T9" s="2835"/>
      <c r="U9" s="2835"/>
      <c r="V9" s="2843"/>
    </row>
    <row r="10" spans="1:22" s="2847" customFormat="1" ht="13.15" customHeight="1">
      <c r="A10" s="2882">
        <v>2</v>
      </c>
      <c r="B10" s="3811" t="s">
        <v>2348</v>
      </c>
      <c r="C10" s="3812"/>
      <c r="D10" s="2883">
        <f>ROUND(D6*E10,0)</f>
        <v>0</v>
      </c>
      <c r="E10" s="2887"/>
      <c r="F10" s="2888" t="s">
        <v>2349</v>
      </c>
      <c r="G10" s="2867"/>
      <c r="H10" s="2842"/>
      <c r="I10" s="2843"/>
      <c r="J10" s="3794"/>
      <c r="K10" s="3796"/>
      <c r="L10" s="2877" t="s">
        <v>2350</v>
      </c>
      <c r="M10" s="2878"/>
      <c r="N10" s="2854"/>
      <c r="O10" s="2879"/>
      <c r="P10" s="2879"/>
      <c r="Q10" s="2880">
        <v>365</v>
      </c>
      <c r="R10" s="2881">
        <f t="shared" si="0"/>
        <v>0</v>
      </c>
      <c r="S10" s="2835"/>
      <c r="T10" s="2835"/>
      <c r="U10" s="2835"/>
      <c r="V10" s="2843"/>
    </row>
    <row r="11" spans="1:22" s="2847" customFormat="1" ht="13.15" customHeight="1">
      <c r="A11" s="2882">
        <v>3</v>
      </c>
      <c r="B11" s="3811" t="s">
        <v>2351</v>
      </c>
      <c r="C11" s="3812"/>
      <c r="D11" s="2883">
        <f>D12+D14+D15+D16</f>
        <v>0</v>
      </c>
      <c r="E11" s="2889" t="e">
        <f>D11/D6</f>
        <v>#DIV/0!</v>
      </c>
      <c r="F11" s="2885"/>
      <c r="G11" s="2886"/>
      <c r="H11" s="2842"/>
      <c r="I11" s="2843"/>
      <c r="J11" s="3794"/>
      <c r="K11" s="3796"/>
      <c r="L11" s="2877" t="s">
        <v>2352</v>
      </c>
      <c r="M11" s="2878"/>
      <c r="N11" s="2854"/>
      <c r="O11" s="2879"/>
      <c r="P11" s="2879"/>
      <c r="Q11" s="2880">
        <v>365</v>
      </c>
      <c r="R11" s="2881">
        <f t="shared" si="0"/>
        <v>0</v>
      </c>
      <c r="S11" s="2835"/>
      <c r="T11" s="2835"/>
      <c r="U11" s="2835"/>
      <c r="V11" s="2843"/>
    </row>
    <row r="12" spans="1:22" s="2847" customFormat="1" ht="13.15" customHeight="1">
      <c r="A12" s="2890" t="s">
        <v>2353</v>
      </c>
      <c r="B12" s="3804" t="s">
        <v>2354</v>
      </c>
      <c r="C12" s="3805"/>
      <c r="D12" s="2891">
        <f>ROUND(D13*1.2%*(1-30%),0)</f>
        <v>0</v>
      </c>
      <c r="E12" s="2892">
        <v>1.2E-2</v>
      </c>
      <c r="F12" s="2885" t="s">
        <v>2355</v>
      </c>
      <c r="G12" s="2886"/>
      <c r="H12" s="2842"/>
      <c r="I12" s="2843"/>
      <c r="J12" s="3794"/>
      <c r="K12" s="3796"/>
      <c r="L12" s="2877" t="s">
        <v>2356</v>
      </c>
      <c r="M12" s="2878"/>
      <c r="N12" s="2854"/>
      <c r="O12" s="2879"/>
      <c r="P12" s="2879"/>
      <c r="Q12" s="2880">
        <v>365</v>
      </c>
      <c r="R12" s="2881">
        <f t="shared" si="0"/>
        <v>0</v>
      </c>
      <c r="S12" s="2835"/>
      <c r="T12" s="2835"/>
      <c r="U12" s="2835"/>
      <c r="V12" s="2843"/>
    </row>
    <row r="13" spans="1:22" s="2847" customFormat="1" ht="13.15" customHeight="1">
      <c r="A13" s="2890"/>
      <c r="B13" s="2893"/>
      <c r="C13" s="2894" t="s">
        <v>2357</v>
      </c>
      <c r="D13" s="2895"/>
      <c r="E13" s="2896"/>
      <c r="F13" s="2885"/>
      <c r="G13" s="2886"/>
      <c r="H13" s="2842"/>
      <c r="I13" s="2843"/>
      <c r="J13" s="3794"/>
      <c r="K13" s="3796"/>
      <c r="L13" s="2877" t="s">
        <v>2358</v>
      </c>
      <c r="M13" s="2878"/>
      <c r="N13" s="2854"/>
      <c r="O13" s="2879"/>
      <c r="P13" s="2879"/>
      <c r="Q13" s="2880">
        <v>365</v>
      </c>
      <c r="R13" s="2881">
        <f t="shared" si="0"/>
        <v>0</v>
      </c>
      <c r="S13" s="2835"/>
      <c r="T13" s="2835"/>
      <c r="U13" s="2835"/>
      <c r="V13" s="2843"/>
    </row>
    <row r="14" spans="1:22" s="2847" customFormat="1" ht="13.15" customHeight="1">
      <c r="A14" s="2890" t="s">
        <v>2359</v>
      </c>
      <c r="B14" s="3804" t="s">
        <v>2360</v>
      </c>
      <c r="C14" s="3805"/>
      <c r="D14" s="2891">
        <f>ROUND(E14*B5/10000,0)</f>
        <v>0</v>
      </c>
      <c r="E14" s="2880"/>
      <c r="F14" s="2885" t="s">
        <v>2361</v>
      </c>
      <c r="G14" s="2886"/>
      <c r="H14" s="2842"/>
      <c r="I14" s="2843"/>
      <c r="J14" s="3794"/>
      <c r="K14" s="3797"/>
      <c r="L14" s="2897" t="s">
        <v>2362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2363</v>
      </c>
      <c r="B15" s="3804" t="s">
        <v>2364</v>
      </c>
      <c r="C15" s="3805"/>
      <c r="D15" s="2891">
        <f>ROUND(D6*E15,0)</f>
        <v>0</v>
      </c>
      <c r="E15" s="2892">
        <v>5.5E-2</v>
      </c>
      <c r="F15" s="2885" t="s">
        <v>2365</v>
      </c>
      <c r="G15" s="2867"/>
      <c r="H15" s="2842"/>
      <c r="I15" s="2843"/>
      <c r="J15" s="3794">
        <v>2</v>
      </c>
      <c r="K15" s="3795" t="s">
        <v>2366</v>
      </c>
      <c r="L15" s="2877" t="s">
        <v>2367</v>
      </c>
      <c r="M15" s="2878" t="s">
        <v>2368</v>
      </c>
      <c r="N15" s="2878" t="s">
        <v>2369</v>
      </c>
      <c r="O15" s="2879" t="s">
        <v>2370</v>
      </c>
      <c r="P15" s="2879" t="s">
        <v>2332</v>
      </c>
      <c r="Q15" s="2854" t="s">
        <v>2371</v>
      </c>
      <c r="R15" s="2901" t="s">
        <v>2333</v>
      </c>
      <c r="S15" s="2835"/>
      <c r="T15" s="2835"/>
      <c r="U15" s="2835"/>
      <c r="V15" s="2843"/>
    </row>
    <row r="16" spans="1:22" s="2847" customFormat="1" ht="13.15" customHeight="1">
      <c r="A16" s="2890" t="s">
        <v>2372</v>
      </c>
      <c r="B16" s="3804" t="s">
        <v>2373</v>
      </c>
      <c r="C16" s="3805"/>
      <c r="D16" s="2902">
        <f>D6*E16</f>
        <v>0</v>
      </c>
      <c r="E16" s="2903"/>
      <c r="F16" s="2888" t="s">
        <v>2374</v>
      </c>
      <c r="G16" s="2867"/>
      <c r="H16" s="2842"/>
      <c r="I16" s="2843"/>
      <c r="J16" s="3794"/>
      <c r="K16" s="3796"/>
      <c r="L16" s="2877" t="s">
        <v>2375</v>
      </c>
      <c r="M16" s="2878"/>
      <c r="N16" s="2878"/>
      <c r="O16" s="2879"/>
      <c r="P16" s="2880">
        <v>365</v>
      </c>
      <c r="Q16" s="2854"/>
      <c r="R16" s="2901">
        <f>ROUND(M16*N16*O16*P16/10000,0)</f>
        <v>0</v>
      </c>
      <c r="S16" s="2835"/>
      <c r="T16" s="2835"/>
      <c r="U16" s="2835"/>
      <c r="V16" s="2843"/>
    </row>
    <row r="17" spans="1:22" s="2847" customFormat="1" ht="13.15" customHeight="1" thickBot="1">
      <c r="A17" s="2904">
        <v>4</v>
      </c>
      <c r="B17" s="3806" t="s">
        <v>2376</v>
      </c>
      <c r="C17" s="3807"/>
      <c r="D17" s="2905">
        <f>ROUND(D6*E17,0)</f>
        <v>0</v>
      </c>
      <c r="E17" s="2906"/>
      <c r="F17" s="2907" t="s">
        <v>2377</v>
      </c>
      <c r="G17" s="2867"/>
      <c r="H17" s="2842"/>
      <c r="I17" s="2843"/>
      <c r="J17" s="3794"/>
      <c r="K17" s="3796"/>
      <c r="L17" s="2877" t="s">
        <v>2378</v>
      </c>
      <c r="M17" s="2878"/>
      <c r="N17" s="2878"/>
      <c r="O17" s="2879"/>
      <c r="P17" s="2880">
        <v>365</v>
      </c>
      <c r="Q17" s="2854"/>
      <c r="R17" s="2901">
        <f>ROUND(M17*N17*O17*P17/10000,0)</f>
        <v>0</v>
      </c>
      <c r="S17" s="2835"/>
      <c r="T17" s="2835"/>
      <c r="U17" s="2835"/>
      <c r="V17" s="2843"/>
    </row>
    <row r="18" spans="1:22" s="2847" customFormat="1" ht="13.15" customHeight="1" thickBot="1">
      <c r="A18" s="2870" t="s">
        <v>2379</v>
      </c>
      <c r="B18" s="2871"/>
      <c r="C18" s="2871"/>
      <c r="D18" s="2908">
        <f>ROUND(D6*E18,0)</f>
        <v>0</v>
      </c>
      <c r="E18" s="2909"/>
      <c r="F18" s="2910" t="s">
        <v>2380</v>
      </c>
      <c r="G18" s="2867"/>
      <c r="H18" s="2842"/>
      <c r="I18" s="2843"/>
      <c r="J18" s="3794"/>
      <c r="K18" s="3796"/>
      <c r="L18" s="2877" t="s">
        <v>2381</v>
      </c>
      <c r="M18" s="2878"/>
      <c r="N18" s="2878"/>
      <c r="O18" s="2879"/>
      <c r="P18" s="2880">
        <v>365</v>
      </c>
      <c r="Q18" s="2854"/>
      <c r="R18" s="2901">
        <f>ROUND(M18*N18*O18*P18/10000,0)</f>
        <v>0</v>
      </c>
      <c r="S18" s="2835"/>
      <c r="T18" s="2835"/>
      <c r="U18" s="2835"/>
      <c r="V18" s="2843"/>
    </row>
    <row r="19" spans="1:22" s="2847" customFormat="1" ht="13.15" customHeight="1" thickBot="1">
      <c r="A19" s="2911" t="s">
        <v>2382</v>
      </c>
      <c r="B19" s="2865"/>
      <c r="C19" s="2865"/>
      <c r="D19" s="2865"/>
      <c r="E19" s="2865"/>
      <c r="F19" s="2866"/>
      <c r="G19" s="2886"/>
      <c r="H19" s="2842"/>
      <c r="I19" s="2843"/>
      <c r="J19" s="3794"/>
      <c r="K19" s="3797"/>
      <c r="L19" s="2897" t="s">
        <v>2362</v>
      </c>
      <c r="M19" s="2898"/>
      <c r="N19" s="2898">
        <f>SUM(N16:N18)</f>
        <v>0</v>
      </c>
      <c r="O19" s="2899"/>
      <c r="P19" s="2912" t="s">
        <v>2426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94">
        <v>3</v>
      </c>
      <c r="K20" s="3795" t="s">
        <v>2383</v>
      </c>
      <c r="L20" s="2877" t="s">
        <v>2384</v>
      </c>
      <c r="M20" s="2878" t="s">
        <v>2385</v>
      </c>
      <c r="N20" s="2915" t="s">
        <v>2386</v>
      </c>
      <c r="O20" s="2879" t="s">
        <v>2387</v>
      </c>
      <c r="P20" s="2880" t="s">
        <v>2388</v>
      </c>
      <c r="Q20" s="2854" t="s">
        <v>2389</v>
      </c>
      <c r="R20" s="2901" t="s">
        <v>2390</v>
      </c>
      <c r="S20" s="2916"/>
      <c r="T20" s="2916"/>
      <c r="U20" s="2916"/>
      <c r="V20" s="2843"/>
    </row>
    <row r="21" spans="1:22" s="2847" customFormat="1" ht="13.15" customHeight="1">
      <c r="A21" s="2870"/>
      <c r="B21" s="2871"/>
      <c r="C21" s="2917" t="s">
        <v>2391</v>
      </c>
      <c r="D21" s="2918" t="s">
        <v>2392</v>
      </c>
      <c r="E21" s="2919" t="s">
        <v>2393</v>
      </c>
      <c r="F21" s="2914"/>
      <c r="G21" s="2886"/>
      <c r="H21" s="2842"/>
      <c r="I21" s="2843"/>
      <c r="J21" s="3794"/>
      <c r="K21" s="3796"/>
      <c r="L21" s="2877" t="s">
        <v>2394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2395</v>
      </c>
      <c r="D22" s="2922" t="s">
        <v>2396</v>
      </c>
      <c r="E22" s="2923" t="s">
        <v>2397</v>
      </c>
      <c r="F22" s="2914"/>
      <c r="G22" s="2924"/>
      <c r="H22" s="2842"/>
      <c r="I22" s="2843"/>
      <c r="J22" s="3794"/>
      <c r="K22" s="3796"/>
      <c r="L22" s="2877" t="s">
        <v>2398</v>
      </c>
      <c r="M22" s="2878"/>
      <c r="N22" s="2878"/>
      <c r="O22" s="2879"/>
      <c r="P22" s="2880">
        <v>365</v>
      </c>
      <c r="Q22" s="2854"/>
      <c r="R22" s="2920">
        <f>ROUND(M22*N22*O22*P22/10000,0)</f>
        <v>0</v>
      </c>
      <c r="S22" s="2916"/>
      <c r="T22" s="2916"/>
      <c r="U22" s="2916"/>
      <c r="V22" s="2843"/>
    </row>
    <row r="23" spans="1:22" s="2847" customFormat="1" ht="13.15" customHeight="1">
      <c r="A23" s="2925">
        <v>1</v>
      </c>
      <c r="B23" s="2926" t="s">
        <v>2399</v>
      </c>
      <c r="C23" s="2927">
        <f>D6</f>
        <v>0</v>
      </c>
      <c r="D23" s="2928">
        <f>C23*(1+D24)</f>
        <v>0</v>
      </c>
      <c r="E23" s="2929">
        <f>D23*(1+E24)</f>
        <v>0</v>
      </c>
      <c r="F23" s="2930"/>
      <c r="G23" s="2931"/>
      <c r="H23" s="2842"/>
      <c r="I23" s="2843"/>
      <c r="J23" s="3794"/>
      <c r="K23" s="3796"/>
      <c r="L23" s="2877" t="s">
        <v>2400</v>
      </c>
      <c r="M23" s="2878"/>
      <c r="N23" s="2878"/>
      <c r="O23" s="2879"/>
      <c r="P23" s="2880">
        <v>365</v>
      </c>
      <c r="Q23" s="2854"/>
      <c r="R23" s="2920">
        <f>ROUND(M23*N23*O23*P23/10000,0)</f>
        <v>0</v>
      </c>
      <c r="S23" s="2835"/>
      <c r="T23" s="2835"/>
      <c r="U23" s="2835"/>
      <c r="V23" s="2843"/>
    </row>
    <row r="24" spans="1:22" s="2847" customFormat="1" ht="13.15" customHeight="1">
      <c r="A24" s="2932"/>
      <c r="B24" s="2933" t="s">
        <v>2401</v>
      </c>
      <c r="C24" s="2934"/>
      <c r="D24" s="2935"/>
      <c r="E24" s="2936"/>
      <c r="F24" s="2937"/>
      <c r="G24" s="2931"/>
      <c r="H24" s="2842"/>
      <c r="I24" s="2843"/>
      <c r="J24" s="3794"/>
      <c r="K24" s="3797"/>
      <c r="L24" s="2897" t="s">
        <v>2362</v>
      </c>
      <c r="M24" s="2898">
        <f>SUM(M21:M23)</f>
        <v>0</v>
      </c>
      <c r="N24" s="2898"/>
      <c r="O24" s="2899"/>
      <c r="P24" s="2912" t="s">
        <v>2426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2402</v>
      </c>
      <c r="L25" s="2940"/>
      <c r="M25" s="2940"/>
      <c r="N25" s="2940"/>
      <c r="O25" s="2940"/>
      <c r="P25" s="2941"/>
      <c r="Q25" s="2942">
        <v>0</v>
      </c>
      <c r="R25" s="2913">
        <f>ROUND(R14*Q25,0)</f>
        <v>0</v>
      </c>
      <c r="S25" s="2835"/>
      <c r="T25" s="2835"/>
      <c r="U25" s="2835"/>
      <c r="V25" s="2943"/>
    </row>
    <row r="26" spans="1:22" s="2944" customFormat="1" ht="13.15" customHeight="1">
      <c r="A26" s="2925">
        <v>2</v>
      </c>
      <c r="B26" s="2926" t="s">
        <v>2403</v>
      </c>
      <c r="C26" s="2927">
        <f>D7</f>
        <v>0</v>
      </c>
      <c r="D26" s="2928">
        <f>D23*D27</f>
        <v>0</v>
      </c>
      <c r="E26" s="2929">
        <f>E23*E27</f>
        <v>0</v>
      </c>
      <c r="F26" s="2930"/>
      <c r="G26" s="2931"/>
      <c r="H26" s="2842"/>
      <c r="I26" s="2843"/>
      <c r="J26" s="3798">
        <v>5</v>
      </c>
      <c r="K26" s="2945" t="s">
        <v>2404</v>
      </c>
      <c r="L26" s="2946"/>
      <c r="M26" s="2947"/>
      <c r="N26" s="2948" t="s">
        <v>2405</v>
      </c>
      <c r="O26" s="2948" t="s">
        <v>2406</v>
      </c>
      <c r="P26" s="2949" t="s">
        <v>2407</v>
      </c>
      <c r="Q26" s="2949" t="s">
        <v>2408</v>
      </c>
      <c r="R26" s="2852" t="s">
        <v>2333</v>
      </c>
      <c r="S26" s="2950"/>
      <c r="T26" s="2950"/>
      <c r="U26" s="2950"/>
      <c r="V26" s="2943"/>
    </row>
    <row r="27" spans="1:22" s="2847" customFormat="1" ht="13.15" customHeight="1">
      <c r="A27" s="2932"/>
      <c r="B27" s="2933" t="s">
        <v>2409</v>
      </c>
      <c r="C27" s="2951" t="e">
        <f>E7</f>
        <v>#DIV/0!</v>
      </c>
      <c r="D27" s="2935"/>
      <c r="E27" s="2936"/>
      <c r="F27" s="2937"/>
      <c r="G27" s="2931"/>
      <c r="H27" s="2952"/>
      <c r="I27" s="2943"/>
      <c r="J27" s="379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2410</v>
      </c>
      <c r="F28" s="2937"/>
      <c r="G28" s="2924"/>
      <c r="H28" s="2952"/>
      <c r="I28" s="2943"/>
      <c r="J28" s="2958">
        <v>6</v>
      </c>
      <c r="K28" s="2959" t="s">
        <v>2411</v>
      </c>
      <c r="L28" s="2960" t="s">
        <v>2412</v>
      </c>
      <c r="M28" s="2961"/>
      <c r="N28" s="2960" t="s">
        <v>2413</v>
      </c>
      <c r="O28" s="2962"/>
      <c r="P28" s="2960" t="s">
        <v>2414</v>
      </c>
      <c r="Q28" s="2963">
        <v>1.4999999999999999E-2</v>
      </c>
      <c r="R28" s="2964"/>
      <c r="S28" s="2916"/>
      <c r="T28" s="2916"/>
      <c r="U28" s="2916"/>
      <c r="V28" s="2943"/>
    </row>
    <row r="29" spans="1:22" s="2944" customFormat="1" ht="13.15" customHeight="1">
      <c r="A29" s="2925">
        <v>3</v>
      </c>
      <c r="B29" s="2926" t="s">
        <v>2415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2416</v>
      </c>
      <c r="K31" s="2833"/>
      <c r="L31" s="2833"/>
      <c r="M31" s="2833"/>
      <c r="N31" s="2833"/>
      <c r="O31" s="2833"/>
      <c r="P31" s="2833"/>
      <c r="Q31" s="2833"/>
      <c r="R31" s="2834"/>
      <c r="S31" s="2916"/>
      <c r="T31" s="2835"/>
      <c r="U31" s="2835"/>
      <c r="V31" s="2943"/>
    </row>
    <row r="32" spans="1:22" s="2944" customFormat="1" ht="13.15" customHeight="1">
      <c r="A32" s="2925">
        <v>4</v>
      </c>
      <c r="B32" s="2926" t="s">
        <v>2417</v>
      </c>
      <c r="C32" s="2927">
        <f>C23-C26-C29</f>
        <v>0</v>
      </c>
      <c r="D32" s="2928">
        <f>D23-D26-D29</f>
        <v>0</v>
      </c>
      <c r="E32" s="2929">
        <f>E23-E26-E29</f>
        <v>0</v>
      </c>
      <c r="F32" s="2930"/>
      <c r="G32" s="2924"/>
      <c r="H32" s="2842"/>
      <c r="I32" s="2843"/>
      <c r="J32" s="3800" t="s">
        <v>2309</v>
      </c>
      <c r="K32" s="3801"/>
      <c r="L32" s="2844" t="s">
        <v>2310</v>
      </c>
      <c r="M32" s="2844" t="s">
        <v>2311</v>
      </c>
      <c r="N32" s="2844" t="s">
        <v>2312</v>
      </c>
      <c r="O32" s="2844" t="s">
        <v>2313</v>
      </c>
      <c r="P32" s="2844" t="s">
        <v>2314</v>
      </c>
      <c r="Q32" s="2845" t="s">
        <v>2315</v>
      </c>
      <c r="R32" s="2967" t="s">
        <v>2316</v>
      </c>
      <c r="S32" s="2916"/>
      <c r="T32" s="2835"/>
      <c r="U32" s="2835"/>
      <c r="V32" s="2943"/>
    </row>
    <row r="33" spans="1:23" s="2847" customFormat="1" ht="13.15" customHeight="1">
      <c r="A33" s="2925"/>
      <c r="B33" s="2926"/>
      <c r="C33" s="2927"/>
      <c r="D33" s="2968"/>
      <c r="E33" s="2969"/>
      <c r="F33" s="2930"/>
      <c r="G33" s="2924"/>
      <c r="H33" s="2952"/>
      <c r="I33" s="2943"/>
      <c r="J33" s="3802" t="s">
        <v>2319</v>
      </c>
      <c r="K33" s="3803"/>
      <c r="L33" s="2850"/>
      <c r="M33" s="2850"/>
      <c r="N33" s="2850"/>
      <c r="O33" s="2850"/>
      <c r="P33" s="2850"/>
      <c r="Q33" s="2851"/>
      <c r="R33" s="2970">
        <f>SUM(L33:Q33)</f>
        <v>0</v>
      </c>
      <c r="S33" s="2916"/>
      <c r="T33" s="2835"/>
      <c r="U33" s="2835"/>
      <c r="V33" s="2843"/>
    </row>
    <row r="34" spans="1:23" s="2847" customFormat="1" ht="13.15" customHeight="1">
      <c r="A34" s="2925">
        <v>5</v>
      </c>
      <c r="B34" s="2926" t="s">
        <v>2418</v>
      </c>
      <c r="C34" s="2971"/>
      <c r="D34" s="2972"/>
      <c r="E34" s="2973"/>
      <c r="F34" s="2930"/>
      <c r="G34" s="2924"/>
      <c r="H34" s="2952"/>
      <c r="I34" s="2943"/>
      <c r="J34" s="3802" t="s">
        <v>2321</v>
      </c>
      <c r="K34" s="380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2419</v>
      </c>
      <c r="C35" s="2975"/>
      <c r="D35" s="2976"/>
      <c r="E35" s="2977"/>
      <c r="F35" s="2930"/>
      <c r="G35" s="2978"/>
      <c r="H35" s="2842"/>
      <c r="I35" s="2943"/>
      <c r="J35" s="2861" t="s">
        <v>2323</v>
      </c>
      <c r="K35" s="2862"/>
      <c r="L35" s="2862"/>
      <c r="M35" s="2863"/>
      <c r="N35" s="2863"/>
      <c r="O35" s="2863"/>
      <c r="P35" s="2863"/>
      <c r="Q35" s="2863"/>
      <c r="R35" s="2979">
        <f>R40+R41+R43</f>
        <v>0</v>
      </c>
      <c r="S35" s="2916"/>
      <c r="T35" s="2835" t="s">
        <v>2324</v>
      </c>
      <c r="U35" s="2835"/>
      <c r="V35" s="2843"/>
    </row>
    <row r="36" spans="1:23" s="2847" customFormat="1" ht="13.15" customHeight="1" thickBot="1">
      <c r="A36" s="2925">
        <v>7</v>
      </c>
      <c r="B36" s="2980" t="s">
        <v>2420</v>
      </c>
      <c r="C36" s="2981"/>
      <c r="D36" s="2982"/>
      <c r="E36" s="2983"/>
      <c r="F36" s="2984">
        <f>C36+D36+E36</f>
        <v>0</v>
      </c>
      <c r="G36" s="2924"/>
      <c r="H36" s="2842"/>
      <c r="I36" s="2843"/>
      <c r="J36" s="3794">
        <v>1</v>
      </c>
      <c r="K36" s="3795" t="s">
        <v>2421</v>
      </c>
      <c r="L36" s="2868"/>
      <c r="M36" s="2869"/>
      <c r="N36" s="2869"/>
      <c r="O36" s="2869"/>
      <c r="P36" s="2869"/>
      <c r="Q36" s="2869"/>
      <c r="R36" s="2852" t="s">
        <v>2333</v>
      </c>
      <c r="S36" s="2916"/>
      <c r="T36" s="2835" t="s">
        <v>2334</v>
      </c>
      <c r="U36" s="2835"/>
      <c r="V36" s="2843"/>
    </row>
    <row r="37" spans="1:23" s="2847" customFormat="1" ht="13.15" customHeight="1">
      <c r="A37" s="2925"/>
      <c r="B37" s="2926"/>
      <c r="C37" s="2926"/>
      <c r="D37" s="2926"/>
      <c r="E37" s="2926"/>
      <c r="F37" s="2930"/>
      <c r="G37" s="2924"/>
      <c r="H37" s="2842"/>
      <c r="I37" s="2843"/>
      <c r="J37" s="3794"/>
      <c r="K37" s="3796"/>
      <c r="L37" s="2877"/>
      <c r="M37" s="2878"/>
      <c r="N37" s="2854"/>
      <c r="O37" s="2879"/>
      <c r="P37" s="2879"/>
      <c r="Q37" s="2880"/>
      <c r="R37" s="2881"/>
      <c r="S37" s="2916"/>
      <c r="T37" s="2835" t="s">
        <v>2337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94"/>
      <c r="K38" s="3796"/>
      <c r="L38" s="2877"/>
      <c r="M38" s="2878"/>
      <c r="N38" s="2854"/>
      <c r="O38" s="2879"/>
      <c r="P38" s="2879"/>
      <c r="Q38" s="2880"/>
      <c r="R38" s="2881"/>
      <c r="S38" s="2916"/>
      <c r="T38" s="2835" t="s">
        <v>2344</v>
      </c>
      <c r="U38" s="2835"/>
      <c r="V38" s="2843"/>
    </row>
    <row r="39" spans="1:23" s="2847" customFormat="1" ht="13.15" customHeight="1">
      <c r="A39" s="2925">
        <v>9</v>
      </c>
      <c r="B39" s="2926" t="s">
        <v>2422</v>
      </c>
      <c r="C39" s="2891" t="e">
        <f>C38</f>
        <v>#DIV/0!</v>
      </c>
      <c r="D39" s="2926">
        <f>D38/(1+D34)^C36</f>
        <v>0</v>
      </c>
      <c r="E39" s="2926">
        <f>E38/(1+E34)^(C36+D36)</f>
        <v>0</v>
      </c>
      <c r="F39" s="2930"/>
      <c r="G39" s="2985"/>
      <c r="H39" s="2842"/>
      <c r="I39" s="2843"/>
      <c r="J39" s="3794"/>
      <c r="K39" s="3796"/>
      <c r="L39" s="2877"/>
      <c r="M39" s="2878"/>
      <c r="N39" s="2854"/>
      <c r="O39" s="2879"/>
      <c r="P39" s="2879"/>
      <c r="Q39" s="2880"/>
      <c r="R39" s="2881"/>
      <c r="S39" s="2916"/>
      <c r="T39" s="2835"/>
      <c r="U39" s="2835"/>
      <c r="V39" s="2843"/>
    </row>
    <row r="40" spans="1:23" s="2847" customFormat="1" ht="13.15" customHeight="1">
      <c r="A40" s="2986">
        <v>10</v>
      </c>
      <c r="B40" s="2926" t="s">
        <v>2423</v>
      </c>
      <c r="C40" s="2987" t="e">
        <f>C39+D39+E39</f>
        <v>#DIV/0!</v>
      </c>
      <c r="D40" s="2988"/>
      <c r="E40" s="2988"/>
      <c r="F40" s="2989"/>
      <c r="G40" s="2924"/>
      <c r="H40" s="2842"/>
      <c r="I40" s="2843"/>
      <c r="J40" s="3794"/>
      <c r="K40" s="3797"/>
      <c r="L40" s="2897" t="s">
        <v>2362</v>
      </c>
      <c r="M40" s="2898"/>
      <c r="N40" s="2898"/>
      <c r="O40" s="2899"/>
      <c r="P40" s="2899"/>
      <c r="Q40" s="2900"/>
      <c r="R40" s="2846">
        <f>SUM(R37:R39)</f>
        <v>0</v>
      </c>
      <c r="S40" s="2916"/>
      <c r="T40" s="2835"/>
      <c r="U40" s="2835"/>
      <c r="V40" s="2843"/>
    </row>
    <row r="41" spans="1:23" s="2847" customFormat="1" ht="13.15" customHeight="1" thickBot="1">
      <c r="A41" s="2990">
        <v>11</v>
      </c>
      <c r="B41" s="2991" t="s">
        <v>2424</v>
      </c>
      <c r="C41" s="2991" t="e">
        <f>ROUND(C40*10000/B4,0)</f>
        <v>#DIV/0!</v>
      </c>
      <c r="D41" s="2992"/>
      <c r="E41" s="2992"/>
      <c r="F41" s="2993"/>
      <c r="G41" s="2994"/>
      <c r="H41" s="2842"/>
      <c r="I41" s="2843"/>
      <c r="J41" s="2938">
        <v>2</v>
      </c>
      <c r="K41" s="2939" t="s">
        <v>2402</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8">
        <v>3</v>
      </c>
      <c r="K42" s="2945" t="s">
        <v>2404</v>
      </c>
      <c r="L42" s="2946"/>
      <c r="M42" s="2947"/>
      <c r="N42" s="2948" t="s">
        <v>2405</v>
      </c>
      <c r="O42" s="2948" t="s">
        <v>2406</v>
      </c>
      <c r="P42" s="2949" t="s">
        <v>2407</v>
      </c>
      <c r="Q42" s="2949" t="s">
        <v>2408</v>
      </c>
      <c r="R42" s="2852" t="s">
        <v>2333</v>
      </c>
      <c r="S42" s="2950"/>
      <c r="T42" s="2950"/>
      <c r="U42" s="2835"/>
      <c r="V42" s="2843"/>
    </row>
    <row r="43" spans="1:23" ht="13.15" customHeight="1">
      <c r="A43" s="2847"/>
      <c r="B43" s="2847"/>
      <c r="C43" s="2847"/>
      <c r="D43" s="2847"/>
      <c r="E43" s="2847"/>
      <c r="F43" s="2847"/>
      <c r="I43" s="2830"/>
      <c r="J43" s="379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2411</v>
      </c>
      <c r="L44" s="2998" t="s">
        <v>2412</v>
      </c>
      <c r="M44" s="2961"/>
      <c r="N44" s="2998" t="s">
        <v>2413</v>
      </c>
      <c r="O44" s="2961"/>
      <c r="P44" s="2998" t="s">
        <v>2414</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1"/>
      <c r="G1" s="1487"/>
      <c r="H1" s="1487"/>
      <c r="I1" s="1487"/>
      <c r="J1" s="1487"/>
      <c r="K1" s="1487"/>
      <c r="L1" s="1487"/>
      <c r="M1" s="1487"/>
      <c r="N1" s="1487"/>
      <c r="O1" s="1487"/>
      <c r="P1" s="1487"/>
      <c r="Q1" s="1487"/>
      <c r="R1" s="1487"/>
      <c r="S1" s="1487"/>
    </row>
    <row r="2" spans="1:22" ht="15.75">
      <c r="A2" s="1868" t="s">
        <v>1460</v>
      </c>
      <c r="B2" s="1869">
        <f ca="1">SUMIF(B6:B13,"&lt;&gt;#ref!",B6:B13)</f>
        <v>218187</v>
      </c>
      <c r="C2" s="1870" t="s">
        <v>1649</v>
      </c>
      <c r="D2" s="1871" t="s">
        <v>1650</v>
      </c>
      <c r="E2" s="2601">
        <f>SUM(E6:E13)</f>
        <v>127815.41999999985</v>
      </c>
      <c r="F2" s="2701"/>
      <c r="G2" s="1487"/>
      <c r="H2" s="1487"/>
      <c r="I2" s="1487"/>
      <c r="J2" s="1487"/>
      <c r="K2" s="1487"/>
      <c r="L2" s="1487"/>
      <c r="M2" s="1487"/>
      <c r="N2" s="1487"/>
      <c r="O2" s="1487"/>
      <c r="P2" s="1487"/>
      <c r="Q2" s="1487"/>
      <c r="R2" s="1487"/>
      <c r="S2" s="1487"/>
    </row>
    <row r="3" spans="1:22" ht="15.75">
      <c r="A3" s="1868" t="s">
        <v>686</v>
      </c>
      <c r="B3" s="2595">
        <f ca="1">ROUND(B2*10000/E2,0)</f>
        <v>17070</v>
      </c>
      <c r="C3" s="1870" t="s">
        <v>1657</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1651</v>
      </c>
      <c r="B5" s="3813" t="s">
        <v>1652</v>
      </c>
      <c r="C5" s="3814"/>
      <c r="D5" s="2702"/>
      <c r="E5" s="1872" t="s">
        <v>1653</v>
      </c>
      <c r="F5" s="1873" t="s">
        <v>1654</v>
      </c>
      <c r="G5" s="1487"/>
      <c r="H5" s="1487"/>
      <c r="I5" s="1487"/>
      <c r="J5" s="1487"/>
      <c r="K5" s="1487"/>
      <c r="L5" s="1487"/>
      <c r="M5" s="1487"/>
      <c r="N5" s="1487"/>
      <c r="O5" s="1487"/>
      <c r="P5" s="1487"/>
      <c r="Q5" s="1487"/>
      <c r="R5" s="1487"/>
      <c r="S5" s="1487"/>
    </row>
    <row r="6" spans="1:22">
      <c r="A6" s="2598" t="str">
        <f>'数据-取费表'!AN6</f>
        <v>收益法-办公</v>
      </c>
      <c r="B6" s="2596">
        <f ca="1">IF(F6="是",'数据-取费表'!AO6,0)</f>
        <v>83374</v>
      </c>
      <c r="C6" s="1870" t="s">
        <v>1649</v>
      </c>
      <c r="D6" s="2703"/>
      <c r="E6" s="2600">
        <f>IF(OR(A6=0,F6="否"),0,'数据-取费表'!K6+'数据-取费表'!S6)</f>
        <v>50988.659999999887</v>
      </c>
      <c r="F6" s="1874" t="s">
        <v>1655</v>
      </c>
      <c r="G6" s="1487"/>
      <c r="H6" s="1487"/>
      <c r="I6" s="1487"/>
      <c r="J6" s="1487"/>
      <c r="K6" s="1487"/>
      <c r="L6" s="1487"/>
      <c r="M6" s="1487"/>
      <c r="N6" s="1487"/>
      <c r="O6" s="1487"/>
      <c r="P6" s="1487"/>
      <c r="Q6" s="1487"/>
      <c r="R6" s="1487"/>
      <c r="S6" s="1487"/>
    </row>
    <row r="7" spans="1:22">
      <c r="A7" s="2598" t="str">
        <f>'数据-取费表'!AN7</f>
        <v>收益法-商业</v>
      </c>
      <c r="B7" s="2596">
        <f ca="1">IF(F7="是",'数据-取费表'!AO7,0)</f>
        <v>130078</v>
      </c>
      <c r="C7" s="1870" t="s">
        <v>1649</v>
      </c>
      <c r="D7" s="2703"/>
      <c r="E7" s="2600">
        <f>IF(OR(A7=0,F7="否"),0,'数据-取费表'!K7+'数据-取费表'!S7)</f>
        <v>65301.39</v>
      </c>
      <c r="F7" s="1874" t="s">
        <v>1655</v>
      </c>
      <c r="G7" s="1487"/>
      <c r="H7" s="1487"/>
      <c r="I7" s="1487"/>
      <c r="J7" s="1487"/>
      <c r="K7" s="1487"/>
      <c r="L7" s="1487"/>
      <c r="M7" s="1487"/>
      <c r="N7" s="1487"/>
      <c r="O7" s="1487"/>
      <c r="P7" s="1487"/>
      <c r="Q7" s="1487"/>
      <c r="R7" s="1487"/>
      <c r="S7" s="1487"/>
    </row>
    <row r="8" spans="1:22">
      <c r="A8" s="2598" t="str">
        <f>'数据-取费表'!AN8</f>
        <v>收益法-车位</v>
      </c>
      <c r="B8" s="2596">
        <f ca="1">IF(F8="是",'数据-取费表'!AO8,0)</f>
        <v>4735</v>
      </c>
      <c r="C8" s="1870" t="s">
        <v>1649</v>
      </c>
      <c r="D8" s="2703"/>
      <c r="E8" s="2600">
        <f>IF(OR(A8=0,F8="否"),0,'数据-取费表'!K8+'数据-取费表'!S8)</f>
        <v>11525.369999999966</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3"/>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3"/>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3"/>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3"/>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4"/>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0"/>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7"/>
      <c r="H2" s="907"/>
      <c r="I2" s="907"/>
      <c r="J2" s="907"/>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127815.41999999985</v>
      </c>
      <c r="E3" s="907"/>
      <c r="F3" s="1886"/>
      <c r="G3" s="907"/>
      <c r="H3" s="907"/>
      <c r="I3" s="907"/>
      <c r="J3" s="907"/>
      <c r="K3" s="1882"/>
      <c r="L3" s="2707"/>
      <c r="M3" s="2708"/>
      <c r="N3" s="2708"/>
      <c r="O3" s="2708"/>
      <c r="P3" s="1883"/>
      <c r="Q3" s="1884"/>
      <c r="R3" s="1884"/>
      <c r="S3" s="1884"/>
      <c r="T3" s="1884"/>
      <c r="U3" s="1884"/>
      <c r="V3" s="1884"/>
      <c r="W3" s="1884"/>
      <c r="X3" s="1884"/>
      <c r="Y3" s="1884"/>
      <c r="Z3" s="1884"/>
      <c r="AA3" s="1884"/>
      <c r="AB3" s="1884"/>
      <c r="AC3" s="1061"/>
    </row>
    <row r="4" spans="1:29" ht="15">
      <c r="A4" s="355" t="s">
        <v>1664</v>
      </c>
      <c r="B4" s="356"/>
      <c r="C4" s="3732" t="s">
        <v>1665</v>
      </c>
      <c r="D4" s="3744"/>
      <c r="E4" s="3745" t="s">
        <v>1666</v>
      </c>
      <c r="F4" s="3746"/>
      <c r="G4" s="3732" t="s">
        <v>1667</v>
      </c>
      <c r="H4" s="3744"/>
      <c r="I4" s="3732" t="s">
        <v>1668</v>
      </c>
      <c r="J4" s="3744"/>
      <c r="K4" s="1887" t="s">
        <v>1669</v>
      </c>
      <c r="L4" s="2709"/>
      <c r="M4" s="2710"/>
      <c r="N4" s="2710"/>
      <c r="O4" s="2710"/>
      <c r="P4" s="3747" t="s">
        <v>1670</v>
      </c>
      <c r="Q4" s="3748"/>
      <c r="R4" s="3753" t="s">
        <v>1666</v>
      </c>
      <c r="S4" s="3754"/>
      <c r="T4" s="3753" t="s">
        <v>1667</v>
      </c>
      <c r="U4" s="3754"/>
      <c r="V4" s="3740" t="s">
        <v>1668</v>
      </c>
      <c r="W4" s="3740"/>
      <c r="X4" s="1353"/>
      <c r="Y4" s="3753" t="s">
        <v>1670</v>
      </c>
      <c r="Z4" s="3754"/>
      <c r="AA4" s="3741" t="s">
        <v>1666</v>
      </c>
      <c r="AB4" s="3741" t="s">
        <v>1667</v>
      </c>
      <c r="AC4" s="3741" t="s">
        <v>1668</v>
      </c>
    </row>
    <row r="5" spans="1:29" ht="15">
      <c r="A5" s="358"/>
      <c r="B5" s="359"/>
      <c r="C5" s="3761" t="s">
        <v>1671</v>
      </c>
      <c r="D5" s="3762"/>
      <c r="E5" s="3768" t="s">
        <v>1672</v>
      </c>
      <c r="F5" s="3769"/>
      <c r="G5" s="3761" t="s">
        <v>1673</v>
      </c>
      <c r="H5" s="3762"/>
      <c r="I5" s="3761" t="s">
        <v>1674</v>
      </c>
      <c r="J5" s="3762"/>
      <c r="K5" s="1888"/>
      <c r="L5" s="2709"/>
      <c r="M5" s="2710"/>
      <c r="N5" s="2710"/>
      <c r="O5" s="2710"/>
      <c r="P5" s="3749"/>
      <c r="Q5" s="3750"/>
      <c r="R5" s="3755"/>
      <c r="S5" s="3756"/>
      <c r="T5" s="3755"/>
      <c r="U5" s="3756"/>
      <c r="V5" s="3740"/>
      <c r="W5" s="3740"/>
      <c r="X5" s="1353"/>
      <c r="Y5" s="3755"/>
      <c r="Z5" s="3756"/>
      <c r="AA5" s="3742"/>
      <c r="AB5" s="3742"/>
      <c r="AC5" s="3742"/>
    </row>
    <row r="6" spans="1:29" ht="15.75" thickBot="1">
      <c r="A6" s="360"/>
      <c r="B6" s="361"/>
      <c r="C6" s="3759" t="s">
        <v>1675</v>
      </c>
      <c r="D6" s="3760"/>
      <c r="E6" s="3766" t="s">
        <v>1675</v>
      </c>
      <c r="F6" s="3767"/>
      <c r="G6" s="3759" t="s">
        <v>1675</v>
      </c>
      <c r="H6" s="3760"/>
      <c r="I6" s="3759" t="s">
        <v>1675</v>
      </c>
      <c r="J6" s="3760"/>
      <c r="K6" s="1888" t="s">
        <v>1676</v>
      </c>
      <c r="L6" s="2709"/>
      <c r="M6" s="2710"/>
      <c r="N6" s="2710"/>
      <c r="O6" s="2710"/>
      <c r="P6" s="3751"/>
      <c r="Q6" s="3752"/>
      <c r="R6" s="3755"/>
      <c r="S6" s="3756"/>
      <c r="T6" s="3757"/>
      <c r="U6" s="3758"/>
      <c r="V6" s="3740"/>
      <c r="W6" s="3740"/>
      <c r="X6" s="1353"/>
      <c r="Y6" s="3757"/>
      <c r="Z6" s="3758"/>
      <c r="AA6" s="3743"/>
      <c r="AB6" s="3743"/>
      <c r="AC6" s="3743"/>
    </row>
    <row r="7" spans="1:29" s="108" customFormat="1" ht="15.75" thickBot="1">
      <c r="A7" s="362" t="s">
        <v>1677</v>
      </c>
      <c r="B7" s="363"/>
      <c r="C7" s="364">
        <f>'数据-取费表'!B2</f>
        <v>45587</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63" t="s">
        <v>1678</v>
      </c>
      <c r="Q7" s="3765"/>
      <c r="R7" s="701" t="s">
        <v>20</v>
      </c>
      <c r="S7" s="702">
        <f t="shared" ref="S7:S15" si="0">F7</f>
        <v>0</v>
      </c>
      <c r="T7" s="701" t="s">
        <v>20</v>
      </c>
      <c r="U7" s="702">
        <f t="shared" ref="U7:U15" si="1">H7</f>
        <v>0</v>
      </c>
      <c r="V7" s="701" t="s">
        <v>20</v>
      </c>
      <c r="W7" s="702">
        <f t="shared" ref="W7:W15" si="2">J7</f>
        <v>0</v>
      </c>
      <c r="X7" s="703"/>
      <c r="Y7" s="3763" t="s">
        <v>1678</v>
      </c>
      <c r="Z7" s="3764"/>
      <c r="AA7" s="704" t="e">
        <f>D7/F7</f>
        <v>#DIV/0!</v>
      </c>
      <c r="AB7" s="704" t="e">
        <f>D7/H7</f>
        <v>#DIV/0!</v>
      </c>
      <c r="AC7" s="704"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763" t="s">
        <v>1681</v>
      </c>
      <c r="Q8" s="3764"/>
      <c r="R8" s="701" t="s">
        <v>20</v>
      </c>
      <c r="S8" s="702">
        <f t="shared" si="0"/>
        <v>100</v>
      </c>
      <c r="T8" s="701" t="s">
        <v>20</v>
      </c>
      <c r="U8" s="702">
        <f t="shared" si="1"/>
        <v>100</v>
      </c>
      <c r="V8" s="701" t="s">
        <v>20</v>
      </c>
      <c r="W8" s="702">
        <f t="shared" si="2"/>
        <v>100</v>
      </c>
      <c r="X8" s="703"/>
      <c r="Y8" s="3763" t="s">
        <v>1681</v>
      </c>
      <c r="Z8" s="376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34" t="s">
        <v>1684</v>
      </c>
      <c r="Q9" s="1341" t="str">
        <f t="shared" ref="Q9:Q15" si="6">B9</f>
        <v>用途</v>
      </c>
      <c r="R9" s="701" t="s">
        <v>14</v>
      </c>
      <c r="S9" s="702">
        <f t="shared" si="0"/>
        <v>100</v>
      </c>
      <c r="T9" s="701" t="s">
        <v>14</v>
      </c>
      <c r="U9" s="702">
        <f t="shared" si="1"/>
        <v>100</v>
      </c>
      <c r="V9" s="701" t="s">
        <v>14</v>
      </c>
      <c r="W9" s="702">
        <f t="shared" si="2"/>
        <v>100</v>
      </c>
      <c r="X9" s="703"/>
      <c r="Y9" s="3632"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34"/>
      <c r="Q10" s="1341"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34"/>
      <c r="Q11" s="1341"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34"/>
      <c r="Q12" s="1341">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34"/>
      <c r="Q13" s="1341">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34"/>
      <c r="Q14" s="1341">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15">
      <c r="A15" s="391" t="s">
        <v>1688</v>
      </c>
      <c r="B15" s="61" t="s">
        <v>1255</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21" t="s">
        <v>1689</v>
      </c>
      <c r="Q15" s="1350" t="str">
        <f t="shared" si="6"/>
        <v>居住社区成熟度</v>
      </c>
      <c r="R15" s="705" t="s">
        <v>18</v>
      </c>
      <c r="S15" s="706">
        <f t="shared" si="0"/>
        <v>100</v>
      </c>
      <c r="T15" s="705" t="s">
        <v>18</v>
      </c>
      <c r="U15" s="706">
        <f t="shared" si="1"/>
        <v>100</v>
      </c>
      <c r="V15" s="705" t="s">
        <v>18</v>
      </c>
      <c r="W15" s="706">
        <f t="shared" si="2"/>
        <v>100</v>
      </c>
      <c r="X15" s="1353"/>
      <c r="Y15" s="3736"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822"/>
      <c r="Q16" s="1350"/>
      <c r="R16" s="705"/>
      <c r="S16" s="706"/>
      <c r="T16" s="705"/>
      <c r="U16" s="706"/>
      <c r="V16" s="705"/>
      <c r="W16" s="706"/>
      <c r="X16" s="1353"/>
      <c r="Y16" s="3737"/>
      <c r="Z16" s="1354"/>
      <c r="AA16" s="1351">
        <v>1</v>
      </c>
      <c r="AB16" s="1351">
        <v>1</v>
      </c>
      <c r="AC16" s="1351">
        <v>1</v>
      </c>
    </row>
    <row r="17" spans="1:29" ht="15">
      <c r="A17" s="379"/>
      <c r="B17" s="402" t="s">
        <v>1257</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22"/>
      <c r="Q17" s="1350" t="str">
        <f>B17</f>
        <v>交通便捷度</v>
      </c>
      <c r="R17" s="705" t="s">
        <v>18</v>
      </c>
      <c r="S17" s="706">
        <f>F17</f>
        <v>100</v>
      </c>
      <c r="T17" s="705" t="s">
        <v>18</v>
      </c>
      <c r="U17" s="706">
        <f>H17</f>
        <v>100</v>
      </c>
      <c r="V17" s="705" t="s">
        <v>18</v>
      </c>
      <c r="W17" s="706">
        <f>J17</f>
        <v>100</v>
      </c>
      <c r="X17" s="1353"/>
      <c r="Y17" s="373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822"/>
      <c r="Q18" s="1350"/>
      <c r="R18" s="705"/>
      <c r="S18" s="706"/>
      <c r="T18" s="705"/>
      <c r="U18" s="706"/>
      <c r="V18" s="705"/>
      <c r="W18" s="706"/>
      <c r="X18" s="1353"/>
      <c r="Y18" s="3737"/>
      <c r="Z18" s="1354"/>
      <c r="AA18" s="1351">
        <v>1</v>
      </c>
      <c r="AB18" s="1351">
        <v>1</v>
      </c>
      <c r="AC18" s="1351">
        <v>1</v>
      </c>
    </row>
    <row r="19" spans="1:29" ht="15">
      <c r="A19" s="379"/>
      <c r="B19" s="402" t="s">
        <v>1256</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22"/>
      <c r="Q19" s="1350" t="str">
        <f>B19</f>
        <v>公共配套设施</v>
      </c>
      <c r="R19" s="705" t="s">
        <v>18</v>
      </c>
      <c r="S19" s="706">
        <f>F19</f>
        <v>100</v>
      </c>
      <c r="T19" s="705" t="s">
        <v>18</v>
      </c>
      <c r="U19" s="706">
        <f>H19</f>
        <v>100</v>
      </c>
      <c r="V19" s="705" t="s">
        <v>18</v>
      </c>
      <c r="W19" s="706">
        <f>J19</f>
        <v>100</v>
      </c>
      <c r="X19" s="1353"/>
      <c r="Y19" s="373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822"/>
      <c r="Q20" s="1350"/>
      <c r="R20" s="705"/>
      <c r="S20" s="706"/>
      <c r="T20" s="705"/>
      <c r="U20" s="706"/>
      <c r="V20" s="705"/>
      <c r="W20" s="706"/>
      <c r="X20" s="1353"/>
      <c r="Y20" s="3737"/>
      <c r="Z20" s="1354"/>
      <c r="AA20" s="1351">
        <v>1</v>
      </c>
      <c r="AB20" s="1351">
        <v>1</v>
      </c>
      <c r="AC20" s="1351">
        <v>1</v>
      </c>
    </row>
    <row r="21" spans="1:29" ht="15">
      <c r="A21" s="379"/>
      <c r="B21" s="1130" t="s">
        <v>1258</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22"/>
      <c r="Q21" s="1350" t="str">
        <f>B21</f>
        <v>基础设施水平</v>
      </c>
      <c r="R21" s="705" t="s">
        <v>14</v>
      </c>
      <c r="S21" s="706">
        <f>F21</f>
        <v>100</v>
      </c>
      <c r="T21" s="705" t="s">
        <v>14</v>
      </c>
      <c r="U21" s="706">
        <f>H21</f>
        <v>100</v>
      </c>
      <c r="V21" s="705" t="s">
        <v>14</v>
      </c>
      <c r="W21" s="706">
        <f>J21</f>
        <v>100</v>
      </c>
      <c r="X21" s="1353"/>
      <c r="Y21" s="373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6"/>
      <c r="M22" s="2710"/>
      <c r="N22" s="2710"/>
      <c r="O22" s="2710"/>
      <c r="P22" s="3822"/>
      <c r="Q22" s="1350"/>
      <c r="R22" s="705"/>
      <c r="S22" s="706"/>
      <c r="T22" s="705"/>
      <c r="U22" s="706"/>
      <c r="V22" s="705"/>
      <c r="W22" s="706"/>
      <c r="X22" s="1353"/>
      <c r="Y22" s="3737"/>
      <c r="Z22" s="1354"/>
      <c r="AA22" s="1351">
        <v>1</v>
      </c>
      <c r="AB22" s="1351">
        <v>1</v>
      </c>
      <c r="AC22" s="1351">
        <v>1</v>
      </c>
    </row>
    <row r="23" spans="1:29" ht="15">
      <c r="A23" s="379"/>
      <c r="B23" s="402" t="s">
        <v>1259</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22"/>
      <c r="Q23" s="1350" t="str">
        <f>B23</f>
        <v>自然及人文环境</v>
      </c>
      <c r="R23" s="705" t="s">
        <v>18</v>
      </c>
      <c r="S23" s="706">
        <f>F23</f>
        <v>100</v>
      </c>
      <c r="T23" s="705" t="s">
        <v>18</v>
      </c>
      <c r="U23" s="706">
        <f>H23</f>
        <v>100</v>
      </c>
      <c r="V23" s="705" t="s">
        <v>18</v>
      </c>
      <c r="W23" s="706">
        <f>J23</f>
        <v>100</v>
      </c>
      <c r="X23" s="1353"/>
      <c r="Y23" s="373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822"/>
      <c r="Q24" s="1350"/>
      <c r="R24" s="705"/>
      <c r="S24" s="706"/>
      <c r="T24" s="705"/>
      <c r="U24" s="706"/>
      <c r="V24" s="705"/>
      <c r="W24" s="706"/>
      <c r="X24" s="1353"/>
      <c r="Y24" s="3737"/>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822"/>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37"/>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822"/>
      <c r="Q26" s="1350" t="str">
        <f t="shared" si="11"/>
        <v>朝向</v>
      </c>
      <c r="R26" s="705" t="s">
        <v>18</v>
      </c>
      <c r="S26" s="706">
        <f t="shared" si="12"/>
        <v>100</v>
      </c>
      <c r="T26" s="705" t="s">
        <v>18</v>
      </c>
      <c r="U26" s="706">
        <f t="shared" si="13"/>
        <v>100</v>
      </c>
      <c r="V26" s="705" t="s">
        <v>18</v>
      </c>
      <c r="W26" s="706">
        <f t="shared" si="14"/>
        <v>100</v>
      </c>
      <c r="X26" s="1353"/>
      <c r="Y26" s="3737"/>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822"/>
      <c r="Q27" s="1341">
        <f t="shared" si="11"/>
        <v>111</v>
      </c>
      <c r="R27" s="701" t="s">
        <v>18</v>
      </c>
      <c r="S27" s="702">
        <f t="shared" si="12"/>
        <v>100</v>
      </c>
      <c r="T27" s="701" t="s">
        <v>18</v>
      </c>
      <c r="U27" s="702">
        <f t="shared" si="13"/>
        <v>100</v>
      </c>
      <c r="V27" s="701" t="s">
        <v>18</v>
      </c>
      <c r="W27" s="702">
        <f t="shared" si="14"/>
        <v>100</v>
      </c>
      <c r="X27" s="703"/>
      <c r="Y27" s="3737"/>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822"/>
      <c r="Q28" s="1350">
        <f t="shared" si="11"/>
        <v>111</v>
      </c>
      <c r="R28" s="705" t="s">
        <v>18</v>
      </c>
      <c r="S28" s="706">
        <f t="shared" si="12"/>
        <v>100</v>
      </c>
      <c r="T28" s="705" t="s">
        <v>18</v>
      </c>
      <c r="U28" s="706">
        <f t="shared" si="13"/>
        <v>100</v>
      </c>
      <c r="V28" s="705" t="s">
        <v>18</v>
      </c>
      <c r="W28" s="706">
        <f t="shared" si="14"/>
        <v>100</v>
      </c>
      <c r="X28" s="1353"/>
      <c r="Y28" s="3737"/>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822"/>
      <c r="Q29" s="1350">
        <f t="shared" si="11"/>
        <v>111</v>
      </c>
      <c r="R29" s="705" t="s">
        <v>18</v>
      </c>
      <c r="S29" s="706">
        <f t="shared" si="12"/>
        <v>100</v>
      </c>
      <c r="T29" s="705" t="s">
        <v>18</v>
      </c>
      <c r="U29" s="706">
        <f t="shared" si="13"/>
        <v>100</v>
      </c>
      <c r="V29" s="705" t="s">
        <v>18</v>
      </c>
      <c r="W29" s="706">
        <f t="shared" si="14"/>
        <v>100</v>
      </c>
      <c r="X29" s="1353"/>
      <c r="Y29" s="3737"/>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822"/>
      <c r="Q30" s="1350">
        <f t="shared" si="11"/>
        <v>111</v>
      </c>
      <c r="R30" s="705" t="s">
        <v>18</v>
      </c>
      <c r="S30" s="706">
        <f t="shared" si="12"/>
        <v>100</v>
      </c>
      <c r="T30" s="705" t="s">
        <v>18</v>
      </c>
      <c r="U30" s="706">
        <f t="shared" si="13"/>
        <v>100</v>
      </c>
      <c r="V30" s="705" t="s">
        <v>18</v>
      </c>
      <c r="W30" s="706">
        <f t="shared" si="14"/>
        <v>100</v>
      </c>
      <c r="X30" s="1353"/>
      <c r="Y30" s="3737"/>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822"/>
      <c r="Q31" s="1350">
        <f t="shared" si="11"/>
        <v>111</v>
      </c>
      <c r="R31" s="705" t="s">
        <v>18</v>
      </c>
      <c r="S31" s="706">
        <f t="shared" si="12"/>
        <v>100</v>
      </c>
      <c r="T31" s="705" t="s">
        <v>18</v>
      </c>
      <c r="U31" s="706">
        <f t="shared" si="13"/>
        <v>100</v>
      </c>
      <c r="V31" s="705" t="s">
        <v>18</v>
      </c>
      <c r="W31" s="706">
        <f t="shared" si="14"/>
        <v>100</v>
      </c>
      <c r="X31" s="1353"/>
      <c r="Y31" s="3737"/>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817" t="s">
        <v>1694</v>
      </c>
      <c r="Q32" s="1350" t="str">
        <f t="shared" si="11"/>
        <v>建筑类型</v>
      </c>
      <c r="R32" s="705" t="s">
        <v>18</v>
      </c>
      <c r="S32" s="706">
        <f t="shared" si="12"/>
        <v>100</v>
      </c>
      <c r="T32" s="705" t="s">
        <v>18</v>
      </c>
      <c r="U32" s="706">
        <f t="shared" si="13"/>
        <v>100</v>
      </c>
      <c r="V32" s="705" t="s">
        <v>18</v>
      </c>
      <c r="W32" s="706">
        <f t="shared" si="14"/>
        <v>100</v>
      </c>
      <c r="X32" s="1353"/>
      <c r="Y32" s="3739"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818"/>
      <c r="Q33" s="707" t="str">
        <f t="shared" si="11"/>
        <v>项目建筑规模</v>
      </c>
      <c r="R33" s="708" t="s">
        <v>18</v>
      </c>
      <c r="S33" s="709" t="e">
        <f t="shared" si="12"/>
        <v>#N/A</v>
      </c>
      <c r="T33" s="708" t="s">
        <v>18</v>
      </c>
      <c r="U33" s="709" t="e">
        <f t="shared" si="13"/>
        <v>#N/A</v>
      </c>
      <c r="V33" s="708" t="s">
        <v>18</v>
      </c>
      <c r="W33" s="709" t="e">
        <f t="shared" si="14"/>
        <v>#N/A</v>
      </c>
      <c r="X33" s="710"/>
      <c r="Y33" s="3739"/>
      <c r="Z33" s="711"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818"/>
      <c r="Q34" s="1350" t="str">
        <f t="shared" si="11"/>
        <v>建筑结构</v>
      </c>
      <c r="R34" s="705" t="s">
        <v>18</v>
      </c>
      <c r="S34" s="706">
        <f t="shared" si="12"/>
        <v>100</v>
      </c>
      <c r="T34" s="705" t="s">
        <v>18</v>
      </c>
      <c r="U34" s="706">
        <f t="shared" si="13"/>
        <v>100</v>
      </c>
      <c r="V34" s="705" t="s">
        <v>18</v>
      </c>
      <c r="W34" s="706">
        <f t="shared" si="14"/>
        <v>100</v>
      </c>
      <c r="X34" s="1353"/>
      <c r="Y34" s="3739"/>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818"/>
      <c r="Q35" s="1350" t="str">
        <f t="shared" si="11"/>
        <v>建筑品质</v>
      </c>
      <c r="R35" s="705" t="s">
        <v>18</v>
      </c>
      <c r="S35" s="706">
        <f t="shared" si="12"/>
        <v>100</v>
      </c>
      <c r="T35" s="705" t="s">
        <v>18</v>
      </c>
      <c r="U35" s="706">
        <f t="shared" si="13"/>
        <v>100</v>
      </c>
      <c r="V35" s="705" t="s">
        <v>18</v>
      </c>
      <c r="W35" s="706">
        <f t="shared" si="14"/>
        <v>100</v>
      </c>
      <c r="X35" s="1353"/>
      <c r="Y35" s="3739"/>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818"/>
      <c r="Q36" s="1350" t="str">
        <f t="shared" si="11"/>
        <v>公共部分装修</v>
      </c>
      <c r="R36" s="705" t="s">
        <v>18</v>
      </c>
      <c r="S36" s="706">
        <f t="shared" si="12"/>
        <v>100</v>
      </c>
      <c r="T36" s="705" t="s">
        <v>18</v>
      </c>
      <c r="U36" s="706">
        <f t="shared" si="13"/>
        <v>100</v>
      </c>
      <c r="V36" s="705" t="s">
        <v>18</v>
      </c>
      <c r="W36" s="706">
        <f t="shared" si="14"/>
        <v>100</v>
      </c>
      <c r="X36" s="1353"/>
      <c r="Y36" s="3739"/>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18"/>
      <c r="Q37" s="1341" t="str">
        <f t="shared" si="11"/>
        <v>成新度</v>
      </c>
      <c r="R37" s="701" t="s">
        <v>18</v>
      </c>
      <c r="S37" s="702" t="e">
        <f t="shared" si="12"/>
        <v>#N/A</v>
      </c>
      <c r="T37" s="701" t="s">
        <v>18</v>
      </c>
      <c r="U37" s="702" t="e">
        <f t="shared" si="13"/>
        <v>#N/A</v>
      </c>
      <c r="V37" s="701" t="s">
        <v>18</v>
      </c>
      <c r="W37" s="702" t="e">
        <f t="shared" si="14"/>
        <v>#N/A</v>
      </c>
      <c r="X37" s="703"/>
      <c r="Y37" s="3739"/>
      <c r="Z37" s="52" t="str">
        <f t="shared" si="18"/>
        <v>成新度</v>
      </c>
      <c r="AA37" s="704" t="e">
        <f t="shared" si="15"/>
        <v>#N/A</v>
      </c>
      <c r="AB37" s="704" t="e">
        <f t="shared" si="16"/>
        <v>#N/A</v>
      </c>
      <c r="AC37" s="704"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818" t="s">
        <v>1694</v>
      </c>
      <c r="Q38" s="1350" t="str">
        <f t="shared" si="11"/>
        <v>物业管理</v>
      </c>
      <c r="R38" s="705" t="s">
        <v>18</v>
      </c>
      <c r="S38" s="706">
        <f t="shared" si="12"/>
        <v>100</v>
      </c>
      <c r="T38" s="705" t="s">
        <v>18</v>
      </c>
      <c r="U38" s="706">
        <f t="shared" si="13"/>
        <v>100</v>
      </c>
      <c r="V38" s="705" t="s">
        <v>18</v>
      </c>
      <c r="W38" s="706">
        <f t="shared" si="14"/>
        <v>100</v>
      </c>
      <c r="X38" s="1353"/>
      <c r="Y38" s="3739"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818"/>
      <c r="Q39" s="1350" t="str">
        <f t="shared" si="11"/>
        <v>市政基础设施</v>
      </c>
      <c r="R39" s="705" t="s">
        <v>18</v>
      </c>
      <c r="S39" s="706">
        <f t="shared" si="12"/>
        <v>100</v>
      </c>
      <c r="T39" s="705" t="s">
        <v>18</v>
      </c>
      <c r="U39" s="706">
        <f t="shared" si="13"/>
        <v>100</v>
      </c>
      <c r="V39" s="705" t="s">
        <v>18</v>
      </c>
      <c r="W39" s="706">
        <f t="shared" si="14"/>
        <v>100</v>
      </c>
      <c r="X39" s="1353"/>
      <c r="Y39" s="3739"/>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818"/>
      <c r="Q40" s="1350" t="str">
        <f t="shared" si="11"/>
        <v>房型</v>
      </c>
      <c r="R40" s="705" t="s">
        <v>18</v>
      </c>
      <c r="S40" s="706">
        <f t="shared" si="12"/>
        <v>100</v>
      </c>
      <c r="T40" s="705" t="s">
        <v>18</v>
      </c>
      <c r="U40" s="706">
        <f t="shared" si="13"/>
        <v>100</v>
      </c>
      <c r="V40" s="705" t="s">
        <v>18</v>
      </c>
      <c r="W40" s="706">
        <f t="shared" si="14"/>
        <v>100</v>
      </c>
      <c r="X40" s="1353"/>
      <c r="Y40" s="3739"/>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818"/>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818"/>
      <c r="Q42" s="1350" t="str">
        <f t="shared" si="11"/>
        <v>内部装修</v>
      </c>
      <c r="R42" s="705" t="s">
        <v>18</v>
      </c>
      <c r="S42" s="706">
        <f t="shared" si="12"/>
        <v>100</v>
      </c>
      <c r="T42" s="705" t="s">
        <v>18</v>
      </c>
      <c r="U42" s="706">
        <f t="shared" si="13"/>
        <v>100</v>
      </c>
      <c r="V42" s="705" t="s">
        <v>18</v>
      </c>
      <c r="W42" s="706">
        <f t="shared" si="14"/>
        <v>100</v>
      </c>
      <c r="X42" s="1353"/>
      <c r="Y42" s="3739"/>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818"/>
      <c r="Q43" s="1350" t="str">
        <f t="shared" si="11"/>
        <v>内部装修维护情况</v>
      </c>
      <c r="R43" s="705" t="s">
        <v>18</v>
      </c>
      <c r="S43" s="706">
        <f t="shared" si="12"/>
        <v>100</v>
      </c>
      <c r="T43" s="705" t="s">
        <v>18</v>
      </c>
      <c r="U43" s="706">
        <f t="shared" si="13"/>
        <v>100</v>
      </c>
      <c r="V43" s="705" t="s">
        <v>18</v>
      </c>
      <c r="W43" s="706">
        <f t="shared" si="14"/>
        <v>100</v>
      </c>
      <c r="X43" s="1353"/>
      <c r="Y43" s="3739"/>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818"/>
      <c r="Q44" s="1341">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818"/>
      <c r="Q45" s="1350">
        <f t="shared" si="11"/>
        <v>111</v>
      </c>
      <c r="R45" s="705" t="s">
        <v>18</v>
      </c>
      <c r="S45" s="706">
        <f t="shared" si="12"/>
        <v>100</v>
      </c>
      <c r="T45" s="705" t="s">
        <v>18</v>
      </c>
      <c r="U45" s="706">
        <f t="shared" si="13"/>
        <v>100</v>
      </c>
      <c r="V45" s="705" t="s">
        <v>18</v>
      </c>
      <c r="W45" s="706">
        <f t="shared" si="14"/>
        <v>100</v>
      </c>
      <c r="X45" s="1353"/>
      <c r="Y45" s="373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819"/>
      <c r="Q46" s="1350">
        <f t="shared" si="11"/>
        <v>111</v>
      </c>
      <c r="R46" s="705" t="s">
        <v>17</v>
      </c>
      <c r="S46" s="706">
        <f t="shared" si="12"/>
        <v>100</v>
      </c>
      <c r="T46" s="705" t="s">
        <v>17</v>
      </c>
      <c r="U46" s="706">
        <f t="shared" si="13"/>
        <v>100</v>
      </c>
      <c r="V46" s="705" t="s">
        <v>17</v>
      </c>
      <c r="W46" s="706">
        <f t="shared" si="14"/>
        <v>100</v>
      </c>
      <c r="X46" s="1353"/>
      <c r="Y46" s="3820"/>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2"/>
      <c r="L47" s="2718"/>
      <c r="M47" s="2719"/>
      <c r="N47" s="2710"/>
      <c r="O47" s="2719"/>
      <c r="P47" s="3735" t="str">
        <f>A47</f>
        <v>成交单价（元/平方米）</v>
      </c>
      <c r="Q47" s="3735"/>
      <c r="R47" s="3816">
        <f>E47</f>
        <v>0</v>
      </c>
      <c r="S47" s="3816"/>
      <c r="T47" s="3816">
        <f>G47</f>
        <v>0</v>
      </c>
      <c r="U47" s="3816"/>
      <c r="V47" s="3816">
        <f>I47</f>
        <v>0</v>
      </c>
      <c r="W47" s="3816"/>
      <c r="X47" s="690"/>
      <c r="Y47" s="712"/>
      <c r="Z47" s="690"/>
      <c r="AA47" s="690"/>
      <c r="AB47" s="690"/>
      <c r="AC47" s="690"/>
    </row>
    <row r="48" spans="1:29" ht="15.75" thickBot="1">
      <c r="A48" s="437" t="s">
        <v>1707</v>
      </c>
      <c r="B48" s="438"/>
      <c r="C48" s="1159" t="e">
        <f>R49</f>
        <v>#DIV/0!</v>
      </c>
      <c r="D48" s="2315" t="s">
        <v>2136</v>
      </c>
      <c r="E48" s="1160" t="e">
        <f>R48</f>
        <v>#DIV/0!</v>
      </c>
      <c r="F48" s="2316"/>
      <c r="G48" s="1159" t="e">
        <f>T48</f>
        <v>#DIV/0!</v>
      </c>
      <c r="H48" s="2316"/>
      <c r="I48" s="1160" t="e">
        <f>V48</f>
        <v>#DIV/0!</v>
      </c>
      <c r="J48" s="2316"/>
      <c r="K48" s="2317">
        <f>F48+H48+J48</f>
        <v>0</v>
      </c>
      <c r="L48" s="2718"/>
      <c r="M48" s="2719"/>
      <c r="N48" s="2719"/>
      <c r="O48" s="2719"/>
      <c r="P48" s="3735" t="str">
        <f>A48</f>
        <v>比较价值（元/平方米）</v>
      </c>
      <c r="Q48" s="373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90"/>
      <c r="Y48" s="690"/>
      <c r="Z48" s="690"/>
      <c r="AA48" s="690"/>
      <c r="AB48" s="690"/>
      <c r="AC48" s="690"/>
    </row>
    <row r="49" spans="1:29" ht="15.75" thickBot="1">
      <c r="A49" s="441" t="s">
        <v>1708</v>
      </c>
      <c r="B49" s="442"/>
      <c r="C49" s="1161" t="e">
        <f>R49</f>
        <v>#DIV/0!</v>
      </c>
      <c r="D49" s="1162"/>
      <c r="E49" s="1162"/>
      <c r="F49" s="1162"/>
      <c r="G49" s="1162"/>
      <c r="H49" s="1162"/>
      <c r="I49" s="1162"/>
      <c r="J49" s="1162"/>
      <c r="K49" s="1913"/>
      <c r="L49" s="2718"/>
      <c r="M49" s="2719"/>
      <c r="N49" s="2719"/>
      <c r="O49" s="2719"/>
      <c r="P49" s="3729" t="str">
        <f>A49</f>
        <v>估价对象XX用房的比较价值（楼面单价，元/平方米）</v>
      </c>
      <c r="Q49" s="3730"/>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0"/>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1461</v>
      </c>
      <c r="F2" s="1881"/>
      <c r="G2" s="908"/>
      <c r="H2" s="908"/>
      <c r="I2" s="908"/>
      <c r="J2" s="908"/>
      <c r="K2" s="908"/>
      <c r="L2" s="2728"/>
      <c r="M2" s="2729"/>
      <c r="N2" s="2729"/>
      <c r="O2" s="2729"/>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0</v>
      </c>
      <c r="C3" s="354" t="s">
        <v>1766</v>
      </c>
      <c r="D3" s="353">
        <f>IF(D1="",'数据-汇总表'!E3,SUMIF('数据-汇总表'!$C19:$C33,D1,'数据-汇总表'!$E19:$E33))</f>
        <v>127815.41999999985</v>
      </c>
      <c r="E3" s="1952"/>
      <c r="F3" s="909"/>
      <c r="G3" s="908"/>
      <c r="H3" s="908"/>
      <c r="I3" s="908"/>
      <c r="J3" s="908"/>
      <c r="K3" s="910"/>
      <c r="L3" s="2728"/>
      <c r="M3" s="2729"/>
      <c r="N3" s="2729"/>
      <c r="O3" s="2729"/>
      <c r="P3" s="1950"/>
      <c r="Q3" s="912"/>
      <c r="R3" s="912"/>
      <c r="S3" s="912"/>
      <c r="T3" s="912"/>
      <c r="U3" s="912"/>
      <c r="V3" s="912"/>
      <c r="W3" s="912"/>
      <c r="X3" s="912"/>
      <c r="Y3" s="912"/>
      <c r="Z3" s="912"/>
      <c r="AA3" s="912"/>
      <c r="AB3" s="912"/>
      <c r="AC3" s="1952"/>
    </row>
    <row r="4" spans="1:29" ht="15">
      <c r="A4" s="355" t="s">
        <v>1767</v>
      </c>
      <c r="B4" s="356"/>
      <c r="C4" s="3732" t="s">
        <v>1768</v>
      </c>
      <c r="D4" s="3744"/>
      <c r="E4" s="3745" t="s">
        <v>1769</v>
      </c>
      <c r="F4" s="3746"/>
      <c r="G4" s="3732" t="s">
        <v>1770</v>
      </c>
      <c r="H4" s="3744"/>
      <c r="I4" s="3732" t="s">
        <v>1771</v>
      </c>
      <c r="J4" s="3744"/>
      <c r="K4" s="559" t="s">
        <v>1772</v>
      </c>
      <c r="L4" s="2709"/>
      <c r="M4" s="2710"/>
      <c r="N4" s="2710"/>
      <c r="O4" s="2710"/>
      <c r="P4" s="3747" t="s">
        <v>1773</v>
      </c>
      <c r="Q4" s="3748"/>
      <c r="R4" s="3753" t="s">
        <v>1769</v>
      </c>
      <c r="S4" s="3754"/>
      <c r="T4" s="3753" t="s">
        <v>1770</v>
      </c>
      <c r="U4" s="3754"/>
      <c r="V4" s="3740" t="s">
        <v>1771</v>
      </c>
      <c r="W4" s="3740"/>
      <c r="X4" s="1353"/>
      <c r="Y4" s="3753" t="s">
        <v>1773</v>
      </c>
      <c r="Z4" s="3754"/>
      <c r="AA4" s="3741" t="s">
        <v>1769</v>
      </c>
      <c r="AB4" s="3740" t="s">
        <v>1770</v>
      </c>
      <c r="AC4" s="3741" t="s">
        <v>1771</v>
      </c>
    </row>
    <row r="5" spans="1:29" ht="15">
      <c r="A5" s="358"/>
      <c r="B5" s="359"/>
      <c r="C5" s="3761" t="s">
        <v>1671</v>
      </c>
      <c r="D5" s="3762"/>
      <c r="E5" s="3768" t="s">
        <v>1672</v>
      </c>
      <c r="F5" s="3769"/>
      <c r="G5" s="3761" t="s">
        <v>1673</v>
      </c>
      <c r="H5" s="3762"/>
      <c r="I5" s="3761" t="s">
        <v>1674</v>
      </c>
      <c r="J5" s="3762"/>
      <c r="K5" s="559"/>
      <c r="L5" s="2709"/>
      <c r="M5" s="2710"/>
      <c r="N5" s="2710"/>
      <c r="O5" s="2710"/>
      <c r="P5" s="3749"/>
      <c r="Q5" s="3750"/>
      <c r="R5" s="3755"/>
      <c r="S5" s="3756"/>
      <c r="T5" s="3755"/>
      <c r="U5" s="3756"/>
      <c r="V5" s="3740"/>
      <c r="W5" s="3740"/>
      <c r="X5" s="1353"/>
      <c r="Y5" s="3755"/>
      <c r="Z5" s="3756"/>
      <c r="AA5" s="3742"/>
      <c r="AB5" s="3740"/>
      <c r="AC5" s="3742"/>
    </row>
    <row r="6" spans="1:29" ht="15.75" thickBot="1">
      <c r="A6" s="360"/>
      <c r="B6" s="361"/>
      <c r="C6" s="3759" t="s">
        <v>1675</v>
      </c>
      <c r="D6" s="3760"/>
      <c r="E6" s="3766" t="s">
        <v>1675</v>
      </c>
      <c r="F6" s="3767"/>
      <c r="G6" s="3759" t="s">
        <v>1675</v>
      </c>
      <c r="H6" s="3760"/>
      <c r="I6" s="3759" t="s">
        <v>1675</v>
      </c>
      <c r="J6" s="3760"/>
      <c r="K6" s="559" t="s">
        <v>1676</v>
      </c>
      <c r="L6" s="2709"/>
      <c r="M6" s="2710"/>
      <c r="N6" s="2710"/>
      <c r="O6" s="2710"/>
      <c r="P6" s="3751"/>
      <c r="Q6" s="3752"/>
      <c r="R6" s="3755"/>
      <c r="S6" s="3756"/>
      <c r="T6" s="3757"/>
      <c r="U6" s="3758"/>
      <c r="V6" s="3740"/>
      <c r="W6" s="3740"/>
      <c r="X6" s="1353"/>
      <c r="Y6" s="3757"/>
      <c r="Z6" s="3758"/>
      <c r="AA6" s="3743"/>
      <c r="AB6" s="3740"/>
      <c r="AC6" s="3743"/>
    </row>
    <row r="7" spans="1:29" s="108" customFormat="1" ht="15.75" thickBot="1">
      <c r="A7" s="362" t="s">
        <v>1677</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63" t="s">
        <v>1678</v>
      </c>
      <c r="Q7" s="3765"/>
      <c r="R7" s="701" t="s">
        <v>14</v>
      </c>
      <c r="S7" s="702">
        <f t="shared" ref="S7:S15" si="0">F7</f>
        <v>0</v>
      </c>
      <c r="T7" s="701" t="s">
        <v>14</v>
      </c>
      <c r="U7" s="702">
        <f t="shared" ref="U7:U15" si="1">H7</f>
        <v>0</v>
      </c>
      <c r="V7" s="701" t="s">
        <v>14</v>
      </c>
      <c r="W7" s="702">
        <f t="shared" ref="W7:W15" si="2">J7</f>
        <v>0</v>
      </c>
      <c r="X7" s="703"/>
      <c r="Y7" s="3763" t="s">
        <v>1678</v>
      </c>
      <c r="Z7" s="376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63" t="s">
        <v>1681</v>
      </c>
      <c r="Q8" s="3764"/>
      <c r="R8" s="701" t="s">
        <v>14</v>
      </c>
      <c r="S8" s="702">
        <f t="shared" si="0"/>
        <v>100</v>
      </c>
      <c r="T8" s="701" t="s">
        <v>14</v>
      </c>
      <c r="U8" s="702">
        <f t="shared" si="1"/>
        <v>100</v>
      </c>
      <c r="V8" s="701" t="s">
        <v>14</v>
      </c>
      <c r="W8" s="702">
        <f t="shared" si="2"/>
        <v>100</v>
      </c>
      <c r="X8" s="703"/>
      <c r="Y8" s="3763" t="s">
        <v>1681</v>
      </c>
      <c r="Z8" s="376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34" t="s">
        <v>1684</v>
      </c>
      <c r="Q9" s="1341" t="str">
        <f t="shared" ref="Q9:Q15" si="6">B9</f>
        <v>用途</v>
      </c>
      <c r="R9" s="701" t="s">
        <v>14</v>
      </c>
      <c r="S9" s="702">
        <f t="shared" si="0"/>
        <v>100</v>
      </c>
      <c r="T9" s="701" t="s">
        <v>14</v>
      </c>
      <c r="U9" s="702">
        <f t="shared" si="1"/>
        <v>100</v>
      </c>
      <c r="V9" s="701" t="s">
        <v>14</v>
      </c>
      <c r="W9" s="702">
        <f t="shared" si="2"/>
        <v>100</v>
      </c>
      <c r="X9" s="703"/>
      <c r="Y9" s="3632"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34"/>
      <c r="Q10" s="1341"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34"/>
      <c r="Q11" s="1341"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34"/>
      <c r="Q12" s="1341">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34"/>
      <c r="Q13" s="1341">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34"/>
      <c r="Q14" s="1341">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15">
      <c r="A15" s="391" t="s">
        <v>1688</v>
      </c>
      <c r="B15" s="61" t="s">
        <v>1775</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21" t="s">
        <v>1689</v>
      </c>
      <c r="Q15" s="1350" t="str">
        <f t="shared" si="6"/>
        <v>商业繁华度</v>
      </c>
      <c r="R15" s="705" t="s">
        <v>14</v>
      </c>
      <c r="S15" s="706">
        <f t="shared" si="0"/>
        <v>100</v>
      </c>
      <c r="T15" s="705" t="s">
        <v>14</v>
      </c>
      <c r="U15" s="706">
        <f t="shared" si="1"/>
        <v>100</v>
      </c>
      <c r="V15" s="705" t="s">
        <v>14</v>
      </c>
      <c r="W15" s="706">
        <f t="shared" si="2"/>
        <v>100</v>
      </c>
      <c r="X15" s="1353"/>
      <c r="Y15" s="3736"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822"/>
      <c r="Q16" s="1350"/>
      <c r="R16" s="705"/>
      <c r="S16" s="706"/>
      <c r="T16" s="705"/>
      <c r="U16" s="706"/>
      <c r="V16" s="705"/>
      <c r="W16" s="706"/>
      <c r="X16" s="1353"/>
      <c r="Y16" s="3737"/>
      <c r="Z16" s="1354"/>
      <c r="AA16" s="1351">
        <v>1</v>
      </c>
      <c r="AB16" s="1351">
        <v>1</v>
      </c>
      <c r="AC16" s="1351">
        <v>1</v>
      </c>
    </row>
    <row r="17" spans="1:29" ht="15">
      <c r="A17" s="379"/>
      <c r="B17" s="402" t="s">
        <v>1257</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22"/>
      <c r="Q17" s="1350" t="str">
        <f>B17</f>
        <v>交通便捷度</v>
      </c>
      <c r="R17" s="705" t="s">
        <v>14</v>
      </c>
      <c r="S17" s="706">
        <f>F17</f>
        <v>100</v>
      </c>
      <c r="T17" s="705" t="s">
        <v>14</v>
      </c>
      <c r="U17" s="706">
        <f>H17</f>
        <v>100</v>
      </c>
      <c r="V17" s="705" t="s">
        <v>14</v>
      </c>
      <c r="W17" s="706">
        <f>J17</f>
        <v>100</v>
      </c>
      <c r="X17" s="1353"/>
      <c r="Y17" s="373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822"/>
      <c r="Q18" s="1350"/>
      <c r="R18" s="705"/>
      <c r="S18" s="706"/>
      <c r="T18" s="705"/>
      <c r="U18" s="706"/>
      <c r="V18" s="705"/>
      <c r="W18" s="706"/>
      <c r="X18" s="1353"/>
      <c r="Y18" s="3737"/>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22"/>
      <c r="Q19" s="1350" t="str">
        <f>B19</f>
        <v>公共配套设施</v>
      </c>
      <c r="R19" s="705" t="s">
        <v>14</v>
      </c>
      <c r="S19" s="706">
        <f>F19</f>
        <v>100</v>
      </c>
      <c r="T19" s="705" t="s">
        <v>14</v>
      </c>
      <c r="U19" s="706">
        <f>H19</f>
        <v>100</v>
      </c>
      <c r="V19" s="705" t="s">
        <v>14</v>
      </c>
      <c r="W19" s="706">
        <f>J19</f>
        <v>100</v>
      </c>
      <c r="X19" s="1353"/>
      <c r="Y19" s="373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822"/>
      <c r="Q20" s="1350"/>
      <c r="R20" s="705"/>
      <c r="S20" s="706"/>
      <c r="T20" s="705"/>
      <c r="U20" s="706"/>
      <c r="V20" s="705"/>
      <c r="W20" s="706"/>
      <c r="X20" s="1353"/>
      <c r="Y20" s="3737"/>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22"/>
      <c r="Q21" s="1350" t="str">
        <f>B21</f>
        <v>基础设施水平</v>
      </c>
      <c r="R21" s="705" t="s">
        <v>14</v>
      </c>
      <c r="S21" s="706">
        <f>F21</f>
        <v>100</v>
      </c>
      <c r="T21" s="705" t="s">
        <v>14</v>
      </c>
      <c r="U21" s="706">
        <f>H21</f>
        <v>100</v>
      </c>
      <c r="V21" s="705" t="s">
        <v>14</v>
      </c>
      <c r="W21" s="706">
        <f>J21</f>
        <v>100</v>
      </c>
      <c r="X21" s="1353"/>
      <c r="Y21" s="373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822"/>
      <c r="Q22" s="1350"/>
      <c r="R22" s="705"/>
      <c r="S22" s="706"/>
      <c r="T22" s="705"/>
      <c r="U22" s="706"/>
      <c r="V22" s="705"/>
      <c r="W22" s="706"/>
      <c r="X22" s="1353"/>
      <c r="Y22" s="3737"/>
      <c r="Z22" s="1354"/>
      <c r="AA22" s="1351">
        <v>1</v>
      </c>
      <c r="AB22" s="1351">
        <v>1</v>
      </c>
      <c r="AC22" s="1351">
        <v>1</v>
      </c>
    </row>
    <row r="23" spans="1:29" ht="15">
      <c r="A23" s="379"/>
      <c r="B23" s="402" t="s">
        <v>1259</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22"/>
      <c r="Q23" s="1350" t="str">
        <f>B23</f>
        <v>自然及人文环境</v>
      </c>
      <c r="R23" s="705" t="s">
        <v>14</v>
      </c>
      <c r="S23" s="706">
        <f>F23</f>
        <v>100</v>
      </c>
      <c r="T23" s="705" t="s">
        <v>14</v>
      </c>
      <c r="U23" s="706">
        <f>H23</f>
        <v>100</v>
      </c>
      <c r="V23" s="705" t="s">
        <v>14</v>
      </c>
      <c r="W23" s="706">
        <f>J23</f>
        <v>100</v>
      </c>
      <c r="X23" s="1353"/>
      <c r="Y23" s="373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822"/>
      <c r="Q24" s="1350"/>
      <c r="R24" s="705"/>
      <c r="S24" s="706"/>
      <c r="T24" s="705"/>
      <c r="U24" s="706"/>
      <c r="V24" s="705"/>
      <c r="W24" s="706"/>
      <c r="X24" s="1353"/>
      <c r="Y24" s="3737"/>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22"/>
      <c r="Q25" s="1350" t="str">
        <f t="shared" ref="Q25:Q46" si="11">B25</f>
        <v>临街状况</v>
      </c>
      <c r="R25" s="705" t="s">
        <v>14</v>
      </c>
      <c r="S25" s="706">
        <f>F25</f>
        <v>100</v>
      </c>
      <c r="T25" s="705" t="s">
        <v>14</v>
      </c>
      <c r="U25" s="706">
        <f>H25</f>
        <v>100</v>
      </c>
      <c r="V25" s="705" t="s">
        <v>14</v>
      </c>
      <c r="W25" s="706">
        <f>J25</f>
        <v>100</v>
      </c>
      <c r="X25" s="1353"/>
      <c r="Y25" s="3737"/>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22"/>
      <c r="Q26" s="1350" t="str">
        <f t="shared" si="11"/>
        <v>平面位置/可视性</v>
      </c>
      <c r="R26" s="705" t="s">
        <v>14</v>
      </c>
      <c r="S26" s="706">
        <f>F26</f>
        <v>100</v>
      </c>
      <c r="T26" s="705" t="s">
        <v>14</v>
      </c>
      <c r="U26" s="706">
        <f>H26</f>
        <v>100</v>
      </c>
      <c r="V26" s="705" t="s">
        <v>14</v>
      </c>
      <c r="W26" s="706">
        <f>J26</f>
        <v>100</v>
      </c>
      <c r="X26" s="1353"/>
      <c r="Y26" s="3737"/>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822"/>
      <c r="Q27" s="1341" t="str">
        <f t="shared" si="11"/>
        <v>人流量</v>
      </c>
      <c r="R27" s="701" t="s">
        <v>14</v>
      </c>
      <c r="S27" s="702">
        <f>F27</f>
        <v>100</v>
      </c>
      <c r="T27" s="701" t="s">
        <v>14</v>
      </c>
      <c r="U27" s="702">
        <f>H27</f>
        <v>100</v>
      </c>
      <c r="V27" s="701" t="s">
        <v>14</v>
      </c>
      <c r="W27" s="702">
        <f>J27</f>
        <v>100</v>
      </c>
      <c r="X27" s="703"/>
      <c r="Y27" s="3737"/>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22"/>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37"/>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22"/>
      <c r="Q29" s="1350">
        <f t="shared" si="11"/>
        <v>111</v>
      </c>
      <c r="R29" s="705" t="s">
        <v>14</v>
      </c>
      <c r="S29" s="706">
        <f t="shared" si="12"/>
        <v>100</v>
      </c>
      <c r="T29" s="705" t="s">
        <v>14</v>
      </c>
      <c r="U29" s="706">
        <f t="shared" si="13"/>
        <v>100</v>
      </c>
      <c r="V29" s="705" t="s">
        <v>14</v>
      </c>
      <c r="W29" s="706">
        <f t="shared" si="14"/>
        <v>100</v>
      </c>
      <c r="X29" s="1353"/>
      <c r="Y29" s="3737"/>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22"/>
      <c r="Q30" s="1350">
        <f t="shared" si="11"/>
        <v>111</v>
      </c>
      <c r="R30" s="705" t="s">
        <v>14</v>
      </c>
      <c r="S30" s="706">
        <f t="shared" si="12"/>
        <v>100</v>
      </c>
      <c r="T30" s="705" t="s">
        <v>14</v>
      </c>
      <c r="U30" s="706">
        <f t="shared" si="13"/>
        <v>100</v>
      </c>
      <c r="V30" s="705" t="s">
        <v>14</v>
      </c>
      <c r="W30" s="706">
        <f t="shared" si="14"/>
        <v>100</v>
      </c>
      <c r="X30" s="1353"/>
      <c r="Y30" s="3737"/>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22"/>
      <c r="Q31" s="1350">
        <f t="shared" si="11"/>
        <v>111</v>
      </c>
      <c r="R31" s="705" t="s">
        <v>14</v>
      </c>
      <c r="S31" s="706">
        <f t="shared" si="12"/>
        <v>100</v>
      </c>
      <c r="T31" s="705" t="s">
        <v>14</v>
      </c>
      <c r="U31" s="706">
        <f t="shared" si="13"/>
        <v>100</v>
      </c>
      <c r="V31" s="705" t="s">
        <v>14</v>
      </c>
      <c r="W31" s="706">
        <f t="shared" si="14"/>
        <v>100</v>
      </c>
      <c r="X31" s="1353"/>
      <c r="Y31" s="3737"/>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817" t="s">
        <v>1694</v>
      </c>
      <c r="Q32" s="1350" t="str">
        <f t="shared" si="11"/>
        <v>商业类型</v>
      </c>
      <c r="R32" s="705" t="s">
        <v>14</v>
      </c>
      <c r="S32" s="706">
        <f t="shared" si="12"/>
        <v>100</v>
      </c>
      <c r="T32" s="705" t="s">
        <v>14</v>
      </c>
      <c r="U32" s="706">
        <f t="shared" si="13"/>
        <v>100</v>
      </c>
      <c r="V32" s="705" t="s">
        <v>14</v>
      </c>
      <c r="W32" s="706">
        <f t="shared" si="14"/>
        <v>100</v>
      </c>
      <c r="X32" s="1353"/>
      <c r="Y32" s="3739"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18"/>
      <c r="Q33" s="707" t="str">
        <f t="shared" si="11"/>
        <v>项目建筑规模</v>
      </c>
      <c r="R33" s="708" t="s">
        <v>14</v>
      </c>
      <c r="S33" s="709" t="e">
        <f t="shared" si="12"/>
        <v>#N/A</v>
      </c>
      <c r="T33" s="708" t="s">
        <v>14</v>
      </c>
      <c r="U33" s="709" t="e">
        <f t="shared" si="13"/>
        <v>#N/A</v>
      </c>
      <c r="V33" s="708" t="s">
        <v>14</v>
      </c>
      <c r="W33" s="709" t="e">
        <f t="shared" si="14"/>
        <v>#N/A</v>
      </c>
      <c r="X33" s="710"/>
      <c r="Y33" s="3739"/>
      <c r="Z33" s="711"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818"/>
      <c r="Q34" s="1350" t="str">
        <f t="shared" si="11"/>
        <v>建筑结构</v>
      </c>
      <c r="R34" s="705" t="s">
        <v>14</v>
      </c>
      <c r="S34" s="706">
        <f t="shared" si="12"/>
        <v>100</v>
      </c>
      <c r="T34" s="705" t="s">
        <v>14</v>
      </c>
      <c r="U34" s="706">
        <f t="shared" si="13"/>
        <v>100</v>
      </c>
      <c r="V34" s="705" t="s">
        <v>14</v>
      </c>
      <c r="W34" s="706">
        <f t="shared" si="14"/>
        <v>100</v>
      </c>
      <c r="X34" s="1353"/>
      <c r="Y34" s="3739"/>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818"/>
      <c r="Q35" s="1350" t="str">
        <f t="shared" si="11"/>
        <v>公共部分装修</v>
      </c>
      <c r="R35" s="705" t="s">
        <v>14</v>
      </c>
      <c r="S35" s="706">
        <f t="shared" si="12"/>
        <v>100</v>
      </c>
      <c r="T35" s="705" t="s">
        <v>14</v>
      </c>
      <c r="U35" s="706">
        <f t="shared" si="13"/>
        <v>100</v>
      </c>
      <c r="V35" s="705" t="s">
        <v>14</v>
      </c>
      <c r="W35" s="706">
        <f t="shared" si="14"/>
        <v>100</v>
      </c>
      <c r="X35" s="1353"/>
      <c r="Y35" s="3739"/>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18"/>
      <c r="Q36" s="1350" t="str">
        <f t="shared" si="11"/>
        <v>成新度</v>
      </c>
      <c r="R36" s="705" t="s">
        <v>14</v>
      </c>
      <c r="S36" s="706" t="e">
        <f t="shared" si="12"/>
        <v>#N/A</v>
      </c>
      <c r="T36" s="705" t="s">
        <v>14</v>
      </c>
      <c r="U36" s="706" t="e">
        <f t="shared" si="13"/>
        <v>#N/A</v>
      </c>
      <c r="V36" s="705" t="s">
        <v>14</v>
      </c>
      <c r="W36" s="706" t="e">
        <f t="shared" si="14"/>
        <v>#N/A</v>
      </c>
      <c r="X36" s="1353"/>
      <c r="Y36" s="3739"/>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818"/>
      <c r="Q37" s="1341"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818" t="s">
        <v>1694</v>
      </c>
      <c r="Q38" s="1350" t="str">
        <f t="shared" si="11"/>
        <v>业态</v>
      </c>
      <c r="R38" s="705" t="s">
        <v>14</v>
      </c>
      <c r="S38" s="706">
        <f t="shared" si="12"/>
        <v>100</v>
      </c>
      <c r="T38" s="705" t="s">
        <v>14</v>
      </c>
      <c r="U38" s="706">
        <f t="shared" si="13"/>
        <v>100</v>
      </c>
      <c r="V38" s="705" t="s">
        <v>14</v>
      </c>
      <c r="W38" s="706">
        <f t="shared" si="14"/>
        <v>100</v>
      </c>
      <c r="X38" s="1353"/>
      <c r="Y38" s="3739"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818"/>
      <c r="Q39" s="1350" t="str">
        <f t="shared" si="11"/>
        <v>层高</v>
      </c>
      <c r="R39" s="705" t="s">
        <v>14</v>
      </c>
      <c r="S39" s="706">
        <f t="shared" si="12"/>
        <v>100</v>
      </c>
      <c r="T39" s="705" t="s">
        <v>14</v>
      </c>
      <c r="U39" s="706">
        <f t="shared" si="13"/>
        <v>100</v>
      </c>
      <c r="V39" s="705" t="s">
        <v>14</v>
      </c>
      <c r="W39" s="706">
        <f t="shared" si="14"/>
        <v>100</v>
      </c>
      <c r="X39" s="1353"/>
      <c r="Y39" s="3739"/>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18"/>
      <c r="Q40" s="1350" t="str">
        <f t="shared" si="11"/>
        <v>单套建筑面积</v>
      </c>
      <c r="R40" s="705" t="s">
        <v>14</v>
      </c>
      <c r="S40" s="706">
        <f t="shared" si="12"/>
        <v>100</v>
      </c>
      <c r="T40" s="705" t="s">
        <v>14</v>
      </c>
      <c r="U40" s="706">
        <f t="shared" si="13"/>
        <v>100</v>
      </c>
      <c r="V40" s="705" t="s">
        <v>14</v>
      </c>
      <c r="W40" s="706">
        <f t="shared" si="14"/>
        <v>100</v>
      </c>
      <c r="X40" s="1353"/>
      <c r="Y40" s="3739"/>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18"/>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818"/>
      <c r="Q42" s="1350" t="str">
        <f t="shared" si="11"/>
        <v>内部装修</v>
      </c>
      <c r="R42" s="705" t="s">
        <v>14</v>
      </c>
      <c r="S42" s="706">
        <f t="shared" si="12"/>
        <v>100</v>
      </c>
      <c r="T42" s="705" t="s">
        <v>14</v>
      </c>
      <c r="U42" s="706">
        <f t="shared" si="13"/>
        <v>100</v>
      </c>
      <c r="V42" s="705" t="s">
        <v>14</v>
      </c>
      <c r="W42" s="706">
        <f t="shared" si="14"/>
        <v>100</v>
      </c>
      <c r="X42" s="1353"/>
      <c r="Y42" s="3739"/>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818"/>
      <c r="Q43" s="1350" t="str">
        <f t="shared" si="11"/>
        <v>内部装修维护情况</v>
      </c>
      <c r="R43" s="705" t="s">
        <v>14</v>
      </c>
      <c r="S43" s="706">
        <f t="shared" si="12"/>
        <v>100</v>
      </c>
      <c r="T43" s="705" t="s">
        <v>14</v>
      </c>
      <c r="U43" s="706">
        <f t="shared" si="13"/>
        <v>100</v>
      </c>
      <c r="V43" s="705" t="s">
        <v>14</v>
      </c>
      <c r="W43" s="706">
        <f t="shared" si="14"/>
        <v>100</v>
      </c>
      <c r="X43" s="1353"/>
      <c r="Y43" s="3739"/>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18"/>
      <c r="Q44" s="1341">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18"/>
      <c r="Q45" s="1350">
        <f t="shared" si="11"/>
        <v>111</v>
      </c>
      <c r="R45" s="705" t="s">
        <v>14</v>
      </c>
      <c r="S45" s="706">
        <f t="shared" si="12"/>
        <v>100</v>
      </c>
      <c r="T45" s="705" t="s">
        <v>14</v>
      </c>
      <c r="U45" s="706">
        <f t="shared" si="13"/>
        <v>100</v>
      </c>
      <c r="V45" s="705" t="s">
        <v>14</v>
      </c>
      <c r="W45" s="706">
        <f t="shared" si="14"/>
        <v>100</v>
      </c>
      <c r="X45" s="1353"/>
      <c r="Y45" s="373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19"/>
      <c r="Q46" s="1350">
        <f t="shared" si="11"/>
        <v>111</v>
      </c>
      <c r="R46" s="705" t="s">
        <v>14</v>
      </c>
      <c r="S46" s="706">
        <f t="shared" si="12"/>
        <v>100</v>
      </c>
      <c r="T46" s="705" t="s">
        <v>14</v>
      </c>
      <c r="U46" s="706">
        <f t="shared" si="13"/>
        <v>100</v>
      </c>
      <c r="V46" s="705" t="s">
        <v>14</v>
      </c>
      <c r="W46" s="706">
        <f t="shared" si="14"/>
        <v>100</v>
      </c>
      <c r="X46" s="1353"/>
      <c r="Y46" s="3820"/>
      <c r="Z46" s="1354">
        <f t="shared" si="15"/>
        <v>111</v>
      </c>
      <c r="AA46" s="1351">
        <f t="shared" si="3"/>
        <v>1</v>
      </c>
      <c r="AB46" s="1351">
        <f t="shared" si="4"/>
        <v>1</v>
      </c>
      <c r="AC46" s="1351">
        <f t="shared" si="5"/>
        <v>1</v>
      </c>
    </row>
    <row r="47" spans="1:29" ht="15">
      <c r="A47" s="430" t="s">
        <v>1706</v>
      </c>
      <c r="B47" s="431"/>
      <c r="C47" s="1153" t="s">
        <v>0</v>
      </c>
      <c r="D47" s="1154"/>
      <c r="E47" s="1155"/>
      <c r="F47" s="1156"/>
      <c r="G47" s="1157"/>
      <c r="H47" s="1158"/>
      <c r="I47" s="1155"/>
      <c r="J47" s="1158"/>
      <c r="K47" s="714"/>
      <c r="L47" s="2718"/>
      <c r="M47" s="2719"/>
      <c r="N47" s="2710"/>
      <c r="O47" s="2719"/>
      <c r="P47" s="3735" t="str">
        <f>A47</f>
        <v>成交单价（元/平方米）</v>
      </c>
      <c r="Q47" s="3735"/>
      <c r="R47" s="3740">
        <f>E47</f>
        <v>0</v>
      </c>
      <c r="S47" s="3740"/>
      <c r="T47" s="3740">
        <f>G47</f>
        <v>0</v>
      </c>
      <c r="U47" s="3740"/>
      <c r="V47" s="3740">
        <f>I47</f>
        <v>0</v>
      </c>
      <c r="W47" s="3740"/>
      <c r="X47" s="690"/>
      <c r="Y47" s="712"/>
      <c r="Z47" s="690"/>
      <c r="AA47" s="690"/>
      <c r="AB47" s="690"/>
      <c r="AC47" s="690"/>
    </row>
    <row r="48" spans="1:29" ht="15.75" thickBot="1">
      <c r="A48" s="437" t="s">
        <v>1791</v>
      </c>
      <c r="B48" s="438"/>
      <c r="C48" s="1159" t="e">
        <f>R49</f>
        <v>#DIV/0!</v>
      </c>
      <c r="D48" s="2315" t="s">
        <v>2136</v>
      </c>
      <c r="E48" s="1160" t="e">
        <f>R48</f>
        <v>#DIV/0!</v>
      </c>
      <c r="F48" s="2316"/>
      <c r="G48" s="1159" t="e">
        <f>T48</f>
        <v>#DIV/0!</v>
      </c>
      <c r="H48" s="2316"/>
      <c r="I48" s="1160" t="e">
        <f>V48</f>
        <v>#DIV/0!</v>
      </c>
      <c r="J48" s="2316"/>
      <c r="K48" s="2318">
        <f>F48+H48+J48</f>
        <v>0</v>
      </c>
      <c r="L48" s="2718"/>
      <c r="M48" s="2719"/>
      <c r="N48" s="2710"/>
      <c r="O48" s="2719"/>
      <c r="P48" s="3735" t="str">
        <f>A48</f>
        <v>比较价值（元/平方米）</v>
      </c>
      <c r="Q48" s="373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90"/>
      <c r="Y48" s="690"/>
      <c r="Z48" s="690"/>
      <c r="AA48" s="690"/>
      <c r="AB48" s="690"/>
      <c r="AC48" s="690"/>
    </row>
    <row r="49" spans="1:29" ht="15.75" thickBot="1">
      <c r="A49" s="441" t="s">
        <v>1792</v>
      </c>
      <c r="B49" s="442"/>
      <c r="C49" s="1162" t="e">
        <f>R49</f>
        <v>#DIV/0!</v>
      </c>
      <c r="D49" s="1162"/>
      <c r="E49" s="1162"/>
      <c r="F49" s="1162"/>
      <c r="G49" s="1162"/>
      <c r="H49" s="1162"/>
      <c r="I49" s="1162"/>
      <c r="J49" s="1162"/>
      <c r="K49" s="715"/>
      <c r="L49" s="2718"/>
      <c r="M49" s="2719"/>
      <c r="N49" s="2710"/>
      <c r="O49" s="2719"/>
      <c r="P49" s="3729" t="str">
        <f>A49</f>
        <v>估价对象XX用房的比较价值（楼面单价，元/平方米）</v>
      </c>
      <c r="Q49" s="3730"/>
      <c r="R49" s="3815" t="e">
        <f>IF(F1="售价",ROUND(IF(D48="简单平均",AVERAGE(R48:V48),R48*F48+T48*H48+V48*J48),0),ROUND(IF(D48="简单平均",AVERAGE(R48:V48),R48*F48+T48*H48+V48*J48),1))</f>
        <v>#DIV/0!</v>
      </c>
      <c r="S49" s="3815"/>
      <c r="T49" s="3815"/>
      <c r="U49" s="3815"/>
      <c r="V49" s="3815"/>
      <c r="W49" s="381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127815.41999999985</v>
      </c>
      <c r="E3" s="1952"/>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32" t="s">
        <v>1768</v>
      </c>
      <c r="D4" s="3744"/>
      <c r="E4" s="3745" t="s">
        <v>1769</v>
      </c>
      <c r="F4" s="3746"/>
      <c r="G4" s="3732" t="s">
        <v>1770</v>
      </c>
      <c r="H4" s="3744"/>
      <c r="I4" s="3732" t="s">
        <v>1771</v>
      </c>
      <c r="J4" s="3744"/>
      <c r="K4" s="559" t="s">
        <v>1772</v>
      </c>
      <c r="L4" s="2709"/>
      <c r="M4" s="2710"/>
      <c r="N4" s="2710"/>
      <c r="O4" s="2710"/>
      <c r="P4" s="3829" t="s">
        <v>1773</v>
      </c>
      <c r="Q4" s="3830"/>
      <c r="R4" s="3833" t="s">
        <v>1769</v>
      </c>
      <c r="S4" s="3834"/>
      <c r="T4" s="3833" t="s">
        <v>1770</v>
      </c>
      <c r="U4" s="3834"/>
      <c r="V4" s="3835" t="s">
        <v>1771</v>
      </c>
      <c r="W4" s="3835"/>
      <c r="X4" s="1956"/>
      <c r="Y4" s="3833" t="s">
        <v>1773</v>
      </c>
      <c r="Z4" s="3834"/>
      <c r="AA4" s="3837" t="s">
        <v>1769</v>
      </c>
      <c r="AB4" s="3837" t="s">
        <v>1770</v>
      </c>
      <c r="AC4" s="3826" t="s">
        <v>1771</v>
      </c>
    </row>
    <row r="5" spans="1:29" ht="15">
      <c r="A5" s="358"/>
      <c r="B5" s="359"/>
      <c r="C5" s="3761" t="s">
        <v>1671</v>
      </c>
      <c r="D5" s="3762"/>
      <c r="E5" s="3768" t="s">
        <v>1672</v>
      </c>
      <c r="F5" s="3769"/>
      <c r="G5" s="3761" t="s">
        <v>1673</v>
      </c>
      <c r="H5" s="3762"/>
      <c r="I5" s="3761" t="s">
        <v>1674</v>
      </c>
      <c r="J5" s="3762"/>
      <c r="K5" s="559"/>
      <c r="L5" s="2709"/>
      <c r="M5" s="2710"/>
      <c r="N5" s="2710"/>
      <c r="O5" s="2710"/>
      <c r="P5" s="3831"/>
      <c r="Q5" s="3750"/>
      <c r="R5" s="3755"/>
      <c r="S5" s="3756"/>
      <c r="T5" s="3755"/>
      <c r="U5" s="3756"/>
      <c r="V5" s="3740"/>
      <c r="W5" s="3740"/>
      <c r="X5" s="1353"/>
      <c r="Y5" s="3755"/>
      <c r="Z5" s="3756"/>
      <c r="AA5" s="3742"/>
      <c r="AB5" s="3742"/>
      <c r="AC5" s="3827"/>
    </row>
    <row r="6" spans="1:29" ht="15.75" thickBot="1">
      <c r="A6" s="360"/>
      <c r="B6" s="361"/>
      <c r="C6" s="3759" t="s">
        <v>1675</v>
      </c>
      <c r="D6" s="3760"/>
      <c r="E6" s="3766" t="s">
        <v>1675</v>
      </c>
      <c r="F6" s="3767"/>
      <c r="G6" s="3759" t="s">
        <v>1675</v>
      </c>
      <c r="H6" s="3760"/>
      <c r="I6" s="3759" t="s">
        <v>1675</v>
      </c>
      <c r="J6" s="3760"/>
      <c r="K6" s="559" t="s">
        <v>1676</v>
      </c>
      <c r="L6" s="2709"/>
      <c r="M6" s="2710"/>
      <c r="N6" s="2710"/>
      <c r="O6" s="2710"/>
      <c r="P6" s="3832"/>
      <c r="Q6" s="3752"/>
      <c r="R6" s="3755"/>
      <c r="S6" s="3756"/>
      <c r="T6" s="3757"/>
      <c r="U6" s="3758"/>
      <c r="V6" s="3740"/>
      <c r="W6" s="3740"/>
      <c r="X6" s="1353"/>
      <c r="Y6" s="3757"/>
      <c r="Z6" s="3758"/>
      <c r="AA6" s="3743"/>
      <c r="AB6" s="3743"/>
      <c r="AC6" s="3828"/>
    </row>
    <row r="7" spans="1:29" s="108" customFormat="1" ht="15.75" thickBot="1">
      <c r="A7" s="362" t="s">
        <v>1677</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6" t="s">
        <v>1678</v>
      </c>
      <c r="Q7" s="3765"/>
      <c r="R7" s="701" t="s">
        <v>14</v>
      </c>
      <c r="S7" s="702">
        <f t="shared" ref="S7:S15" si="0">F7</f>
        <v>0</v>
      </c>
      <c r="T7" s="701" t="s">
        <v>14</v>
      </c>
      <c r="U7" s="702">
        <f t="shared" ref="U7:U15" si="1">H7</f>
        <v>0</v>
      </c>
      <c r="V7" s="701" t="s">
        <v>14</v>
      </c>
      <c r="W7" s="702">
        <f t="shared" ref="W7:W15" si="2">J7</f>
        <v>0</v>
      </c>
      <c r="X7" s="703"/>
      <c r="Y7" s="3763" t="s">
        <v>1678</v>
      </c>
      <c r="Z7" s="3764"/>
      <c r="AA7" s="704" t="e">
        <f>D7/F7</f>
        <v>#DIV/0!</v>
      </c>
      <c r="AB7" s="704" t="e">
        <f>D7/H7</f>
        <v>#DIV/0!</v>
      </c>
      <c r="AC7" s="1957"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6" t="s">
        <v>1681</v>
      </c>
      <c r="Q8" s="3764"/>
      <c r="R8" s="701" t="s">
        <v>14</v>
      </c>
      <c r="S8" s="702">
        <f t="shared" si="0"/>
        <v>100</v>
      </c>
      <c r="T8" s="701" t="s">
        <v>14</v>
      </c>
      <c r="U8" s="702">
        <f t="shared" si="1"/>
        <v>100</v>
      </c>
      <c r="V8" s="701" t="s">
        <v>14</v>
      </c>
      <c r="W8" s="702">
        <f t="shared" si="2"/>
        <v>100</v>
      </c>
      <c r="X8" s="703"/>
      <c r="Y8" s="3763" t="s">
        <v>1681</v>
      </c>
      <c r="Z8" s="3764"/>
      <c r="AA8" s="704">
        <f t="shared" ref="AA8:AA47" si="3">D8/F8</f>
        <v>1</v>
      </c>
      <c r="AB8" s="704">
        <f t="shared" ref="AB8:AB47" si="4">D8/H8</f>
        <v>1</v>
      </c>
      <c r="AC8" s="1957">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34" t="s">
        <v>1684</v>
      </c>
      <c r="Q9" s="1341" t="str">
        <f t="shared" ref="Q9:Q15" si="6">B9</f>
        <v>用途</v>
      </c>
      <c r="R9" s="701" t="s">
        <v>14</v>
      </c>
      <c r="S9" s="702">
        <f t="shared" si="0"/>
        <v>100</v>
      </c>
      <c r="T9" s="701" t="s">
        <v>14</v>
      </c>
      <c r="U9" s="702">
        <f t="shared" si="1"/>
        <v>100</v>
      </c>
      <c r="V9" s="701" t="s">
        <v>14</v>
      </c>
      <c r="W9" s="702">
        <f t="shared" si="2"/>
        <v>100</v>
      </c>
      <c r="X9" s="703"/>
      <c r="Y9" s="3632" t="s">
        <v>1685</v>
      </c>
      <c r="Z9" s="52" t="str">
        <f t="shared" ref="Z9:Z15" si="7">Q9</f>
        <v>用途</v>
      </c>
      <c r="AA9" s="704">
        <f t="shared" si="3"/>
        <v>1</v>
      </c>
      <c r="AB9" s="704">
        <f t="shared" si="4"/>
        <v>1</v>
      </c>
      <c r="AC9" s="1957">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34"/>
      <c r="Q10" s="1341"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34"/>
      <c r="Q11" s="1341"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734"/>
      <c r="Q12" s="1341">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734"/>
      <c r="Q13" s="1341">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734"/>
      <c r="Q14" s="1341">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21" t="s">
        <v>1689</v>
      </c>
      <c r="Q15" s="1350" t="str">
        <f t="shared" si="6"/>
        <v>办公集聚程度</v>
      </c>
      <c r="R15" s="705" t="s">
        <v>14</v>
      </c>
      <c r="S15" s="706">
        <f t="shared" si="0"/>
        <v>100</v>
      </c>
      <c r="T15" s="705" t="s">
        <v>14</v>
      </c>
      <c r="U15" s="706">
        <f t="shared" si="1"/>
        <v>100</v>
      </c>
      <c r="V15" s="705" t="s">
        <v>14</v>
      </c>
      <c r="W15" s="706">
        <f t="shared" si="2"/>
        <v>100</v>
      </c>
      <c r="X15" s="1353"/>
      <c r="Y15" s="3736" t="s">
        <v>1689</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6"/>
      <c r="M16" s="2710"/>
      <c r="N16" s="2710"/>
      <c r="O16" s="2710"/>
      <c r="P16" s="3822"/>
      <c r="Q16" s="1350"/>
      <c r="R16" s="705"/>
      <c r="S16" s="706"/>
      <c r="T16" s="705"/>
      <c r="U16" s="706"/>
      <c r="V16" s="705"/>
      <c r="W16" s="706"/>
      <c r="X16" s="1353"/>
      <c r="Y16" s="3737"/>
      <c r="Z16" s="1354"/>
      <c r="AA16" s="1351">
        <v>1</v>
      </c>
      <c r="AB16" s="1351">
        <v>1</v>
      </c>
      <c r="AC16" s="1960">
        <v>1</v>
      </c>
    </row>
    <row r="17" spans="1:29" ht="15">
      <c r="A17" s="379"/>
      <c r="B17" s="579" t="s">
        <v>1257</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22"/>
      <c r="Q17" s="1350" t="str">
        <f>B17</f>
        <v>交通便捷度</v>
      </c>
      <c r="R17" s="705" t="s">
        <v>14</v>
      </c>
      <c r="S17" s="706">
        <f>F17</f>
        <v>100</v>
      </c>
      <c r="T17" s="705" t="s">
        <v>14</v>
      </c>
      <c r="U17" s="706">
        <f>H17</f>
        <v>100</v>
      </c>
      <c r="V17" s="705" t="s">
        <v>14</v>
      </c>
      <c r="W17" s="706">
        <f>J17</f>
        <v>100</v>
      </c>
      <c r="X17" s="1353"/>
      <c r="Y17" s="3737"/>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6"/>
      <c r="M18" s="2710"/>
      <c r="N18" s="2710"/>
      <c r="O18" s="2710"/>
      <c r="P18" s="3822"/>
      <c r="Q18" s="1350"/>
      <c r="R18" s="705"/>
      <c r="S18" s="706"/>
      <c r="T18" s="705"/>
      <c r="U18" s="706"/>
      <c r="V18" s="705"/>
      <c r="W18" s="706"/>
      <c r="X18" s="1353"/>
      <c r="Y18" s="3737"/>
      <c r="Z18" s="1354"/>
      <c r="AA18" s="1351">
        <v>1</v>
      </c>
      <c r="AB18" s="1351">
        <v>1</v>
      </c>
      <c r="AC18" s="1960">
        <v>1</v>
      </c>
    </row>
    <row r="19" spans="1:29" ht="15">
      <c r="A19" s="379"/>
      <c r="B19" s="579" t="s">
        <v>1810</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22"/>
      <c r="Q19" s="1350" t="str">
        <f>B19</f>
        <v>公共配套设施</v>
      </c>
      <c r="R19" s="705" t="s">
        <v>14</v>
      </c>
      <c r="S19" s="706">
        <f>F19</f>
        <v>100</v>
      </c>
      <c r="T19" s="705" t="s">
        <v>14</v>
      </c>
      <c r="U19" s="706">
        <f>H19</f>
        <v>100</v>
      </c>
      <c r="V19" s="705" t="s">
        <v>14</v>
      </c>
      <c r="W19" s="706">
        <f>J19</f>
        <v>100</v>
      </c>
      <c r="X19" s="1353"/>
      <c r="Y19" s="3737"/>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6"/>
      <c r="M20" s="2710"/>
      <c r="N20" s="2710"/>
      <c r="O20" s="2710"/>
      <c r="P20" s="3822"/>
      <c r="Q20" s="1350"/>
      <c r="R20" s="705"/>
      <c r="S20" s="706"/>
      <c r="T20" s="705"/>
      <c r="U20" s="706"/>
      <c r="V20" s="705"/>
      <c r="W20" s="706"/>
      <c r="X20" s="1353"/>
      <c r="Y20" s="3737"/>
      <c r="Z20" s="1354"/>
      <c r="AA20" s="1351">
        <v>1</v>
      </c>
      <c r="AB20" s="1351">
        <v>1</v>
      </c>
      <c r="AC20" s="1960">
        <v>1</v>
      </c>
    </row>
    <row r="21" spans="1:29" ht="15">
      <c r="A21" s="379"/>
      <c r="B21" s="581" t="s">
        <v>1811</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22"/>
      <c r="Q21" s="1350" t="str">
        <f>B21</f>
        <v>基础设施水平</v>
      </c>
      <c r="R21" s="705" t="s">
        <v>14</v>
      </c>
      <c r="S21" s="706">
        <f>F21</f>
        <v>100</v>
      </c>
      <c r="T21" s="705" t="s">
        <v>14</v>
      </c>
      <c r="U21" s="706">
        <f>H21</f>
        <v>100</v>
      </c>
      <c r="V21" s="705" t="s">
        <v>14</v>
      </c>
      <c r="W21" s="706">
        <f>J21</f>
        <v>100</v>
      </c>
      <c r="X21" s="1353"/>
      <c r="Y21" s="3737"/>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16"/>
      <c r="M22" s="2710"/>
      <c r="N22" s="2710"/>
      <c r="O22" s="2710"/>
      <c r="P22" s="3822"/>
      <c r="Q22" s="1350"/>
      <c r="R22" s="705"/>
      <c r="S22" s="706"/>
      <c r="T22" s="705"/>
      <c r="U22" s="706"/>
      <c r="V22" s="705"/>
      <c r="W22" s="706"/>
      <c r="X22" s="1353"/>
      <c r="Y22" s="3737"/>
      <c r="Z22" s="1354"/>
      <c r="AA22" s="1351">
        <v>1</v>
      </c>
      <c r="AB22" s="1351">
        <v>1</v>
      </c>
      <c r="AC22" s="1960">
        <v>1</v>
      </c>
    </row>
    <row r="23" spans="1:29" ht="15">
      <c r="A23" s="379"/>
      <c r="B23" s="579" t="s">
        <v>1812</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22"/>
      <c r="Q23" s="1350" t="str">
        <f>B23</f>
        <v>环境质量</v>
      </c>
      <c r="R23" s="705" t="s">
        <v>14</v>
      </c>
      <c r="S23" s="706">
        <f>F23</f>
        <v>100</v>
      </c>
      <c r="T23" s="705" t="s">
        <v>14</v>
      </c>
      <c r="U23" s="706">
        <f>H23</f>
        <v>100</v>
      </c>
      <c r="V23" s="705" t="s">
        <v>14</v>
      </c>
      <c r="W23" s="706">
        <f>J23</f>
        <v>100</v>
      </c>
      <c r="X23" s="1353"/>
      <c r="Y23" s="3737"/>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6"/>
      <c r="M24" s="2710"/>
      <c r="N24" s="2710"/>
      <c r="O24" s="2710"/>
      <c r="P24" s="3822"/>
      <c r="Q24" s="1350"/>
      <c r="R24" s="705"/>
      <c r="S24" s="706"/>
      <c r="T24" s="705"/>
      <c r="U24" s="706"/>
      <c r="V24" s="705"/>
      <c r="W24" s="706"/>
      <c r="X24" s="1353"/>
      <c r="Y24" s="3737"/>
      <c r="Z24" s="1354"/>
      <c r="AA24" s="1351">
        <v>1</v>
      </c>
      <c r="AB24" s="1351">
        <v>1</v>
      </c>
      <c r="AC24" s="1960">
        <v>1</v>
      </c>
    </row>
    <row r="25" spans="1:29" ht="27">
      <c r="A25" s="358"/>
      <c r="B25" s="579"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822"/>
      <c r="Q25" s="1350" t="str">
        <f>B25</f>
        <v>毗邻道路的类型与等级</v>
      </c>
      <c r="R25" s="705" t="s">
        <v>14</v>
      </c>
      <c r="S25" s="706">
        <f>F25</f>
        <v>100</v>
      </c>
      <c r="T25" s="705" t="s">
        <v>14</v>
      </c>
      <c r="U25" s="706">
        <f>H25</f>
        <v>100</v>
      </c>
      <c r="V25" s="705" t="s">
        <v>14</v>
      </c>
      <c r="W25" s="706">
        <f>J25</f>
        <v>100</v>
      </c>
      <c r="X25" s="1353"/>
      <c r="Y25" s="3737"/>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6"/>
      <c r="M26" s="2710"/>
      <c r="N26" s="2710"/>
      <c r="O26" s="2710"/>
      <c r="P26" s="3822"/>
      <c r="Q26" s="1350"/>
      <c r="R26" s="705"/>
      <c r="S26" s="706"/>
      <c r="T26" s="705"/>
      <c r="U26" s="706"/>
      <c r="V26" s="705"/>
      <c r="W26" s="706"/>
      <c r="X26" s="1353"/>
      <c r="Y26" s="3737"/>
      <c r="Z26" s="1354"/>
      <c r="AA26" s="1351">
        <v>1</v>
      </c>
      <c r="AB26" s="1351">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22"/>
      <c r="Q27" s="1350" t="str">
        <f t="shared" ref="Q27:Q47" si="11">B27</f>
        <v>楼层</v>
      </c>
      <c r="R27" s="705" t="s">
        <v>14</v>
      </c>
      <c r="S27" s="706">
        <f>F27</f>
        <v>100</v>
      </c>
      <c r="T27" s="705" t="s">
        <v>14</v>
      </c>
      <c r="U27" s="706">
        <f>H27</f>
        <v>100</v>
      </c>
      <c r="V27" s="705" t="s">
        <v>14</v>
      </c>
      <c r="W27" s="706">
        <f>J27</f>
        <v>100</v>
      </c>
      <c r="X27" s="1353"/>
      <c r="Y27" s="3737"/>
      <c r="Z27" s="1354" t="str">
        <f>Q27</f>
        <v>楼层</v>
      </c>
      <c r="AA27" s="1351">
        <f t="shared" si="3"/>
        <v>1</v>
      </c>
      <c r="AB27" s="1351">
        <f t="shared" si="4"/>
        <v>1</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822"/>
      <c r="Q28" s="1341" t="str">
        <f t="shared" si="11"/>
        <v>朝向</v>
      </c>
      <c r="R28" s="701" t="s">
        <v>14</v>
      </c>
      <c r="S28" s="702">
        <f>F28</f>
        <v>100</v>
      </c>
      <c r="T28" s="701" t="s">
        <v>14</v>
      </c>
      <c r="U28" s="702">
        <f>H28</f>
        <v>100</v>
      </c>
      <c r="V28" s="701" t="s">
        <v>14</v>
      </c>
      <c r="W28" s="702">
        <f>J28</f>
        <v>100</v>
      </c>
      <c r="X28" s="703"/>
      <c r="Y28" s="373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822"/>
      <c r="Q29" s="1350">
        <f t="shared" si="11"/>
        <v>111</v>
      </c>
      <c r="R29" s="705" t="s">
        <v>14</v>
      </c>
      <c r="S29" s="706">
        <f t="shared" ref="S29:S47" si="12">F29</f>
        <v>100</v>
      </c>
      <c r="T29" s="705" t="s">
        <v>14</v>
      </c>
      <c r="U29" s="706">
        <f t="shared" ref="U29:U47" si="13">H29</f>
        <v>100</v>
      </c>
      <c r="V29" s="705" t="s">
        <v>14</v>
      </c>
      <c r="W29" s="706">
        <f t="shared" ref="W29:W47" si="14">J29</f>
        <v>100</v>
      </c>
      <c r="X29" s="1353"/>
      <c r="Y29" s="373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822"/>
      <c r="Q30" s="1350">
        <f t="shared" si="11"/>
        <v>111</v>
      </c>
      <c r="R30" s="705" t="s">
        <v>14</v>
      </c>
      <c r="S30" s="706">
        <f t="shared" si="12"/>
        <v>100</v>
      </c>
      <c r="T30" s="705" t="s">
        <v>14</v>
      </c>
      <c r="U30" s="706">
        <f t="shared" si="13"/>
        <v>100</v>
      </c>
      <c r="V30" s="705" t="s">
        <v>14</v>
      </c>
      <c r="W30" s="706">
        <f t="shared" si="14"/>
        <v>100</v>
      </c>
      <c r="X30" s="1353"/>
      <c r="Y30" s="373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822"/>
      <c r="Q31" s="1350">
        <f t="shared" si="11"/>
        <v>111</v>
      </c>
      <c r="R31" s="705" t="s">
        <v>14</v>
      </c>
      <c r="S31" s="706">
        <f t="shared" si="12"/>
        <v>100</v>
      </c>
      <c r="T31" s="705" t="s">
        <v>14</v>
      </c>
      <c r="U31" s="706">
        <f t="shared" si="13"/>
        <v>100</v>
      </c>
      <c r="V31" s="705" t="s">
        <v>14</v>
      </c>
      <c r="W31" s="706">
        <f t="shared" si="14"/>
        <v>100</v>
      </c>
      <c r="X31" s="1353"/>
      <c r="Y31" s="373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822"/>
      <c r="Q32" s="1350">
        <f t="shared" si="11"/>
        <v>111</v>
      </c>
      <c r="R32" s="705" t="s">
        <v>14</v>
      </c>
      <c r="S32" s="706">
        <f t="shared" si="12"/>
        <v>100</v>
      </c>
      <c r="T32" s="705" t="s">
        <v>14</v>
      </c>
      <c r="U32" s="706">
        <f t="shared" si="13"/>
        <v>100</v>
      </c>
      <c r="V32" s="705" t="s">
        <v>14</v>
      </c>
      <c r="W32" s="706">
        <f t="shared" si="14"/>
        <v>100</v>
      </c>
      <c r="X32" s="1353"/>
      <c r="Y32" s="3737"/>
      <c r="Z32" s="1354">
        <f t="shared" si="15"/>
        <v>111</v>
      </c>
      <c r="AA32" s="1351">
        <f t="shared" si="3"/>
        <v>1</v>
      </c>
      <c r="AB32" s="1351">
        <f t="shared" si="4"/>
        <v>1</v>
      </c>
      <c r="AC32" s="1960">
        <f t="shared" si="5"/>
        <v>1</v>
      </c>
    </row>
    <row r="33" spans="1:29" ht="15">
      <c r="A33" s="391" t="s">
        <v>1692</v>
      </c>
      <c r="B33" s="63" t="s">
        <v>1815</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6"/>
      <c r="M33" s="2710"/>
      <c r="N33" s="2710"/>
      <c r="O33" s="2710"/>
      <c r="P33" s="3817" t="s">
        <v>1694</v>
      </c>
      <c r="Q33" s="1350" t="str">
        <f t="shared" si="11"/>
        <v>建筑类型</v>
      </c>
      <c r="R33" s="705" t="s">
        <v>14</v>
      </c>
      <c r="S33" s="706">
        <f t="shared" si="12"/>
        <v>100</v>
      </c>
      <c r="T33" s="705" t="s">
        <v>14</v>
      </c>
      <c r="U33" s="706">
        <f t="shared" si="13"/>
        <v>100</v>
      </c>
      <c r="V33" s="705" t="s">
        <v>14</v>
      </c>
      <c r="W33" s="706">
        <f t="shared" si="14"/>
        <v>100</v>
      </c>
      <c r="X33" s="1353"/>
      <c r="Y33" s="3739" t="s">
        <v>1694</v>
      </c>
      <c r="Z33" s="1354" t="str">
        <f t="shared" si="15"/>
        <v>建筑类型</v>
      </c>
      <c r="AA33" s="1351">
        <f t="shared" si="3"/>
        <v>1</v>
      </c>
      <c r="AB33" s="1351">
        <f t="shared" si="4"/>
        <v>1</v>
      </c>
      <c r="AC33" s="1960">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18"/>
      <c r="Q34" s="707" t="str">
        <f t="shared" si="11"/>
        <v>项目建筑规模</v>
      </c>
      <c r="R34" s="708" t="s">
        <v>14</v>
      </c>
      <c r="S34" s="709" t="e">
        <f t="shared" si="12"/>
        <v>#N/A</v>
      </c>
      <c r="T34" s="708" t="s">
        <v>14</v>
      </c>
      <c r="U34" s="709" t="e">
        <f t="shared" si="13"/>
        <v>#N/A</v>
      </c>
      <c r="V34" s="708" t="s">
        <v>14</v>
      </c>
      <c r="W34" s="709" t="e">
        <f t="shared" si="14"/>
        <v>#N/A</v>
      </c>
      <c r="X34" s="710"/>
      <c r="Y34" s="3739"/>
      <c r="Z34" s="711" t="str">
        <f t="shared" si="15"/>
        <v>项目建筑规模</v>
      </c>
      <c r="AA34" s="1351" t="e">
        <f t="shared" si="3"/>
        <v>#N/A</v>
      </c>
      <c r="AB34" s="1351" t="e">
        <f t="shared" si="4"/>
        <v>#N/A</v>
      </c>
      <c r="AC34" s="1960"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18"/>
      <c r="Q35" s="1350" t="str">
        <f t="shared" si="11"/>
        <v>建筑结构</v>
      </c>
      <c r="R35" s="705" t="s">
        <v>14</v>
      </c>
      <c r="S35" s="706">
        <f t="shared" si="12"/>
        <v>100</v>
      </c>
      <c r="T35" s="705" t="s">
        <v>14</v>
      </c>
      <c r="U35" s="706">
        <f t="shared" si="13"/>
        <v>100</v>
      </c>
      <c r="V35" s="705" t="s">
        <v>14</v>
      </c>
      <c r="W35" s="706">
        <f t="shared" si="14"/>
        <v>100</v>
      </c>
      <c r="X35" s="1353"/>
      <c r="Y35" s="3739"/>
      <c r="Z35" s="1354" t="str">
        <f t="shared" si="15"/>
        <v>建筑结构</v>
      </c>
      <c r="AA35" s="1351">
        <f t="shared" si="3"/>
        <v>1</v>
      </c>
      <c r="AB35" s="1351">
        <f t="shared" si="4"/>
        <v>1</v>
      </c>
      <c r="AC35" s="1960">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18"/>
      <c r="Q36" s="1350" t="str">
        <f t="shared" si="11"/>
        <v>公共部分装修</v>
      </c>
      <c r="R36" s="705" t="s">
        <v>14</v>
      </c>
      <c r="S36" s="706">
        <f t="shared" si="12"/>
        <v>100</v>
      </c>
      <c r="T36" s="705" t="s">
        <v>14</v>
      </c>
      <c r="U36" s="706">
        <f t="shared" si="13"/>
        <v>100</v>
      </c>
      <c r="V36" s="705" t="s">
        <v>14</v>
      </c>
      <c r="W36" s="706">
        <f t="shared" si="14"/>
        <v>100</v>
      </c>
      <c r="X36" s="1353"/>
      <c r="Y36" s="3739"/>
      <c r="Z36" s="1354" t="str">
        <f t="shared" si="15"/>
        <v>公共部分装修</v>
      </c>
      <c r="AA36" s="1351">
        <f t="shared" si="3"/>
        <v>1</v>
      </c>
      <c r="AB36" s="1351">
        <f t="shared" si="4"/>
        <v>1</v>
      </c>
      <c r="AC36" s="1960">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18"/>
      <c r="Q37" s="1350" t="str">
        <f t="shared" si="11"/>
        <v>成新度</v>
      </c>
      <c r="R37" s="705" t="s">
        <v>14</v>
      </c>
      <c r="S37" s="706" t="e">
        <f t="shared" si="12"/>
        <v>#N/A</v>
      </c>
      <c r="T37" s="705" t="s">
        <v>14</v>
      </c>
      <c r="U37" s="706" t="e">
        <f t="shared" si="13"/>
        <v>#N/A</v>
      </c>
      <c r="V37" s="705" t="s">
        <v>14</v>
      </c>
      <c r="W37" s="706" t="e">
        <f t="shared" si="14"/>
        <v>#N/A</v>
      </c>
      <c r="X37" s="1353"/>
      <c r="Y37" s="3739"/>
      <c r="Z37" s="1354" t="str">
        <f t="shared" si="15"/>
        <v>成新度</v>
      </c>
      <c r="AA37" s="1351" t="e">
        <f t="shared" si="3"/>
        <v>#N/A</v>
      </c>
      <c r="AB37" s="1351" t="e">
        <f t="shared" si="4"/>
        <v>#N/A</v>
      </c>
      <c r="AC37" s="1960"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18"/>
      <c r="Q38" s="1341"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7">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18" t="s">
        <v>1694</v>
      </c>
      <c r="Q39" s="1350" t="str">
        <f t="shared" si="11"/>
        <v>物业管理</v>
      </c>
      <c r="R39" s="705" t="s">
        <v>14</v>
      </c>
      <c r="S39" s="706">
        <f t="shared" si="12"/>
        <v>100</v>
      </c>
      <c r="T39" s="705" t="s">
        <v>14</v>
      </c>
      <c r="U39" s="706">
        <f t="shared" si="13"/>
        <v>100</v>
      </c>
      <c r="V39" s="705" t="s">
        <v>14</v>
      </c>
      <c r="W39" s="706">
        <f t="shared" si="14"/>
        <v>100</v>
      </c>
      <c r="X39" s="1353"/>
      <c r="Y39" s="3739" t="s">
        <v>1694</v>
      </c>
      <c r="Z39" s="1354" t="str">
        <f t="shared" si="15"/>
        <v>物业管理</v>
      </c>
      <c r="AA39" s="1351">
        <f t="shared" si="3"/>
        <v>1</v>
      </c>
      <c r="AB39" s="1351">
        <f t="shared" si="4"/>
        <v>1</v>
      </c>
      <c r="AC39" s="1960">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18"/>
      <c r="Q40" s="1350" t="str">
        <f t="shared" si="11"/>
        <v>市政基础设施</v>
      </c>
      <c r="R40" s="705" t="s">
        <v>14</v>
      </c>
      <c r="S40" s="706">
        <f t="shared" si="12"/>
        <v>100</v>
      </c>
      <c r="T40" s="705" t="s">
        <v>14</v>
      </c>
      <c r="U40" s="706">
        <f t="shared" si="13"/>
        <v>100</v>
      </c>
      <c r="V40" s="705" t="s">
        <v>14</v>
      </c>
      <c r="W40" s="706">
        <f t="shared" si="14"/>
        <v>100</v>
      </c>
      <c r="X40" s="1353"/>
      <c r="Y40" s="3739"/>
      <c r="Z40" s="1354" t="str">
        <f t="shared" si="15"/>
        <v>市政基础设施</v>
      </c>
      <c r="AA40" s="1351">
        <f t="shared" si="3"/>
        <v>1</v>
      </c>
      <c r="AB40" s="1351">
        <f t="shared" si="4"/>
        <v>1</v>
      </c>
      <c r="AC40" s="1960">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18"/>
      <c r="Q41" s="1350" t="str">
        <f t="shared" si="11"/>
        <v>层高</v>
      </c>
      <c r="R41" s="705" t="s">
        <v>14</v>
      </c>
      <c r="S41" s="706">
        <f t="shared" si="12"/>
        <v>100</v>
      </c>
      <c r="T41" s="705" t="s">
        <v>14</v>
      </c>
      <c r="U41" s="706">
        <f t="shared" si="13"/>
        <v>100</v>
      </c>
      <c r="V41" s="705" t="s">
        <v>14</v>
      </c>
      <c r="W41" s="706">
        <f t="shared" si="14"/>
        <v>100</v>
      </c>
      <c r="X41" s="1353"/>
      <c r="Y41" s="3739"/>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18"/>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1">
        <f t="shared" si="3"/>
        <v>1</v>
      </c>
      <c r="AB42" s="1351">
        <f t="shared" si="4"/>
        <v>1</v>
      </c>
      <c r="AC42" s="1960">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18"/>
      <c r="Q43" s="1350" t="str">
        <f t="shared" si="11"/>
        <v>内部装修</v>
      </c>
      <c r="R43" s="705" t="s">
        <v>14</v>
      </c>
      <c r="S43" s="706">
        <f t="shared" si="12"/>
        <v>100</v>
      </c>
      <c r="T43" s="705" t="s">
        <v>14</v>
      </c>
      <c r="U43" s="706">
        <f t="shared" si="13"/>
        <v>100</v>
      </c>
      <c r="V43" s="705" t="s">
        <v>14</v>
      </c>
      <c r="W43" s="706">
        <f t="shared" si="14"/>
        <v>100</v>
      </c>
      <c r="X43" s="1353"/>
      <c r="Y43" s="3739"/>
      <c r="Z43" s="1354" t="str">
        <f t="shared" si="15"/>
        <v>内部装修</v>
      </c>
      <c r="AA43" s="1351">
        <f t="shared" si="3"/>
        <v>1</v>
      </c>
      <c r="AB43" s="1351">
        <f t="shared" si="4"/>
        <v>1</v>
      </c>
      <c r="AC43" s="1960">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818"/>
      <c r="Q44" s="1350" t="str">
        <f t="shared" si="11"/>
        <v>内部装修维护情况</v>
      </c>
      <c r="R44" s="705" t="s">
        <v>14</v>
      </c>
      <c r="S44" s="706">
        <f t="shared" si="12"/>
        <v>100</v>
      </c>
      <c r="T44" s="705" t="s">
        <v>14</v>
      </c>
      <c r="U44" s="706">
        <f t="shared" si="13"/>
        <v>100</v>
      </c>
      <c r="V44" s="705" t="s">
        <v>14</v>
      </c>
      <c r="W44" s="706">
        <f t="shared" si="14"/>
        <v>100</v>
      </c>
      <c r="X44" s="1353"/>
      <c r="Y44" s="3739"/>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18"/>
      <c r="Q45" s="1341">
        <f t="shared" si="11"/>
        <v>111</v>
      </c>
      <c r="R45" s="701" t="s">
        <v>14</v>
      </c>
      <c r="S45" s="702">
        <f t="shared" si="12"/>
        <v>100</v>
      </c>
      <c r="T45" s="701" t="s">
        <v>14</v>
      </c>
      <c r="U45" s="702">
        <f t="shared" si="13"/>
        <v>100</v>
      </c>
      <c r="V45" s="701" t="s">
        <v>14</v>
      </c>
      <c r="W45" s="702">
        <f t="shared" si="14"/>
        <v>100</v>
      </c>
      <c r="X45" s="703"/>
      <c r="Y45" s="3739"/>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18"/>
      <c r="Q46" s="1350">
        <f t="shared" si="11"/>
        <v>111</v>
      </c>
      <c r="R46" s="705" t="s">
        <v>14</v>
      </c>
      <c r="S46" s="706">
        <f t="shared" si="12"/>
        <v>100</v>
      </c>
      <c r="T46" s="705" t="s">
        <v>14</v>
      </c>
      <c r="U46" s="706">
        <f t="shared" si="13"/>
        <v>100</v>
      </c>
      <c r="V46" s="705" t="s">
        <v>14</v>
      </c>
      <c r="W46" s="706">
        <f t="shared" si="14"/>
        <v>100</v>
      </c>
      <c r="X46" s="1353"/>
      <c r="Y46" s="373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19"/>
      <c r="Q47" s="1350">
        <f t="shared" si="11"/>
        <v>111</v>
      </c>
      <c r="R47" s="705" t="s">
        <v>14</v>
      </c>
      <c r="S47" s="706">
        <f t="shared" si="12"/>
        <v>100</v>
      </c>
      <c r="T47" s="705" t="s">
        <v>14</v>
      </c>
      <c r="U47" s="706">
        <f t="shared" si="13"/>
        <v>100</v>
      </c>
      <c r="V47" s="705" t="s">
        <v>14</v>
      </c>
      <c r="W47" s="706">
        <f t="shared" si="14"/>
        <v>100</v>
      </c>
      <c r="X47" s="1353"/>
      <c r="Y47" s="3820"/>
      <c r="Z47" s="1354">
        <f t="shared" si="15"/>
        <v>111</v>
      </c>
      <c r="AA47" s="1351">
        <f t="shared" si="3"/>
        <v>1</v>
      </c>
      <c r="AB47" s="1351">
        <f t="shared" si="4"/>
        <v>1</v>
      </c>
      <c r="AC47" s="1960">
        <f t="shared" si="5"/>
        <v>1</v>
      </c>
    </row>
    <row r="48" spans="1:29" ht="15">
      <c r="A48" s="430" t="s">
        <v>1706</v>
      </c>
      <c r="B48" s="431"/>
      <c r="C48" s="1153" t="s">
        <v>0</v>
      </c>
      <c r="D48" s="1154"/>
      <c r="E48" s="1155"/>
      <c r="F48" s="1156"/>
      <c r="G48" s="1157"/>
      <c r="H48" s="1158"/>
      <c r="I48" s="1155"/>
      <c r="J48" s="436"/>
      <c r="K48" s="714"/>
      <c r="L48" s="2718"/>
      <c r="M48" s="2710"/>
      <c r="N48" s="2710"/>
      <c r="O48" s="2710"/>
      <c r="P48" s="3734" t="str">
        <f>A48</f>
        <v>成交单价（元/平方米）</v>
      </c>
      <c r="Q48" s="3735"/>
      <c r="R48" s="3816">
        <f>E48</f>
        <v>0</v>
      </c>
      <c r="S48" s="3816"/>
      <c r="T48" s="3816">
        <f>G48</f>
        <v>0</v>
      </c>
      <c r="U48" s="3816"/>
      <c r="V48" s="3816">
        <f>I48</f>
        <v>0</v>
      </c>
      <c r="W48" s="3816"/>
      <c r="X48" s="397"/>
      <c r="Y48" s="712"/>
      <c r="Z48" s="397"/>
      <c r="AA48" s="397"/>
      <c r="AB48" s="397"/>
      <c r="AC48" s="578"/>
    </row>
    <row r="49" spans="1:29" ht="15.75" thickBot="1">
      <c r="A49" s="437" t="s">
        <v>1791</v>
      </c>
      <c r="B49" s="438"/>
      <c r="C49" s="1159" t="e">
        <f>R50</f>
        <v>#DIV/0!</v>
      </c>
      <c r="D49" s="2315" t="s">
        <v>2136</v>
      </c>
      <c r="E49" s="1160" t="e">
        <f>R49</f>
        <v>#DIV/0!</v>
      </c>
      <c r="F49" s="2316"/>
      <c r="G49" s="1159" t="e">
        <f>T49</f>
        <v>#DIV/0!</v>
      </c>
      <c r="H49" s="2316"/>
      <c r="I49" s="1160" t="e">
        <f>V49</f>
        <v>#DIV/0!</v>
      </c>
      <c r="J49" s="2316"/>
      <c r="K49" s="2318">
        <f>F49+H49+J49</f>
        <v>0</v>
      </c>
      <c r="L49" s="2718"/>
      <c r="M49" s="2710"/>
      <c r="N49" s="2710"/>
      <c r="O49" s="2710"/>
      <c r="P49" s="3734" t="str">
        <f>A49</f>
        <v>比较价值（元/平方米）</v>
      </c>
      <c r="Q49" s="3735"/>
      <c r="R49" s="3816" t="e">
        <f>IF(F1="售价",ROUND(PRODUCT(R48,AA7:AA47),0),ROUND(PRODUCT(R48,AA7:AA47),1))</f>
        <v>#DIV/0!</v>
      </c>
      <c r="S49" s="3816"/>
      <c r="T49" s="3816" t="e">
        <f>IF(F1="售价",ROUND(PRODUCT(T48,AB7:AB47),0),ROUND(PRODUCT(T48,AB7:AB47),1))</f>
        <v>#DIV/0!</v>
      </c>
      <c r="U49" s="3816"/>
      <c r="V49" s="3816" t="e">
        <f>IF(F1="售价",ROUND(PRODUCT(V48,AC7:AC47),0),ROUND(PRODUCT(V48,AC7:AC47),1))</f>
        <v>#DIV/0!</v>
      </c>
      <c r="W49" s="3816"/>
      <c r="X49" s="397"/>
      <c r="Y49" s="397"/>
      <c r="Z49" s="397"/>
      <c r="AA49" s="397"/>
      <c r="AB49" s="397"/>
      <c r="AC49" s="578"/>
    </row>
    <row r="50" spans="1:29" ht="15.75" thickBot="1">
      <c r="A50" s="441" t="s">
        <v>1792</v>
      </c>
      <c r="B50" s="442"/>
      <c r="C50" s="1162" t="e">
        <f>R50</f>
        <v>#DIV/0!</v>
      </c>
      <c r="D50" s="1162"/>
      <c r="E50" s="1162"/>
      <c r="F50" s="1162"/>
      <c r="G50" s="1162"/>
      <c r="H50" s="1162"/>
      <c r="I50" s="1162"/>
      <c r="J50" s="443"/>
      <c r="K50" s="715"/>
      <c r="L50" s="2718"/>
      <c r="M50" s="2710"/>
      <c r="N50" s="2710"/>
      <c r="O50" s="2710"/>
      <c r="P50" s="3823" t="str">
        <f>A50</f>
        <v>估价对象XX用房的比较价值（楼面单价，元/平方米）</v>
      </c>
      <c r="Q50" s="3824"/>
      <c r="R50" s="3825" t="e">
        <f>IF(F1="售价",ROUND(IF(D49="简单平均",AVERAGE(R49:V49),R49*F49+T49*H49+V49*J49),0),ROUND(IF(D49="简单平均",AVERAGE(R49:V49),R49*F49+T49*H49+V49*J49),1))</f>
        <v>#DIV/0!</v>
      </c>
      <c r="S50" s="3825"/>
      <c r="T50" s="3825"/>
      <c r="U50" s="3825"/>
      <c r="V50" s="3825"/>
      <c r="W50" s="3825"/>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1461</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127815.41999999985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32" t="s">
        <v>1768</v>
      </c>
      <c r="D4" s="3744"/>
      <c r="E4" s="3745" t="s">
        <v>1769</v>
      </c>
      <c r="F4" s="3746"/>
      <c r="G4" s="3732" t="s">
        <v>1770</v>
      </c>
      <c r="H4" s="3744"/>
      <c r="I4" s="3732" t="s">
        <v>1771</v>
      </c>
      <c r="J4" s="3744"/>
      <c r="K4" s="559" t="s">
        <v>1772</v>
      </c>
      <c r="L4" s="913"/>
      <c r="M4" s="914"/>
      <c r="N4" s="914"/>
      <c r="O4" s="914"/>
      <c r="P4" s="3747" t="s">
        <v>1773</v>
      </c>
      <c r="Q4" s="3748"/>
      <c r="R4" s="3753" t="s">
        <v>1769</v>
      </c>
      <c r="S4" s="3754"/>
      <c r="T4" s="3753" t="s">
        <v>1770</v>
      </c>
      <c r="U4" s="3754"/>
      <c r="V4" s="3740" t="s">
        <v>1771</v>
      </c>
      <c r="W4" s="3740"/>
      <c r="X4" s="1353"/>
      <c r="Y4" s="3753" t="s">
        <v>1773</v>
      </c>
      <c r="Z4" s="3754"/>
      <c r="AA4" s="3741" t="s">
        <v>1769</v>
      </c>
      <c r="AB4" s="3742" t="s">
        <v>1770</v>
      </c>
      <c r="AC4" s="3741" t="s">
        <v>1771</v>
      </c>
    </row>
    <row r="5" spans="1:29" ht="15">
      <c r="A5" s="358"/>
      <c r="B5" s="359"/>
      <c r="C5" s="3761" t="s">
        <v>1671</v>
      </c>
      <c r="D5" s="3762"/>
      <c r="E5" s="3768" t="s">
        <v>1672</v>
      </c>
      <c r="F5" s="3769"/>
      <c r="G5" s="3761" t="s">
        <v>1673</v>
      </c>
      <c r="H5" s="3762"/>
      <c r="I5" s="3761" t="s">
        <v>1674</v>
      </c>
      <c r="J5" s="3762"/>
      <c r="K5" s="559"/>
      <c r="L5" s="913"/>
      <c r="M5" s="914"/>
      <c r="N5" s="914"/>
      <c r="O5" s="914"/>
      <c r="P5" s="3749"/>
      <c r="Q5" s="3750"/>
      <c r="R5" s="3755"/>
      <c r="S5" s="3756"/>
      <c r="T5" s="3755"/>
      <c r="U5" s="3756"/>
      <c r="V5" s="3740"/>
      <c r="W5" s="3740"/>
      <c r="X5" s="1353"/>
      <c r="Y5" s="3755"/>
      <c r="Z5" s="3756"/>
      <c r="AA5" s="3742"/>
      <c r="AB5" s="3742"/>
      <c r="AC5" s="3742"/>
    </row>
    <row r="6" spans="1:29" ht="15.75" thickBot="1">
      <c r="A6" s="360"/>
      <c r="B6" s="361"/>
      <c r="C6" s="3759" t="s">
        <v>1675</v>
      </c>
      <c r="D6" s="3760"/>
      <c r="E6" s="3766" t="s">
        <v>1675</v>
      </c>
      <c r="F6" s="3767"/>
      <c r="G6" s="3759" t="s">
        <v>1675</v>
      </c>
      <c r="H6" s="3760"/>
      <c r="I6" s="3759" t="s">
        <v>1675</v>
      </c>
      <c r="J6" s="3760"/>
      <c r="K6" s="559" t="s">
        <v>1676</v>
      </c>
      <c r="L6" s="913"/>
      <c r="M6" s="914"/>
      <c r="N6" s="914"/>
      <c r="O6" s="914"/>
      <c r="P6" s="3751"/>
      <c r="Q6" s="3752"/>
      <c r="R6" s="3755"/>
      <c r="S6" s="3756"/>
      <c r="T6" s="3757"/>
      <c r="U6" s="3758"/>
      <c r="V6" s="3740"/>
      <c r="W6" s="3740"/>
      <c r="X6" s="1353"/>
      <c r="Y6" s="3757"/>
      <c r="Z6" s="3758"/>
      <c r="AA6" s="3743"/>
      <c r="AB6" s="3743"/>
      <c r="AC6" s="3743"/>
    </row>
    <row r="7" spans="1:29" s="108" customFormat="1" ht="15.75" thickBot="1">
      <c r="A7" s="362" t="s">
        <v>1677</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763" t="s">
        <v>1678</v>
      </c>
      <c r="Q7" s="3765"/>
      <c r="R7" s="701" t="s">
        <v>14</v>
      </c>
      <c r="S7" s="702">
        <f t="shared" ref="S7:S15" si="0">F7</f>
        <v>0</v>
      </c>
      <c r="T7" s="701" t="s">
        <v>14</v>
      </c>
      <c r="U7" s="702">
        <f t="shared" ref="U7:U15" si="1">H7</f>
        <v>0</v>
      </c>
      <c r="V7" s="701" t="s">
        <v>14</v>
      </c>
      <c r="W7" s="702">
        <f t="shared" ref="W7:W15" si="2">J7</f>
        <v>0</v>
      </c>
      <c r="X7" s="703"/>
      <c r="Y7" s="3763" t="s">
        <v>1678</v>
      </c>
      <c r="Z7" s="376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3" t="s">
        <v>1681</v>
      </c>
      <c r="Q8" s="3764"/>
      <c r="R8" s="701" t="s">
        <v>14</v>
      </c>
      <c r="S8" s="702">
        <f t="shared" si="0"/>
        <v>100</v>
      </c>
      <c r="T8" s="701" t="s">
        <v>14</v>
      </c>
      <c r="U8" s="702">
        <f t="shared" si="1"/>
        <v>100</v>
      </c>
      <c r="V8" s="701" t="s">
        <v>14</v>
      </c>
      <c r="W8" s="702">
        <f t="shared" si="2"/>
        <v>100</v>
      </c>
      <c r="X8" s="703"/>
      <c r="Y8" s="3763" t="s">
        <v>1681</v>
      </c>
      <c r="Z8" s="376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1684</v>
      </c>
      <c r="Q9" s="1341" t="str">
        <f t="shared" ref="Q9:Q15" si="6">B9</f>
        <v>用途</v>
      </c>
      <c r="R9" s="701" t="s">
        <v>14</v>
      </c>
      <c r="S9" s="702">
        <f t="shared" si="0"/>
        <v>100</v>
      </c>
      <c r="T9" s="701" t="s">
        <v>14</v>
      </c>
      <c r="U9" s="702">
        <f t="shared" si="1"/>
        <v>100</v>
      </c>
      <c r="V9" s="701" t="s">
        <v>14</v>
      </c>
      <c r="W9" s="702">
        <f t="shared" si="2"/>
        <v>100</v>
      </c>
      <c r="X9" s="703"/>
      <c r="Y9" s="3632"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35"/>
      <c r="Q10" s="1341"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1"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35"/>
      <c r="Q12" s="1341">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35"/>
      <c r="Q13" s="1341">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35"/>
      <c r="Q14" s="1341">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6" t="s">
        <v>1689</v>
      </c>
      <c r="Q15" s="1350" t="str">
        <f t="shared" si="6"/>
        <v>产业集聚程度</v>
      </c>
      <c r="R15" s="705" t="s">
        <v>14</v>
      </c>
      <c r="S15" s="706">
        <f t="shared" si="0"/>
        <v>100</v>
      </c>
      <c r="T15" s="705" t="s">
        <v>14</v>
      </c>
      <c r="U15" s="706">
        <f t="shared" si="1"/>
        <v>100</v>
      </c>
      <c r="V15" s="705" t="s">
        <v>14</v>
      </c>
      <c r="W15" s="706">
        <f t="shared" si="2"/>
        <v>100</v>
      </c>
      <c r="X15" s="1353"/>
      <c r="Y15" s="3736"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37"/>
      <c r="Q16" s="1350"/>
      <c r="R16" s="705"/>
      <c r="S16" s="706"/>
      <c r="T16" s="705"/>
      <c r="U16" s="706"/>
      <c r="V16" s="705"/>
      <c r="W16" s="706"/>
      <c r="X16" s="1353"/>
      <c r="Y16" s="3737"/>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7"/>
      <c r="Q17" s="1350" t="str">
        <f>B17</f>
        <v>交通便捷度</v>
      </c>
      <c r="R17" s="705" t="s">
        <v>14</v>
      </c>
      <c r="S17" s="706">
        <f>F17</f>
        <v>100</v>
      </c>
      <c r="T17" s="705" t="s">
        <v>14</v>
      </c>
      <c r="U17" s="706">
        <f>H17</f>
        <v>100</v>
      </c>
      <c r="V17" s="705" t="s">
        <v>14</v>
      </c>
      <c r="W17" s="706">
        <f>J17</f>
        <v>100</v>
      </c>
      <c r="X17" s="1353"/>
      <c r="Y17" s="373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737"/>
      <c r="Q18" s="1350"/>
      <c r="R18" s="705"/>
      <c r="S18" s="706"/>
      <c r="T18" s="705"/>
      <c r="U18" s="706"/>
      <c r="V18" s="705"/>
      <c r="W18" s="706"/>
      <c r="X18" s="1353"/>
      <c r="Y18" s="3737"/>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7"/>
      <c r="Q19" s="1350" t="str">
        <f>B19</f>
        <v>公共配套设施</v>
      </c>
      <c r="R19" s="705" t="s">
        <v>14</v>
      </c>
      <c r="S19" s="706">
        <f>F19</f>
        <v>100</v>
      </c>
      <c r="T19" s="705" t="s">
        <v>14</v>
      </c>
      <c r="U19" s="706">
        <f>H19</f>
        <v>100</v>
      </c>
      <c r="V19" s="705" t="s">
        <v>14</v>
      </c>
      <c r="W19" s="706">
        <f>J19</f>
        <v>100</v>
      </c>
      <c r="X19" s="1353"/>
      <c r="Y19" s="373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737"/>
      <c r="Q20" s="1350"/>
      <c r="R20" s="705"/>
      <c r="S20" s="706"/>
      <c r="T20" s="705"/>
      <c r="U20" s="706"/>
      <c r="V20" s="705"/>
      <c r="W20" s="706"/>
      <c r="X20" s="1353"/>
      <c r="Y20" s="3737"/>
      <c r="Z20" s="1354"/>
      <c r="AA20" s="1351">
        <v>1</v>
      </c>
      <c r="AB20" s="1351">
        <v>1</v>
      </c>
      <c r="AC20" s="1351">
        <v>1</v>
      </c>
    </row>
    <row r="21" spans="1:29" ht="28.5">
      <c r="A21" s="379"/>
      <c r="B21" s="1130"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7"/>
      <c r="Q21" s="1350" t="str">
        <f>B21</f>
        <v>基础设施水平</v>
      </c>
      <c r="R21" s="705" t="s">
        <v>14</v>
      </c>
      <c r="S21" s="706">
        <f>F21</f>
        <v>100</v>
      </c>
      <c r="T21" s="705" t="s">
        <v>14</v>
      </c>
      <c r="U21" s="706">
        <f>H21</f>
        <v>100</v>
      </c>
      <c r="V21" s="705" t="s">
        <v>14</v>
      </c>
      <c r="W21" s="706">
        <f>J21</f>
        <v>100</v>
      </c>
      <c r="X21" s="1353"/>
      <c r="Y21" s="373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737"/>
      <c r="Q22" s="1350"/>
      <c r="R22" s="705"/>
      <c r="S22" s="706"/>
      <c r="T22" s="705"/>
      <c r="U22" s="706"/>
      <c r="V22" s="705"/>
      <c r="W22" s="706"/>
      <c r="X22" s="1353"/>
      <c r="Y22" s="3737"/>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7"/>
      <c r="Q23" s="1350" t="str">
        <f>B23</f>
        <v>环境质量</v>
      </c>
      <c r="R23" s="705" t="s">
        <v>14</v>
      </c>
      <c r="S23" s="706">
        <f>F23</f>
        <v>100</v>
      </c>
      <c r="T23" s="705" t="s">
        <v>14</v>
      </c>
      <c r="U23" s="706">
        <f>H23</f>
        <v>100</v>
      </c>
      <c r="V23" s="705" t="s">
        <v>14</v>
      </c>
      <c r="W23" s="706">
        <f>J23</f>
        <v>100</v>
      </c>
      <c r="X23" s="1353"/>
      <c r="Y23" s="3737"/>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737"/>
      <c r="Q24" s="1350"/>
      <c r="R24" s="705"/>
      <c r="S24" s="706"/>
      <c r="T24" s="705"/>
      <c r="U24" s="706"/>
      <c r="V24" s="705"/>
      <c r="W24" s="706"/>
      <c r="X24" s="1353"/>
      <c r="Y24" s="3737"/>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7"/>
      <c r="Q25" s="1350">
        <f>B25</f>
        <v>111</v>
      </c>
      <c r="R25" s="705" t="s">
        <v>14</v>
      </c>
      <c r="S25" s="706">
        <f>F25</f>
        <v>100</v>
      </c>
      <c r="T25" s="705" t="s">
        <v>14</v>
      </c>
      <c r="U25" s="706">
        <f>H25</f>
        <v>100</v>
      </c>
      <c r="V25" s="705" t="s">
        <v>14</v>
      </c>
      <c r="W25" s="706">
        <f>J25</f>
        <v>100</v>
      </c>
      <c r="X25" s="1353"/>
      <c r="Y25" s="3737"/>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7"/>
      <c r="Q26" s="1350">
        <f t="shared" ref="Q26:Q40" si="11">B26</f>
        <v>111</v>
      </c>
      <c r="R26" s="705" t="s">
        <v>14</v>
      </c>
      <c r="S26" s="706">
        <f>F26</f>
        <v>100</v>
      </c>
      <c r="T26" s="705" t="s">
        <v>14</v>
      </c>
      <c r="U26" s="706">
        <f>H26</f>
        <v>100</v>
      </c>
      <c r="V26" s="705" t="s">
        <v>14</v>
      </c>
      <c r="W26" s="706">
        <f>J26</f>
        <v>100</v>
      </c>
      <c r="X26" s="1353"/>
      <c r="Y26" s="3737"/>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7"/>
      <c r="Q27" s="1341">
        <f t="shared" si="11"/>
        <v>111</v>
      </c>
      <c r="R27" s="701" t="s">
        <v>14</v>
      </c>
      <c r="S27" s="702">
        <f>F27</f>
        <v>100</v>
      </c>
      <c r="T27" s="701" t="s">
        <v>14</v>
      </c>
      <c r="U27" s="702">
        <f>H27</f>
        <v>100</v>
      </c>
      <c r="V27" s="701" t="s">
        <v>14</v>
      </c>
      <c r="W27" s="702">
        <f>J27</f>
        <v>100</v>
      </c>
      <c r="X27" s="703"/>
      <c r="Y27" s="3737"/>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7"/>
      <c r="Q28" s="1350">
        <f t="shared" si="11"/>
        <v>111</v>
      </c>
      <c r="R28" s="705" t="s">
        <v>14</v>
      </c>
      <c r="S28" s="706">
        <f t="shared" ref="S28:S40" si="12">F28</f>
        <v>100</v>
      </c>
      <c r="T28" s="705" t="s">
        <v>14</v>
      </c>
      <c r="U28" s="706">
        <f t="shared" ref="U28:U40" si="13">H28</f>
        <v>100</v>
      </c>
      <c r="V28" s="705" t="s">
        <v>14</v>
      </c>
      <c r="W28" s="706">
        <f t="shared" ref="W28:W40" si="14">J28</f>
        <v>100</v>
      </c>
      <c r="X28" s="1353"/>
      <c r="Y28" s="3737"/>
      <c r="Z28" s="1354">
        <f t="shared" ref="Z28:Z40" si="15">Q28</f>
        <v>111</v>
      </c>
      <c r="AA28" s="1351">
        <f t="shared" si="3"/>
        <v>1</v>
      </c>
      <c r="AB28" s="1351">
        <f t="shared" si="4"/>
        <v>1</v>
      </c>
      <c r="AC28" s="1351">
        <f t="shared" si="5"/>
        <v>1</v>
      </c>
    </row>
    <row r="29" spans="1:29" ht="27.7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38" t="s">
        <v>1694</v>
      </c>
      <c r="Q29" s="1350" t="str">
        <f t="shared" si="11"/>
        <v>建筑类型</v>
      </c>
      <c r="R29" s="705" t="s">
        <v>14</v>
      </c>
      <c r="S29" s="706">
        <f t="shared" si="12"/>
        <v>100</v>
      </c>
      <c r="T29" s="705" t="s">
        <v>14</v>
      </c>
      <c r="U29" s="706">
        <f t="shared" si="13"/>
        <v>100</v>
      </c>
      <c r="V29" s="705" t="s">
        <v>14</v>
      </c>
      <c r="W29" s="706">
        <f t="shared" si="14"/>
        <v>100</v>
      </c>
      <c r="X29" s="1353"/>
      <c r="Y29" s="3739"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0" t="str">
        <f t="shared" si="11"/>
        <v>建筑结构</v>
      </c>
      <c r="R31" s="705" t="s">
        <v>14</v>
      </c>
      <c r="S31" s="706">
        <f t="shared" si="12"/>
        <v>100</v>
      </c>
      <c r="T31" s="705" t="s">
        <v>14</v>
      </c>
      <c r="U31" s="706">
        <f t="shared" si="13"/>
        <v>100</v>
      </c>
      <c r="V31" s="705" t="s">
        <v>14</v>
      </c>
      <c r="W31" s="706">
        <f t="shared" si="14"/>
        <v>100</v>
      </c>
      <c r="X31" s="1353"/>
      <c r="Y31" s="3739"/>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0" t="str">
        <f t="shared" si="11"/>
        <v>公共部分装修</v>
      </c>
      <c r="R32" s="705" t="s">
        <v>14</v>
      </c>
      <c r="S32" s="706">
        <f t="shared" si="12"/>
        <v>100</v>
      </c>
      <c r="T32" s="705" t="s">
        <v>14</v>
      </c>
      <c r="U32" s="706">
        <f t="shared" si="13"/>
        <v>100</v>
      </c>
      <c r="V32" s="705" t="s">
        <v>14</v>
      </c>
      <c r="W32" s="706">
        <f t="shared" si="14"/>
        <v>100</v>
      </c>
      <c r="X32" s="1353"/>
      <c r="Y32" s="3739"/>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0" t="str">
        <f t="shared" si="11"/>
        <v>成新度</v>
      </c>
      <c r="R33" s="705" t="s">
        <v>14</v>
      </c>
      <c r="S33" s="706" t="e">
        <f t="shared" si="12"/>
        <v>#N/A</v>
      </c>
      <c r="T33" s="705" t="s">
        <v>14</v>
      </c>
      <c r="U33" s="706" t="e">
        <f t="shared" si="13"/>
        <v>#N/A</v>
      </c>
      <c r="V33" s="705" t="s">
        <v>14</v>
      </c>
      <c r="W33" s="706" t="e">
        <f t="shared" si="14"/>
        <v>#N/A</v>
      </c>
      <c r="X33" s="1353"/>
      <c r="Y33" s="3739"/>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1"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1694</v>
      </c>
      <c r="Q35" s="1350" t="str">
        <f t="shared" si="11"/>
        <v>市政基础设施</v>
      </c>
      <c r="R35" s="705" t="s">
        <v>14</v>
      </c>
      <c r="S35" s="706">
        <f t="shared" si="12"/>
        <v>100</v>
      </c>
      <c r="T35" s="705" t="s">
        <v>14</v>
      </c>
      <c r="U35" s="706">
        <f t="shared" si="13"/>
        <v>100</v>
      </c>
      <c r="V35" s="705" t="s">
        <v>14</v>
      </c>
      <c r="W35" s="706">
        <f t="shared" si="14"/>
        <v>100</v>
      </c>
      <c r="X35" s="1353"/>
      <c r="Y35" s="3739"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0" t="str">
        <f t="shared" si="11"/>
        <v>内部装修</v>
      </c>
      <c r="R36" s="705" t="s">
        <v>14</v>
      </c>
      <c r="S36" s="706">
        <f t="shared" si="12"/>
        <v>100</v>
      </c>
      <c r="T36" s="705" t="s">
        <v>14</v>
      </c>
      <c r="U36" s="706">
        <f t="shared" si="13"/>
        <v>100</v>
      </c>
      <c r="V36" s="705" t="s">
        <v>14</v>
      </c>
      <c r="W36" s="706">
        <f t="shared" si="14"/>
        <v>100</v>
      </c>
      <c r="X36" s="1353"/>
      <c r="Y36" s="3739"/>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0" t="str">
        <f t="shared" si="11"/>
        <v>内部装修状况</v>
      </c>
      <c r="R37" s="705" t="s">
        <v>14</v>
      </c>
      <c r="S37" s="706">
        <f t="shared" si="12"/>
        <v>100</v>
      </c>
      <c r="T37" s="705" t="s">
        <v>14</v>
      </c>
      <c r="U37" s="706">
        <f t="shared" si="13"/>
        <v>100</v>
      </c>
      <c r="V37" s="705" t="s">
        <v>14</v>
      </c>
      <c r="W37" s="706">
        <f t="shared" si="14"/>
        <v>100</v>
      </c>
      <c r="X37" s="1353"/>
      <c r="Y37" s="3739"/>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0">
        <f t="shared" si="11"/>
        <v>111</v>
      </c>
      <c r="R39" s="705" t="s">
        <v>14</v>
      </c>
      <c r="S39" s="706">
        <f t="shared" si="12"/>
        <v>100</v>
      </c>
      <c r="T39" s="705" t="s">
        <v>14</v>
      </c>
      <c r="U39" s="706">
        <f t="shared" si="13"/>
        <v>100</v>
      </c>
      <c r="V39" s="705" t="s">
        <v>14</v>
      </c>
      <c r="W39" s="706">
        <f t="shared" si="14"/>
        <v>100</v>
      </c>
      <c r="X39" s="1353"/>
      <c r="Y39" s="373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0"/>
      <c r="Q40" s="1350">
        <f t="shared" si="11"/>
        <v>111</v>
      </c>
      <c r="R40" s="705" t="s">
        <v>14</v>
      </c>
      <c r="S40" s="706">
        <f t="shared" si="12"/>
        <v>100</v>
      </c>
      <c r="T40" s="705" t="s">
        <v>14</v>
      </c>
      <c r="U40" s="706">
        <f t="shared" si="13"/>
        <v>100</v>
      </c>
      <c r="V40" s="705" t="s">
        <v>14</v>
      </c>
      <c r="W40" s="706">
        <f t="shared" si="14"/>
        <v>100</v>
      </c>
      <c r="X40" s="1353"/>
      <c r="Y40" s="3820"/>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4"/>
      <c r="L41" s="926"/>
      <c r="M41" s="927"/>
      <c r="N41" s="914"/>
      <c r="O41" s="927"/>
      <c r="P41" s="3735" t="str">
        <f>A41</f>
        <v>成交单价（元/平方米）</v>
      </c>
      <c r="Q41" s="3735"/>
      <c r="R41" s="3816">
        <f>E41</f>
        <v>0</v>
      </c>
      <c r="S41" s="3816"/>
      <c r="T41" s="3816">
        <f>G41</f>
        <v>0</v>
      </c>
      <c r="U41" s="3816"/>
      <c r="V41" s="3816">
        <f>I41</f>
        <v>0</v>
      </c>
      <c r="W41" s="3816"/>
      <c r="X41" s="690"/>
      <c r="Y41" s="712"/>
      <c r="Z41" s="690"/>
      <c r="AA41" s="690"/>
      <c r="AB41" s="690"/>
      <c r="AC41" s="690"/>
    </row>
    <row r="42" spans="1:29" ht="15.75" thickBot="1">
      <c r="A42" s="437" t="s">
        <v>1791</v>
      </c>
      <c r="B42" s="438"/>
      <c r="C42" s="1159" t="e">
        <f>R43</f>
        <v>#DIV/0!</v>
      </c>
      <c r="D42" s="2315" t="s">
        <v>2136</v>
      </c>
      <c r="E42" s="1160" t="e">
        <f>R42</f>
        <v>#DIV/0!</v>
      </c>
      <c r="F42" s="2316"/>
      <c r="G42" s="1159" t="e">
        <f>T42</f>
        <v>#DIV/0!</v>
      </c>
      <c r="H42" s="2316"/>
      <c r="I42" s="1160" t="e">
        <f>V42</f>
        <v>#DIV/0!</v>
      </c>
      <c r="J42" s="2316"/>
      <c r="K42" s="2318">
        <f>F42+H42+J42</f>
        <v>0</v>
      </c>
      <c r="L42" s="926"/>
      <c r="M42" s="927"/>
      <c r="N42" s="914"/>
      <c r="O42" s="927"/>
      <c r="P42" s="3735" t="str">
        <f>A42</f>
        <v>比较价值（元/平方米）</v>
      </c>
      <c r="Q42" s="3735"/>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690"/>
      <c r="Y42" s="690"/>
      <c r="Z42" s="690"/>
      <c r="AA42" s="690"/>
      <c r="AB42" s="690"/>
      <c r="AC42" s="690"/>
    </row>
    <row r="43" spans="1:29" ht="15.75" thickBot="1">
      <c r="A43" s="441" t="s">
        <v>1792</v>
      </c>
      <c r="B43" s="442"/>
      <c r="C43" s="1162" t="e">
        <f>R43</f>
        <v>#DIV/0!</v>
      </c>
      <c r="D43" s="1162"/>
      <c r="E43" s="1162"/>
      <c r="F43" s="1162"/>
      <c r="G43" s="1162"/>
      <c r="H43" s="1162"/>
      <c r="I43" s="1162"/>
      <c r="J43" s="1162"/>
      <c r="K43" s="715"/>
      <c r="L43" s="926"/>
      <c r="M43" s="927"/>
      <c r="N43" s="927"/>
      <c r="O43" s="927"/>
      <c r="P43" s="3729" t="str">
        <f>A43</f>
        <v>估价对象XX用房的比较价值（楼面单价，元/平方米）</v>
      </c>
      <c r="Q43" s="3730"/>
      <c r="R43" s="3815" t="e">
        <f>IF(F1="售价",ROUND(IF(D42="简单平均",AVERAGE(R42:V42),R42*F42+T42*H42+V42*J42),0),ROUND(IF(D42="简单平均",AVERAGE(R42:V42),R42*F42+T42*H42+V42*J42),1))</f>
        <v>#DIV/0!</v>
      </c>
      <c r="S43" s="3815"/>
      <c r="T43" s="3815"/>
      <c r="U43" s="3815"/>
      <c r="V43" s="3815"/>
      <c r="W43" s="381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3324</v>
      </c>
      <c r="C1" s="1222" t="s">
        <v>1660</v>
      </c>
      <c r="D1" s="1223"/>
      <c r="E1" s="3427"/>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1461</v>
      </c>
      <c r="F2" s="1881"/>
      <c r="G2" s="908"/>
      <c r="H2" s="908"/>
      <c r="I2" s="908"/>
      <c r="J2" s="908"/>
      <c r="K2" s="910"/>
      <c r="L2" s="2728"/>
      <c r="M2" s="2729"/>
      <c r="N2" s="2729"/>
      <c r="O2" s="2729"/>
      <c r="P2" s="1164"/>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4"/>
      <c r="Q3" s="699"/>
      <c r="R3" s="699"/>
      <c r="S3" s="699"/>
      <c r="T3" s="699"/>
      <c r="U3" s="699"/>
      <c r="V3" s="699"/>
      <c r="W3" s="699"/>
      <c r="X3" s="699"/>
      <c r="Y3" s="699"/>
      <c r="Z3" s="699"/>
      <c r="AA3" s="699"/>
      <c r="AB3" s="716"/>
      <c r="AC3" s="713"/>
    </row>
    <row r="4" spans="1:29" ht="15">
      <c r="A4" s="355" t="s">
        <v>1767</v>
      </c>
      <c r="B4" s="356"/>
      <c r="C4" s="3732" t="s">
        <v>1768</v>
      </c>
      <c r="D4" s="3744"/>
      <c r="E4" s="3745" t="s">
        <v>1769</v>
      </c>
      <c r="F4" s="3746"/>
      <c r="G4" s="3732" t="s">
        <v>1770</v>
      </c>
      <c r="H4" s="3744"/>
      <c r="I4" s="3732" t="s">
        <v>1771</v>
      </c>
      <c r="J4" s="3744"/>
      <c r="K4" s="559" t="s">
        <v>1772</v>
      </c>
      <c r="L4" s="2709"/>
      <c r="M4" s="2710"/>
      <c r="N4" s="2710"/>
      <c r="O4" s="2710"/>
      <c r="P4" s="3747" t="s">
        <v>1773</v>
      </c>
      <c r="Q4" s="3748"/>
      <c r="R4" s="3753" t="s">
        <v>1769</v>
      </c>
      <c r="S4" s="3754"/>
      <c r="T4" s="3753" t="s">
        <v>1770</v>
      </c>
      <c r="U4" s="3754"/>
      <c r="V4" s="3740" t="s">
        <v>1771</v>
      </c>
      <c r="W4" s="3740"/>
      <c r="X4" s="1353"/>
      <c r="Y4" s="3753" t="s">
        <v>1773</v>
      </c>
      <c r="Z4" s="3754"/>
      <c r="AA4" s="3741" t="s">
        <v>1769</v>
      </c>
      <c r="AB4" s="3742" t="s">
        <v>1770</v>
      </c>
      <c r="AC4" s="3741" t="s">
        <v>1771</v>
      </c>
    </row>
    <row r="5" spans="1:29" ht="15">
      <c r="A5" s="358"/>
      <c r="B5" s="359"/>
      <c r="C5" s="3761" t="s">
        <v>1671</v>
      </c>
      <c r="D5" s="3762"/>
      <c r="E5" s="3768" t="s">
        <v>1672</v>
      </c>
      <c r="F5" s="3769"/>
      <c r="G5" s="3761" t="s">
        <v>1673</v>
      </c>
      <c r="H5" s="3762"/>
      <c r="I5" s="3761" t="s">
        <v>1674</v>
      </c>
      <c r="J5" s="3762"/>
      <c r="K5" s="559"/>
      <c r="L5" s="2709"/>
      <c r="M5" s="2710"/>
      <c r="N5" s="2710"/>
      <c r="O5" s="2710"/>
      <c r="P5" s="3749"/>
      <c r="Q5" s="3750"/>
      <c r="R5" s="3755"/>
      <c r="S5" s="3756"/>
      <c r="T5" s="3755"/>
      <c r="U5" s="3756"/>
      <c r="V5" s="3740"/>
      <c r="W5" s="3740"/>
      <c r="X5" s="1353"/>
      <c r="Y5" s="3755"/>
      <c r="Z5" s="3756"/>
      <c r="AA5" s="3742"/>
      <c r="AB5" s="3742"/>
      <c r="AC5" s="3742"/>
    </row>
    <row r="6" spans="1:29" ht="15.75" thickBot="1">
      <c r="A6" s="360"/>
      <c r="B6" s="361"/>
      <c r="C6" s="3759" t="s">
        <v>1675</v>
      </c>
      <c r="D6" s="3760"/>
      <c r="E6" s="3766" t="s">
        <v>1675</v>
      </c>
      <c r="F6" s="3767"/>
      <c r="G6" s="3759" t="s">
        <v>1675</v>
      </c>
      <c r="H6" s="3760"/>
      <c r="I6" s="3759" t="s">
        <v>1675</v>
      </c>
      <c r="J6" s="3760"/>
      <c r="K6" s="559" t="s">
        <v>1676</v>
      </c>
      <c r="L6" s="2709"/>
      <c r="M6" s="2710"/>
      <c r="N6" s="2710"/>
      <c r="O6" s="2710"/>
      <c r="P6" s="3751"/>
      <c r="Q6" s="3752"/>
      <c r="R6" s="3755"/>
      <c r="S6" s="3756"/>
      <c r="T6" s="3757"/>
      <c r="U6" s="3758"/>
      <c r="V6" s="3740"/>
      <c r="W6" s="3740"/>
      <c r="X6" s="1353"/>
      <c r="Y6" s="3757"/>
      <c r="Z6" s="3758"/>
      <c r="AA6" s="3743"/>
      <c r="AB6" s="3743"/>
      <c r="AC6" s="3743"/>
    </row>
    <row r="7" spans="1:29" s="108" customFormat="1" ht="15.75" thickBot="1">
      <c r="A7" s="362" t="s">
        <v>1677</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63" t="s">
        <v>1678</v>
      </c>
      <c r="Q7" s="3765"/>
      <c r="R7" s="701" t="s">
        <v>14</v>
      </c>
      <c r="S7" s="702">
        <f t="shared" ref="S7:S14" si="0">F7</f>
        <v>0</v>
      </c>
      <c r="T7" s="701" t="s">
        <v>14</v>
      </c>
      <c r="U7" s="702">
        <f t="shared" ref="U7:U14" si="1">H7</f>
        <v>0</v>
      </c>
      <c r="V7" s="701" t="s">
        <v>14</v>
      </c>
      <c r="W7" s="702">
        <f t="shared" ref="W7:W14" si="2">J7</f>
        <v>0</v>
      </c>
      <c r="X7" s="703"/>
      <c r="Y7" s="3763" t="s">
        <v>1678</v>
      </c>
      <c r="Z7" s="376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63" t="s">
        <v>1681</v>
      </c>
      <c r="Q8" s="3764"/>
      <c r="R8" s="701" t="s">
        <v>14</v>
      </c>
      <c r="S8" s="702">
        <f t="shared" si="0"/>
        <v>100</v>
      </c>
      <c r="T8" s="701" t="s">
        <v>14</v>
      </c>
      <c r="U8" s="702">
        <f t="shared" si="1"/>
        <v>100</v>
      </c>
      <c r="V8" s="701" t="s">
        <v>14</v>
      </c>
      <c r="W8" s="702">
        <f t="shared" si="2"/>
        <v>100</v>
      </c>
      <c r="X8" s="703"/>
      <c r="Y8" s="3763" t="s">
        <v>1681</v>
      </c>
      <c r="Z8" s="376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5" t="s">
        <v>1684</v>
      </c>
      <c r="Q9" s="1341" t="str">
        <f t="shared" ref="Q9:Q14" si="6">B9</f>
        <v>用途</v>
      </c>
      <c r="R9" s="701" t="s">
        <v>14</v>
      </c>
      <c r="S9" s="702">
        <f t="shared" si="0"/>
        <v>100</v>
      </c>
      <c r="T9" s="701" t="s">
        <v>14</v>
      </c>
      <c r="U9" s="702">
        <f t="shared" si="1"/>
        <v>100</v>
      </c>
      <c r="V9" s="701" t="s">
        <v>14</v>
      </c>
      <c r="W9" s="702">
        <f t="shared" si="2"/>
        <v>100</v>
      </c>
      <c r="X9" s="703"/>
      <c r="Y9" s="3632"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35"/>
      <c r="Q10" s="1341"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5"/>
      <c r="Q11" s="1341">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5"/>
      <c r="Q12" s="1341">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5"/>
      <c r="Q13" s="1341">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6" t="s">
        <v>1689</v>
      </c>
      <c r="Q14" s="1350" t="str">
        <f t="shared" si="6"/>
        <v>交通便捷度</v>
      </c>
      <c r="R14" s="705" t="s">
        <v>14</v>
      </c>
      <c r="S14" s="706">
        <f t="shared" si="0"/>
        <v>100</v>
      </c>
      <c r="T14" s="705" t="s">
        <v>14</v>
      </c>
      <c r="U14" s="706">
        <f t="shared" si="1"/>
        <v>100</v>
      </c>
      <c r="V14" s="705" t="s">
        <v>14</v>
      </c>
      <c r="W14" s="706">
        <f t="shared" si="2"/>
        <v>100</v>
      </c>
      <c r="X14" s="1353"/>
      <c r="Y14" s="3736"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37"/>
      <c r="Q15" s="1350"/>
      <c r="R15" s="705"/>
      <c r="S15" s="706"/>
      <c r="T15" s="705"/>
      <c r="U15" s="706"/>
      <c r="V15" s="705"/>
      <c r="W15" s="706"/>
      <c r="X15" s="1353"/>
      <c r="Y15" s="3737"/>
      <c r="Z15" s="1354"/>
      <c r="AA15" s="1351">
        <v>1</v>
      </c>
      <c r="AB15" s="1351">
        <v>1</v>
      </c>
      <c r="AC15" s="1351">
        <v>1</v>
      </c>
    </row>
    <row r="16" spans="1:29" ht="15">
      <c r="A16" s="358"/>
      <c r="B16" s="579"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37"/>
      <c r="Q16" s="1350" t="str">
        <f>B16</f>
        <v>公共配套设施</v>
      </c>
      <c r="R16" s="705" t="s">
        <v>14</v>
      </c>
      <c r="S16" s="706">
        <f>F16</f>
        <v>100</v>
      </c>
      <c r="T16" s="705" t="s">
        <v>14</v>
      </c>
      <c r="U16" s="706">
        <f>H16</f>
        <v>100</v>
      </c>
      <c r="V16" s="705" t="s">
        <v>14</v>
      </c>
      <c r="W16" s="706">
        <f>J16</f>
        <v>100</v>
      </c>
      <c r="X16" s="1353"/>
      <c r="Y16" s="373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37"/>
      <c r="Q17" s="1350"/>
      <c r="R17" s="705"/>
      <c r="S17" s="706"/>
      <c r="T17" s="705"/>
      <c r="U17" s="706"/>
      <c r="V17" s="705"/>
      <c r="W17" s="706"/>
      <c r="X17" s="1353"/>
      <c r="Y17" s="3737"/>
      <c r="Z17" s="1354"/>
      <c r="AA17" s="1351">
        <v>1</v>
      </c>
      <c r="AB17" s="1351">
        <v>1</v>
      </c>
      <c r="AC17" s="1351">
        <v>1</v>
      </c>
    </row>
    <row r="18" spans="1:29" ht="15">
      <c r="A18" s="358"/>
      <c r="B18" s="581"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37"/>
      <c r="Q18" s="1350" t="str">
        <f>B18</f>
        <v>基础设施水平</v>
      </c>
      <c r="R18" s="705" t="s">
        <v>14</v>
      </c>
      <c r="S18" s="706">
        <f>F18</f>
        <v>100</v>
      </c>
      <c r="T18" s="705" t="s">
        <v>14</v>
      </c>
      <c r="U18" s="706">
        <f>H18</f>
        <v>100</v>
      </c>
      <c r="V18" s="705" t="s">
        <v>14</v>
      </c>
      <c r="W18" s="706">
        <f>J18</f>
        <v>100</v>
      </c>
      <c r="X18" s="1353"/>
      <c r="Y18" s="373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6"/>
      <c r="M19" s="2710"/>
      <c r="N19" s="2710"/>
      <c r="O19" s="2710"/>
      <c r="P19" s="3737"/>
      <c r="Q19" s="1350"/>
      <c r="R19" s="705"/>
      <c r="S19" s="706"/>
      <c r="T19" s="705"/>
      <c r="U19" s="706"/>
      <c r="V19" s="705"/>
      <c r="W19" s="706"/>
      <c r="X19" s="1353"/>
      <c r="Y19" s="3737"/>
      <c r="Z19" s="1354"/>
      <c r="AA19" s="1351">
        <v>1</v>
      </c>
      <c r="AB19" s="1351">
        <v>1</v>
      </c>
      <c r="AC19" s="1351">
        <v>1</v>
      </c>
    </row>
    <row r="20" spans="1:29" ht="15">
      <c r="A20" s="358"/>
      <c r="B20" s="579"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37"/>
      <c r="Q20" s="1350" t="str">
        <f>B20</f>
        <v>自然及人文环境</v>
      </c>
      <c r="R20" s="705" t="s">
        <v>14</v>
      </c>
      <c r="S20" s="706">
        <f>F20</f>
        <v>100</v>
      </c>
      <c r="T20" s="705" t="s">
        <v>14</v>
      </c>
      <c r="U20" s="706">
        <f>H20</f>
        <v>100</v>
      </c>
      <c r="V20" s="705" t="s">
        <v>14</v>
      </c>
      <c r="W20" s="706">
        <f>J20</f>
        <v>100</v>
      </c>
      <c r="X20" s="1353"/>
      <c r="Y20" s="373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37"/>
      <c r="Q21" s="1350"/>
      <c r="R21" s="705"/>
      <c r="S21" s="706"/>
      <c r="T21" s="705"/>
      <c r="U21" s="706"/>
      <c r="V21" s="705"/>
      <c r="W21" s="706"/>
      <c r="X21" s="1353"/>
      <c r="Y21" s="3737"/>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37"/>
      <c r="Q22" s="1350" t="str">
        <f>B22</f>
        <v>楼层</v>
      </c>
      <c r="R22" s="705" t="s">
        <v>14</v>
      </c>
      <c r="S22" s="706">
        <f>F22</f>
        <v>100</v>
      </c>
      <c r="T22" s="705" t="s">
        <v>14</v>
      </c>
      <c r="U22" s="706">
        <f>H22</f>
        <v>100</v>
      </c>
      <c r="V22" s="705" t="s">
        <v>14</v>
      </c>
      <c r="W22" s="706">
        <f>J22</f>
        <v>100</v>
      </c>
      <c r="X22" s="1353"/>
      <c r="Y22" s="373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37"/>
      <c r="Q23" s="1350">
        <f>B23</f>
        <v>111</v>
      </c>
      <c r="R23" s="705" t="s">
        <v>14</v>
      </c>
      <c r="S23" s="706">
        <f>F23</f>
        <v>100</v>
      </c>
      <c r="T23" s="705" t="s">
        <v>14</v>
      </c>
      <c r="U23" s="706">
        <f>H23</f>
        <v>100</v>
      </c>
      <c r="V23" s="705" t="s">
        <v>14</v>
      </c>
      <c r="W23" s="706">
        <f>J23</f>
        <v>100</v>
      </c>
      <c r="X23" s="1353"/>
      <c r="Y23" s="373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37"/>
      <c r="Q24" s="1350">
        <f t="shared" ref="Q24:Q36" si="11">B24</f>
        <v>111</v>
      </c>
      <c r="R24" s="705" t="s">
        <v>14</v>
      </c>
      <c r="S24" s="706">
        <f>F24</f>
        <v>100</v>
      </c>
      <c r="T24" s="705" t="s">
        <v>14</v>
      </c>
      <c r="U24" s="706">
        <f>H24</f>
        <v>100</v>
      </c>
      <c r="V24" s="705" t="s">
        <v>14</v>
      </c>
      <c r="W24" s="706">
        <f>J24</f>
        <v>100</v>
      </c>
      <c r="X24" s="1353"/>
      <c r="Y24" s="373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37"/>
      <c r="Q25" s="1341">
        <f t="shared" si="11"/>
        <v>111</v>
      </c>
      <c r="R25" s="701" t="s">
        <v>14</v>
      </c>
      <c r="S25" s="702">
        <f>F25</f>
        <v>100</v>
      </c>
      <c r="T25" s="701" t="s">
        <v>14</v>
      </c>
      <c r="U25" s="702">
        <f>H25</f>
        <v>100</v>
      </c>
      <c r="V25" s="701" t="s">
        <v>14</v>
      </c>
      <c r="W25" s="702">
        <f>J25</f>
        <v>100</v>
      </c>
      <c r="X25" s="703"/>
      <c r="Y25" s="3737"/>
      <c r="Z25" s="52">
        <f>Q25</f>
        <v>111</v>
      </c>
      <c r="AA25" s="1351">
        <f>D25/F25</f>
        <v>1</v>
      </c>
      <c r="AB25" s="1351">
        <f>D25/H25</f>
        <v>1</v>
      </c>
      <c r="AC25" s="1351">
        <f>D25/J25</f>
        <v>1</v>
      </c>
    </row>
    <row r="26" spans="1:29" ht="27.7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8" t="s">
        <v>1694</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39"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39"/>
      <c r="Q28" s="1350" t="str">
        <f t="shared" si="11"/>
        <v>公共部分装修</v>
      </c>
      <c r="R28" s="705" t="s">
        <v>14</v>
      </c>
      <c r="S28" s="706">
        <f t="shared" si="12"/>
        <v>100</v>
      </c>
      <c r="T28" s="705" t="s">
        <v>14</v>
      </c>
      <c r="U28" s="706">
        <f t="shared" si="13"/>
        <v>100</v>
      </c>
      <c r="V28" s="705" t="s">
        <v>14</v>
      </c>
      <c r="W28" s="706">
        <f t="shared" si="14"/>
        <v>100</v>
      </c>
      <c r="X28" s="1353"/>
      <c r="Y28" s="3739"/>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39"/>
      <c r="Q29" s="1350" t="str">
        <f t="shared" si="11"/>
        <v>成新率</v>
      </c>
      <c r="R29" s="705" t="s">
        <v>14</v>
      </c>
      <c r="S29" s="706" t="e">
        <f t="shared" si="12"/>
        <v>#N/A</v>
      </c>
      <c r="T29" s="705" t="s">
        <v>14</v>
      </c>
      <c r="U29" s="706" t="e">
        <f t="shared" si="13"/>
        <v>#N/A</v>
      </c>
      <c r="V29" s="705" t="s">
        <v>14</v>
      </c>
      <c r="W29" s="706" t="e">
        <f t="shared" si="14"/>
        <v>#N/A</v>
      </c>
      <c r="X29" s="1353"/>
      <c r="Y29" s="3739"/>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39"/>
      <c r="Q30" s="1350" t="str">
        <f t="shared" si="11"/>
        <v>物业等级</v>
      </c>
      <c r="R30" s="705" t="s">
        <v>14</v>
      </c>
      <c r="S30" s="706">
        <f t="shared" si="12"/>
        <v>100</v>
      </c>
      <c r="T30" s="705" t="s">
        <v>14</v>
      </c>
      <c r="U30" s="706">
        <f t="shared" si="13"/>
        <v>100</v>
      </c>
      <c r="V30" s="705" t="s">
        <v>14</v>
      </c>
      <c r="W30" s="706">
        <f t="shared" si="14"/>
        <v>100</v>
      </c>
      <c r="X30" s="1353"/>
      <c r="Y30" s="3739"/>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39"/>
      <c r="Q31" s="1341" t="str">
        <f t="shared" si="11"/>
        <v>停车位面积</v>
      </c>
      <c r="R31" s="701" t="s">
        <v>14</v>
      </c>
      <c r="S31" s="702" t="e">
        <f t="shared" si="12"/>
        <v>#N/A</v>
      </c>
      <c r="T31" s="701" t="s">
        <v>14</v>
      </c>
      <c r="U31" s="702" t="e">
        <f t="shared" si="13"/>
        <v>#N/A</v>
      </c>
      <c r="V31" s="701" t="s">
        <v>14</v>
      </c>
      <c r="W31" s="702" t="e">
        <f t="shared" si="14"/>
        <v>#N/A</v>
      </c>
      <c r="X31" s="703"/>
      <c r="Y31" s="3739"/>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39" t="s">
        <v>1694</v>
      </c>
      <c r="Q32" s="1350" t="str">
        <f t="shared" si="11"/>
        <v>车位类型</v>
      </c>
      <c r="R32" s="705" t="s">
        <v>14</v>
      </c>
      <c r="S32" s="706">
        <f t="shared" si="12"/>
        <v>100</v>
      </c>
      <c r="T32" s="705" t="s">
        <v>14</v>
      </c>
      <c r="U32" s="706">
        <f t="shared" si="13"/>
        <v>100</v>
      </c>
      <c r="V32" s="705" t="s">
        <v>14</v>
      </c>
      <c r="W32" s="706">
        <f t="shared" si="14"/>
        <v>100</v>
      </c>
      <c r="X32" s="1353"/>
      <c r="Y32" s="3739"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39"/>
      <c r="Q33" s="1350" t="str">
        <f t="shared" si="11"/>
        <v>是否直接入户</v>
      </c>
      <c r="R33" s="705" t="s">
        <v>14</v>
      </c>
      <c r="S33" s="706">
        <f t="shared" si="12"/>
        <v>100</v>
      </c>
      <c r="T33" s="705" t="s">
        <v>14</v>
      </c>
      <c r="U33" s="706">
        <f t="shared" si="13"/>
        <v>100</v>
      </c>
      <c r="V33" s="705" t="s">
        <v>14</v>
      </c>
      <c r="W33" s="706">
        <f t="shared" si="14"/>
        <v>100</v>
      </c>
      <c r="X33" s="1353"/>
      <c r="Y33" s="373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39"/>
      <c r="Q34" s="1350">
        <f t="shared" si="11"/>
        <v>111</v>
      </c>
      <c r="R34" s="705" t="s">
        <v>14</v>
      </c>
      <c r="S34" s="706">
        <f t="shared" si="12"/>
        <v>100</v>
      </c>
      <c r="T34" s="705" t="s">
        <v>14</v>
      </c>
      <c r="U34" s="706">
        <f t="shared" si="13"/>
        <v>100</v>
      </c>
      <c r="V34" s="705" t="s">
        <v>14</v>
      </c>
      <c r="W34" s="706">
        <f t="shared" si="14"/>
        <v>100</v>
      </c>
      <c r="X34" s="1353"/>
      <c r="Y34" s="373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39"/>
      <c r="Q36" s="1350">
        <f t="shared" si="11"/>
        <v>111</v>
      </c>
      <c r="R36" s="705" t="s">
        <v>14</v>
      </c>
      <c r="S36" s="706">
        <f t="shared" si="12"/>
        <v>100</v>
      </c>
      <c r="T36" s="705" t="s">
        <v>14</v>
      </c>
      <c r="U36" s="706">
        <f t="shared" si="13"/>
        <v>100</v>
      </c>
      <c r="V36" s="705" t="s">
        <v>14</v>
      </c>
      <c r="W36" s="706">
        <f t="shared" si="14"/>
        <v>100</v>
      </c>
      <c r="X36" s="1353"/>
      <c r="Y36" s="3739"/>
      <c r="Z36" s="1354">
        <f t="shared" si="15"/>
        <v>111</v>
      </c>
      <c r="AA36" s="1351">
        <f t="shared" si="3"/>
        <v>1</v>
      </c>
      <c r="AB36" s="1351">
        <f t="shared" si="4"/>
        <v>1</v>
      </c>
      <c r="AC36" s="1351">
        <f t="shared" si="5"/>
        <v>1</v>
      </c>
    </row>
    <row r="37" spans="1:29" ht="15">
      <c r="A37" s="430" t="s">
        <v>1842</v>
      </c>
      <c r="B37" s="1971" t="s">
        <v>3345</v>
      </c>
      <c r="C37" s="1153" t="s">
        <v>0</v>
      </c>
      <c r="D37" s="1154"/>
      <c r="E37" s="1155"/>
      <c r="F37" s="1156"/>
      <c r="G37" s="1157"/>
      <c r="H37" s="1158"/>
      <c r="I37" s="1155"/>
      <c r="J37" s="1158"/>
      <c r="K37" s="568"/>
      <c r="L37" s="2718"/>
      <c r="M37" s="2719"/>
      <c r="N37" s="2710"/>
      <c r="O37" s="2719"/>
      <c r="P37" s="3735" t="str">
        <f>A37</f>
        <v>成交单价</v>
      </c>
      <c r="Q37" s="3735"/>
      <c r="R37" s="3816">
        <f>E37</f>
        <v>0</v>
      </c>
      <c r="S37" s="3816"/>
      <c r="T37" s="3816">
        <f>G37</f>
        <v>0</v>
      </c>
      <c r="U37" s="3816"/>
      <c r="V37" s="3816">
        <f>I37</f>
        <v>0</v>
      </c>
      <c r="W37" s="3816"/>
      <c r="X37" s="690"/>
      <c r="Y37" s="712"/>
      <c r="Z37" s="690"/>
      <c r="AA37" s="690"/>
      <c r="AB37" s="690"/>
      <c r="AC37" s="690"/>
    </row>
    <row r="38" spans="1:29" ht="15.75" thickBot="1">
      <c r="A38" s="437" t="s">
        <v>1843</v>
      </c>
      <c r="B38" s="438" t="str">
        <f>B37</f>
        <v>元/平方米</v>
      </c>
      <c r="C38" s="1159" t="e">
        <f>R39</f>
        <v>#DIV/0!</v>
      </c>
      <c r="D38" s="2315" t="s">
        <v>2136</v>
      </c>
      <c r="E38" s="1160" t="e">
        <f>R38</f>
        <v>#DIV/0!</v>
      </c>
      <c r="F38" s="2316"/>
      <c r="G38" s="1159" t="e">
        <f>T38</f>
        <v>#DIV/0!</v>
      </c>
      <c r="H38" s="2316"/>
      <c r="I38" s="1160" t="e">
        <f>V38</f>
        <v>#DIV/0!</v>
      </c>
      <c r="J38" s="2316"/>
      <c r="K38" s="2318">
        <f>F38+H38+J38</f>
        <v>0</v>
      </c>
      <c r="L38" s="2718"/>
      <c r="M38" s="2719"/>
      <c r="N38" s="2719"/>
      <c r="O38" s="2719"/>
      <c r="P38" s="3735" t="str">
        <f>A38</f>
        <v>比较价值（元/平方米）</v>
      </c>
      <c r="Q38" s="3735"/>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690"/>
      <c r="Y38" s="690"/>
      <c r="Z38" s="690"/>
      <c r="AA38" s="690"/>
      <c r="AB38" s="690"/>
      <c r="AC38" s="690"/>
    </row>
    <row r="39" spans="1:29" ht="15.75" thickBot="1">
      <c r="A39" s="441" t="s">
        <v>1844</v>
      </c>
      <c r="B39" s="442"/>
      <c r="C39" s="1162" t="e">
        <f>R39</f>
        <v>#DIV/0!</v>
      </c>
      <c r="D39" s="1162"/>
      <c r="E39" s="1162"/>
      <c r="F39" s="1162"/>
      <c r="G39" s="1162"/>
      <c r="H39" s="1162"/>
      <c r="I39" s="1162"/>
      <c r="J39" s="1162"/>
      <c r="K39" s="569"/>
      <c r="L39" s="2718"/>
      <c r="M39" s="2719"/>
      <c r="N39" s="2719"/>
      <c r="O39" s="2719"/>
      <c r="P39" s="3729" t="str">
        <f>A39</f>
        <v>估价对象XX用房的比较价值（楼面单价，元/平方米）</v>
      </c>
      <c r="Q39" s="3730"/>
      <c r="R39" s="3838" t="e">
        <f>IF(F1="售价",ROUND(IF(D38="简单平均",AVERAGE(R38:W38),R38*F38+T38*H38+V38*J38),0),ROUND(IF(D38="简单平均",AVERAGE(R38:V38),R38*F38+T38*H38+V38*J38),1))</f>
        <v>#DIV/0!</v>
      </c>
      <c r="S39" s="3838"/>
      <c r="T39" s="3838"/>
      <c r="U39" s="3838"/>
      <c r="V39" s="3838"/>
      <c r="W39" s="383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7"/>
      <c r="C47" s="940"/>
      <c r="D47" s="940"/>
      <c r="E47" s="940"/>
      <c r="F47" s="1166"/>
      <c r="G47" s="1166"/>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3325</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1461</v>
      </c>
      <c r="F2" s="1881"/>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32" t="s">
        <v>1768</v>
      </c>
      <c r="D4" s="3744"/>
      <c r="E4" s="3745" t="s">
        <v>1769</v>
      </c>
      <c r="F4" s="3746"/>
      <c r="G4" s="3732" t="s">
        <v>1770</v>
      </c>
      <c r="H4" s="3744"/>
      <c r="I4" s="3732" t="s">
        <v>1771</v>
      </c>
      <c r="J4" s="3744"/>
      <c r="K4" s="559" t="s">
        <v>1772</v>
      </c>
      <c r="L4" s="2709"/>
      <c r="M4" s="2710"/>
      <c r="N4" s="2710"/>
      <c r="O4" s="2710"/>
      <c r="P4" s="3747" t="s">
        <v>1773</v>
      </c>
      <c r="Q4" s="3748"/>
      <c r="R4" s="3753" t="s">
        <v>1769</v>
      </c>
      <c r="S4" s="3754"/>
      <c r="T4" s="3753" t="s">
        <v>1770</v>
      </c>
      <c r="U4" s="3754"/>
      <c r="V4" s="3740" t="s">
        <v>1771</v>
      </c>
      <c r="W4" s="3740"/>
      <c r="X4" s="1353"/>
      <c r="Y4" s="3753" t="s">
        <v>1773</v>
      </c>
      <c r="Z4" s="3754"/>
      <c r="AA4" s="3741" t="s">
        <v>1769</v>
      </c>
      <c r="AB4" s="3742" t="s">
        <v>1770</v>
      </c>
      <c r="AC4" s="3741" t="s">
        <v>1771</v>
      </c>
    </row>
    <row r="5" spans="1:29" ht="15">
      <c r="A5" s="358"/>
      <c r="B5" s="359"/>
      <c r="C5" s="3761" t="s">
        <v>1671</v>
      </c>
      <c r="D5" s="3762"/>
      <c r="E5" s="3768" t="s">
        <v>1672</v>
      </c>
      <c r="F5" s="3769"/>
      <c r="G5" s="3761" t="s">
        <v>1673</v>
      </c>
      <c r="H5" s="3762"/>
      <c r="I5" s="3761" t="s">
        <v>1674</v>
      </c>
      <c r="J5" s="3762"/>
      <c r="K5" s="559"/>
      <c r="L5" s="2709"/>
      <c r="M5" s="2710"/>
      <c r="N5" s="2710"/>
      <c r="O5" s="2710"/>
      <c r="P5" s="3749"/>
      <c r="Q5" s="3750"/>
      <c r="R5" s="3755"/>
      <c r="S5" s="3756"/>
      <c r="T5" s="3755"/>
      <c r="U5" s="3756"/>
      <c r="V5" s="3740"/>
      <c r="W5" s="3740"/>
      <c r="X5" s="1353"/>
      <c r="Y5" s="3755"/>
      <c r="Z5" s="3756"/>
      <c r="AA5" s="3742"/>
      <c r="AB5" s="3742"/>
      <c r="AC5" s="3742"/>
    </row>
    <row r="6" spans="1:29" ht="15.75" thickBot="1">
      <c r="A6" s="360"/>
      <c r="B6" s="361"/>
      <c r="C6" s="3759" t="s">
        <v>1675</v>
      </c>
      <c r="D6" s="3760"/>
      <c r="E6" s="3766" t="s">
        <v>1675</v>
      </c>
      <c r="F6" s="3767"/>
      <c r="G6" s="3759" t="s">
        <v>1675</v>
      </c>
      <c r="H6" s="3760"/>
      <c r="I6" s="3759" t="s">
        <v>1675</v>
      </c>
      <c r="J6" s="3760"/>
      <c r="K6" s="559" t="s">
        <v>1676</v>
      </c>
      <c r="L6" s="2709"/>
      <c r="M6" s="2710"/>
      <c r="N6" s="2710"/>
      <c r="O6" s="2710"/>
      <c r="P6" s="3751"/>
      <c r="Q6" s="3752"/>
      <c r="R6" s="3755"/>
      <c r="S6" s="3756"/>
      <c r="T6" s="3757"/>
      <c r="U6" s="3758"/>
      <c r="V6" s="3740"/>
      <c r="W6" s="3740"/>
      <c r="X6" s="1353"/>
      <c r="Y6" s="3757"/>
      <c r="Z6" s="3758"/>
      <c r="AA6" s="3743"/>
      <c r="AB6" s="3743"/>
      <c r="AC6" s="3743"/>
    </row>
    <row r="7" spans="1:29" s="108" customFormat="1" ht="15.75" thickBot="1">
      <c r="A7" s="362" t="s">
        <v>1677</v>
      </c>
      <c r="B7" s="363"/>
      <c r="C7" s="364">
        <f>'数据-取费表'!B2</f>
        <v>45587</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763" t="s">
        <v>1678</v>
      </c>
      <c r="Q7" s="3765"/>
      <c r="R7" s="701" t="s">
        <v>14</v>
      </c>
      <c r="S7" s="702">
        <f t="shared" ref="S7:S14" si="0">F7</f>
        <v>0</v>
      </c>
      <c r="T7" s="701" t="s">
        <v>14</v>
      </c>
      <c r="U7" s="702">
        <f t="shared" ref="U7:U14" si="1">H7</f>
        <v>0</v>
      </c>
      <c r="V7" s="701" t="s">
        <v>14</v>
      </c>
      <c r="W7" s="702">
        <f t="shared" ref="W7:W14" si="2">J7</f>
        <v>0</v>
      </c>
      <c r="X7" s="703"/>
      <c r="Y7" s="3763" t="s">
        <v>1678</v>
      </c>
      <c r="Z7" s="376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63" t="s">
        <v>1681</v>
      </c>
      <c r="Q8" s="3764"/>
      <c r="R8" s="701" t="s">
        <v>14</v>
      </c>
      <c r="S8" s="702">
        <f t="shared" si="0"/>
        <v>100</v>
      </c>
      <c r="T8" s="701" t="s">
        <v>14</v>
      </c>
      <c r="U8" s="702">
        <f t="shared" si="1"/>
        <v>100</v>
      </c>
      <c r="V8" s="701" t="s">
        <v>14</v>
      </c>
      <c r="W8" s="702">
        <f t="shared" si="2"/>
        <v>100</v>
      </c>
      <c r="X8" s="703"/>
      <c r="Y8" s="3763" t="s">
        <v>1681</v>
      </c>
      <c r="Z8" s="376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5" t="s">
        <v>1684</v>
      </c>
      <c r="Q9" s="1341" t="str">
        <f t="shared" ref="Q9:Q14" si="6">B9</f>
        <v>用途</v>
      </c>
      <c r="R9" s="701" t="s">
        <v>14</v>
      </c>
      <c r="S9" s="702">
        <f t="shared" si="0"/>
        <v>100</v>
      </c>
      <c r="T9" s="701" t="s">
        <v>14</v>
      </c>
      <c r="U9" s="702">
        <f t="shared" si="1"/>
        <v>100</v>
      </c>
      <c r="V9" s="701" t="s">
        <v>14</v>
      </c>
      <c r="W9" s="702">
        <f t="shared" si="2"/>
        <v>100</v>
      </c>
      <c r="X9" s="703"/>
      <c r="Y9" s="3632"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35"/>
      <c r="Q10" s="1341"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5"/>
      <c r="Q11" s="1341">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5"/>
      <c r="Q12" s="1341">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35"/>
      <c r="Q13" s="1341">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6" t="s">
        <v>1689</v>
      </c>
      <c r="Q14" s="1350" t="str">
        <f t="shared" si="6"/>
        <v>交通便捷度</v>
      </c>
      <c r="R14" s="705" t="s">
        <v>14</v>
      </c>
      <c r="S14" s="706">
        <f t="shared" si="0"/>
        <v>100</v>
      </c>
      <c r="T14" s="705" t="s">
        <v>14</v>
      </c>
      <c r="U14" s="706">
        <f t="shared" si="1"/>
        <v>100</v>
      </c>
      <c r="V14" s="705" t="s">
        <v>14</v>
      </c>
      <c r="W14" s="706">
        <f t="shared" si="2"/>
        <v>100</v>
      </c>
      <c r="X14" s="1353"/>
      <c r="Y14" s="3736"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37"/>
      <c r="Q15" s="1350"/>
      <c r="R15" s="705"/>
      <c r="S15" s="706"/>
      <c r="T15" s="705"/>
      <c r="U15" s="706"/>
      <c r="V15" s="705"/>
      <c r="W15" s="706"/>
      <c r="X15" s="1353"/>
      <c r="Y15" s="3737"/>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37"/>
      <c r="Q16" s="1350" t="str">
        <f>B16</f>
        <v>公共配套设施</v>
      </c>
      <c r="R16" s="705" t="s">
        <v>14</v>
      </c>
      <c r="S16" s="706">
        <f>F16</f>
        <v>100</v>
      </c>
      <c r="T16" s="705" t="s">
        <v>14</v>
      </c>
      <c r="U16" s="706">
        <f>H16</f>
        <v>100</v>
      </c>
      <c r="V16" s="705" t="s">
        <v>14</v>
      </c>
      <c r="W16" s="706">
        <f>J16</f>
        <v>100</v>
      </c>
      <c r="X16" s="1353"/>
      <c r="Y16" s="373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37"/>
      <c r="Q17" s="1350"/>
      <c r="R17" s="705"/>
      <c r="S17" s="706"/>
      <c r="T17" s="705"/>
      <c r="U17" s="706"/>
      <c r="V17" s="705"/>
      <c r="W17" s="706"/>
      <c r="X17" s="1353"/>
      <c r="Y17" s="3737"/>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37"/>
      <c r="Q18" s="1350" t="str">
        <f>B18</f>
        <v>基础设施水平</v>
      </c>
      <c r="R18" s="705" t="s">
        <v>14</v>
      </c>
      <c r="S18" s="706">
        <f>F18</f>
        <v>100</v>
      </c>
      <c r="T18" s="705" t="s">
        <v>14</v>
      </c>
      <c r="U18" s="706">
        <f>H18</f>
        <v>100</v>
      </c>
      <c r="V18" s="705" t="s">
        <v>14</v>
      </c>
      <c r="W18" s="706">
        <f>J18</f>
        <v>100</v>
      </c>
      <c r="X18" s="1353"/>
      <c r="Y18" s="3737"/>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37"/>
      <c r="Q19" s="1350"/>
      <c r="R19" s="705"/>
      <c r="S19" s="706"/>
      <c r="T19" s="705"/>
      <c r="U19" s="706"/>
      <c r="V19" s="705"/>
      <c r="W19" s="706"/>
      <c r="X19" s="1353"/>
      <c r="Y19" s="3737"/>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37"/>
      <c r="Q20" s="1350" t="str">
        <f>B20</f>
        <v>自然及人文环境</v>
      </c>
      <c r="R20" s="705" t="s">
        <v>14</v>
      </c>
      <c r="S20" s="706">
        <f>F20</f>
        <v>100</v>
      </c>
      <c r="T20" s="705" t="s">
        <v>14</v>
      </c>
      <c r="U20" s="706">
        <f>H20</f>
        <v>100</v>
      </c>
      <c r="V20" s="705" t="s">
        <v>14</v>
      </c>
      <c r="W20" s="706">
        <f>J20</f>
        <v>100</v>
      </c>
      <c r="X20" s="1353"/>
      <c r="Y20" s="373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37"/>
      <c r="Q21" s="1350"/>
      <c r="R21" s="705"/>
      <c r="S21" s="706"/>
      <c r="T21" s="705"/>
      <c r="U21" s="706"/>
      <c r="V21" s="705"/>
      <c r="W21" s="706"/>
      <c r="X21" s="1353"/>
      <c r="Y21" s="3737"/>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37"/>
      <c r="Q22" s="1350" t="str">
        <f>B22</f>
        <v>楼层</v>
      </c>
      <c r="R22" s="705" t="s">
        <v>14</v>
      </c>
      <c r="S22" s="706">
        <f>F22</f>
        <v>100</v>
      </c>
      <c r="T22" s="705" t="s">
        <v>14</v>
      </c>
      <c r="U22" s="706">
        <f>H22</f>
        <v>100</v>
      </c>
      <c r="V22" s="705" t="s">
        <v>14</v>
      </c>
      <c r="W22" s="706">
        <f>J22</f>
        <v>100</v>
      </c>
      <c r="X22" s="1353"/>
      <c r="Y22" s="373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37"/>
      <c r="Q23" s="1350">
        <f>B23</f>
        <v>111</v>
      </c>
      <c r="R23" s="705" t="s">
        <v>14</v>
      </c>
      <c r="S23" s="706">
        <f>F23</f>
        <v>100</v>
      </c>
      <c r="T23" s="705" t="s">
        <v>14</v>
      </c>
      <c r="U23" s="706">
        <f>H23</f>
        <v>100</v>
      </c>
      <c r="V23" s="705" t="s">
        <v>14</v>
      </c>
      <c r="W23" s="706">
        <f>J23</f>
        <v>100</v>
      </c>
      <c r="X23" s="1353"/>
      <c r="Y23" s="373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37"/>
      <c r="Q24" s="1350">
        <f t="shared" ref="Q24:Q34" si="11">B24</f>
        <v>111</v>
      </c>
      <c r="R24" s="705" t="s">
        <v>14</v>
      </c>
      <c r="S24" s="706">
        <f>F24</f>
        <v>100</v>
      </c>
      <c r="T24" s="705" t="s">
        <v>14</v>
      </c>
      <c r="U24" s="706">
        <f>H24</f>
        <v>100</v>
      </c>
      <c r="V24" s="705" t="s">
        <v>14</v>
      </c>
      <c r="W24" s="706">
        <f>J24</f>
        <v>100</v>
      </c>
      <c r="X24" s="1353"/>
      <c r="Y24" s="373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37"/>
      <c r="Q25" s="1341">
        <f t="shared" si="11"/>
        <v>111</v>
      </c>
      <c r="R25" s="701" t="s">
        <v>14</v>
      </c>
      <c r="S25" s="702">
        <f>F25</f>
        <v>100</v>
      </c>
      <c r="T25" s="701" t="s">
        <v>14</v>
      </c>
      <c r="U25" s="702">
        <f>H25</f>
        <v>100</v>
      </c>
      <c r="V25" s="701" t="s">
        <v>14</v>
      </c>
      <c r="W25" s="702">
        <f>J25</f>
        <v>100</v>
      </c>
      <c r="X25" s="703"/>
      <c r="Y25" s="3737"/>
      <c r="Z25" s="52">
        <f>Q25</f>
        <v>111</v>
      </c>
      <c r="AA25" s="1351">
        <f>D25/F25</f>
        <v>1</v>
      </c>
      <c r="AB25" s="1351">
        <f>D25/H25</f>
        <v>1</v>
      </c>
      <c r="AC25" s="1351">
        <f>D25/J25</f>
        <v>1</v>
      </c>
    </row>
    <row r="26" spans="1:29" ht="27.7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738" t="s">
        <v>1694</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39"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39"/>
      <c r="Q27" s="707" t="str">
        <f t="shared" si="11"/>
        <v>成新率</v>
      </c>
      <c r="R27" s="708" t="s">
        <v>14</v>
      </c>
      <c r="S27" s="709" t="e">
        <f t="shared" si="12"/>
        <v>#N/A</v>
      </c>
      <c r="T27" s="708" t="s">
        <v>14</v>
      </c>
      <c r="U27" s="709" t="e">
        <f t="shared" si="13"/>
        <v>#N/A</v>
      </c>
      <c r="V27" s="708" t="s">
        <v>14</v>
      </c>
      <c r="W27" s="709" t="e">
        <f t="shared" si="14"/>
        <v>#N/A</v>
      </c>
      <c r="X27" s="710"/>
      <c r="Y27" s="3739"/>
      <c r="Z27" s="711"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39"/>
      <c r="Q28" s="1350" t="str">
        <f t="shared" si="11"/>
        <v>物业等级</v>
      </c>
      <c r="R28" s="705" t="s">
        <v>14</v>
      </c>
      <c r="S28" s="706">
        <f t="shared" si="12"/>
        <v>100</v>
      </c>
      <c r="T28" s="705" t="s">
        <v>14</v>
      </c>
      <c r="U28" s="706">
        <f t="shared" si="13"/>
        <v>100</v>
      </c>
      <c r="V28" s="705" t="s">
        <v>14</v>
      </c>
      <c r="W28" s="706">
        <f t="shared" si="14"/>
        <v>100</v>
      </c>
      <c r="X28" s="1353"/>
      <c r="Y28" s="3739"/>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39"/>
      <c r="Q29" s="1350" t="str">
        <f t="shared" si="11"/>
        <v>有无电梯</v>
      </c>
      <c r="R29" s="705" t="s">
        <v>14</v>
      </c>
      <c r="S29" s="706">
        <f t="shared" si="12"/>
        <v>100</v>
      </c>
      <c r="T29" s="705" t="s">
        <v>14</v>
      </c>
      <c r="U29" s="706">
        <f t="shared" si="13"/>
        <v>100</v>
      </c>
      <c r="V29" s="705" t="s">
        <v>14</v>
      </c>
      <c r="W29" s="706">
        <f t="shared" si="14"/>
        <v>100</v>
      </c>
      <c r="X29" s="1353"/>
      <c r="Y29" s="3739"/>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39"/>
      <c r="Q30" s="1350" t="str">
        <f t="shared" si="11"/>
        <v>建筑面积</v>
      </c>
      <c r="R30" s="705" t="s">
        <v>14</v>
      </c>
      <c r="S30" s="706" t="e">
        <f t="shared" si="12"/>
        <v>#N/A</v>
      </c>
      <c r="T30" s="705" t="s">
        <v>14</v>
      </c>
      <c r="U30" s="706" t="e">
        <f t="shared" si="13"/>
        <v>#N/A</v>
      </c>
      <c r="V30" s="705" t="s">
        <v>14</v>
      </c>
      <c r="W30" s="706" t="e">
        <f t="shared" si="14"/>
        <v>#N/A</v>
      </c>
      <c r="X30" s="1353"/>
      <c r="Y30" s="3739"/>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39"/>
      <c r="Q31" s="1341"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39" t="s">
        <v>1694</v>
      </c>
      <c r="Q32" s="1350">
        <f t="shared" si="11"/>
        <v>111</v>
      </c>
      <c r="R32" s="705" t="s">
        <v>14</v>
      </c>
      <c r="S32" s="706">
        <f t="shared" si="12"/>
        <v>100</v>
      </c>
      <c r="T32" s="705" t="s">
        <v>14</v>
      </c>
      <c r="U32" s="706">
        <f t="shared" si="13"/>
        <v>100</v>
      </c>
      <c r="V32" s="705" t="s">
        <v>14</v>
      </c>
      <c r="W32" s="706">
        <f t="shared" si="14"/>
        <v>100</v>
      </c>
      <c r="X32" s="1353"/>
      <c r="Y32" s="3739"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39"/>
      <c r="Q33" s="1350">
        <f t="shared" si="11"/>
        <v>111</v>
      </c>
      <c r="R33" s="705" t="s">
        <v>14</v>
      </c>
      <c r="S33" s="706">
        <f t="shared" si="12"/>
        <v>100</v>
      </c>
      <c r="T33" s="705" t="s">
        <v>14</v>
      </c>
      <c r="U33" s="706">
        <f t="shared" si="13"/>
        <v>100</v>
      </c>
      <c r="V33" s="705" t="s">
        <v>14</v>
      </c>
      <c r="W33" s="706">
        <f t="shared" si="14"/>
        <v>100</v>
      </c>
      <c r="X33" s="1353"/>
      <c r="Y33" s="373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39"/>
      <c r="Q34" s="1350">
        <f t="shared" si="11"/>
        <v>111</v>
      </c>
      <c r="R34" s="705" t="s">
        <v>14</v>
      </c>
      <c r="S34" s="706">
        <f t="shared" si="12"/>
        <v>100</v>
      </c>
      <c r="T34" s="705" t="s">
        <v>14</v>
      </c>
      <c r="U34" s="706">
        <f t="shared" si="13"/>
        <v>100</v>
      </c>
      <c r="V34" s="705" t="s">
        <v>14</v>
      </c>
      <c r="W34" s="706">
        <f t="shared" si="14"/>
        <v>100</v>
      </c>
      <c r="X34" s="1353"/>
      <c r="Y34" s="3739"/>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4"/>
      <c r="L35" s="2718"/>
      <c r="M35" s="2719"/>
      <c r="N35" s="2710"/>
      <c r="O35" s="2719"/>
      <c r="P35" s="3735" t="str">
        <f>A35</f>
        <v>成交单价（元/平方米）</v>
      </c>
      <c r="Q35" s="3735"/>
      <c r="R35" s="3816">
        <f>E35</f>
        <v>0</v>
      </c>
      <c r="S35" s="3816"/>
      <c r="T35" s="3816">
        <f>G35</f>
        <v>0</v>
      </c>
      <c r="U35" s="3816"/>
      <c r="V35" s="3816">
        <f>I35</f>
        <v>0</v>
      </c>
      <c r="W35" s="3816"/>
      <c r="X35" s="690"/>
      <c r="Y35" s="712"/>
      <c r="Z35" s="690"/>
      <c r="AA35" s="690"/>
      <c r="AB35" s="690"/>
      <c r="AC35" s="690"/>
    </row>
    <row r="36" spans="1:30" ht="15.75" thickBot="1">
      <c r="A36" s="437" t="s">
        <v>1791</v>
      </c>
      <c r="B36" s="438"/>
      <c r="C36" s="1159" t="e">
        <f>R37</f>
        <v>#DIV/0!</v>
      </c>
      <c r="D36" s="2315" t="s">
        <v>2136</v>
      </c>
      <c r="E36" s="1160" t="e">
        <f>R36</f>
        <v>#DIV/0!</v>
      </c>
      <c r="F36" s="2316"/>
      <c r="G36" s="1159" t="e">
        <f>T36</f>
        <v>#DIV/0!</v>
      </c>
      <c r="H36" s="2316"/>
      <c r="I36" s="1160" t="e">
        <f>V36</f>
        <v>#DIV/0!</v>
      </c>
      <c r="J36" s="2316"/>
      <c r="K36" s="2318">
        <f>F36+H36+J36</f>
        <v>0</v>
      </c>
      <c r="L36" s="2718"/>
      <c r="M36" s="2719"/>
      <c r="N36" s="2710"/>
      <c r="O36" s="2719"/>
      <c r="P36" s="3735" t="str">
        <f>A36</f>
        <v>比较价值（元/平方米）</v>
      </c>
      <c r="Q36" s="3735"/>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690"/>
      <c r="Y36" s="690"/>
      <c r="Z36" s="690"/>
      <c r="AA36" s="690"/>
      <c r="AB36" s="690"/>
      <c r="AC36" s="690"/>
    </row>
    <row r="37" spans="1:30" ht="15.75" thickBot="1">
      <c r="A37" s="441" t="s">
        <v>1792</v>
      </c>
      <c r="B37" s="442"/>
      <c r="C37" s="1162" t="e">
        <f>R37</f>
        <v>#DIV/0!</v>
      </c>
      <c r="D37" s="1162"/>
      <c r="E37" s="1162"/>
      <c r="F37" s="1162"/>
      <c r="G37" s="1162"/>
      <c r="H37" s="1162"/>
      <c r="I37" s="1162"/>
      <c r="J37" s="1162"/>
      <c r="K37" s="715"/>
      <c r="L37" s="2718"/>
      <c r="M37" s="2719"/>
      <c r="N37" s="2719"/>
      <c r="O37" s="2719"/>
      <c r="P37" s="3729" t="str">
        <f>A37</f>
        <v>估价对象XX用房的比较价值（楼面单价，元/平方米）</v>
      </c>
      <c r="Q37" s="3730"/>
      <c r="R37" s="3838" t="e">
        <f>IF(F1="售价",ROUND(IF(D36="简单平均",AVERAGE(R36:W36),R36*F36+T36*H36+V36*J36),0),ROUND(IF(D36="简单平均",AVERAGE(R36:V36),R36*F36+T36*H36+V36*J36),1))</f>
        <v>#DIV/0!</v>
      </c>
      <c r="S37" s="3838"/>
      <c r="T37" s="3838"/>
      <c r="U37" s="3838"/>
      <c r="V37" s="3838"/>
      <c r="W37" s="383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7"/>
      <c r="C2" s="3547"/>
      <c r="D2" s="3547"/>
      <c r="E2" s="3547"/>
    </row>
    <row r="3" spans="1:5" ht="18">
      <c r="A3" s="3548" t="str">
        <f>IF(项目基本情况!B9="房地产市场价值","估价结果一览表（市场价值不需“结果表-1”）","估价结果一览表")</f>
        <v>估价结果一览表</v>
      </c>
      <c r="B3" s="3548"/>
      <c r="C3" s="3548"/>
      <c r="D3" s="3548"/>
      <c r="E3" s="3548"/>
    </row>
    <row r="4" spans="1:5" ht="19.5" thickBot="1">
      <c r="A4" s="1491"/>
      <c r="B4" s="3546" t="s">
        <v>917</v>
      </c>
      <c r="C4" s="3546"/>
      <c r="D4" s="3546"/>
      <c r="E4" s="1491"/>
    </row>
    <row r="5" spans="1:5" ht="16.5" thickTop="1">
      <c r="A5" s="1489"/>
      <c r="B5" s="3544" t="s">
        <v>909</v>
      </c>
      <c r="C5" s="1492" t="s">
        <v>910</v>
      </c>
      <c r="D5" s="850">
        <f ca="1">结果表!H101</f>
        <v>196457</v>
      </c>
      <c r="E5" s="1489"/>
    </row>
    <row r="6" spans="1:5" ht="15.75">
      <c r="A6" s="1489"/>
      <c r="B6" s="3544"/>
      <c r="C6" s="1492" t="s">
        <v>911</v>
      </c>
      <c r="D6" s="850" t="str">
        <f ca="1">NUMBERSTRING(INT(D5*10000),2)&amp;"元整"</f>
        <v>壹拾玖亿陆仟肆佰伍拾柒万元整</v>
      </c>
      <c r="E6" s="1489"/>
    </row>
    <row r="7" spans="1:5" ht="15.75">
      <c r="A7" s="1489"/>
      <c r="B7" s="3549"/>
      <c r="C7" s="1493" t="s">
        <v>912</v>
      </c>
      <c r="D7" s="851">
        <f ca="1">结果表!H102</f>
        <v>15370</v>
      </c>
      <c r="E7" s="1489"/>
    </row>
    <row r="8" spans="1:5" ht="15.75">
      <c r="A8" s="1489"/>
      <c r="B8" s="3550" t="str">
        <f>结果表!E103</f>
        <v>2.估价师知悉的法定优先受偿款</v>
      </c>
      <c r="C8" s="1494" t="s">
        <v>913</v>
      </c>
      <c r="D8" s="851">
        <f>结果表!H103</f>
        <v>0</v>
      </c>
      <c r="E8" s="1489"/>
    </row>
    <row r="9" spans="1:5" ht="15.75">
      <c r="A9" s="1489"/>
      <c r="B9" s="3552"/>
      <c r="C9" s="1492" t="s">
        <v>911</v>
      </c>
      <c r="D9" s="850" t="str">
        <f>NUMBERSTRING(INT(D8*10000),2)&amp;"元整"</f>
        <v>零元整</v>
      </c>
      <c r="E9" s="1489"/>
    </row>
    <row r="10" spans="1:5" ht="15">
      <c r="A10" s="1489"/>
      <c r="B10" s="1495" t="s">
        <v>916</v>
      </c>
      <c r="C10" s="1496" t="s">
        <v>914</v>
      </c>
      <c r="D10" s="852" t="str">
        <f>结果表!H104</f>
        <v>（续贷，未扣减，详见特别提示）</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543" t="str">
        <f>结果表!E107</f>
        <v>3.房地产抵押价值</v>
      </c>
      <c r="C13" s="1497" t="s">
        <v>910</v>
      </c>
      <c r="D13" s="853">
        <f ca="1">结果表!H107</f>
        <v>196457</v>
      </c>
      <c r="E13" s="1489"/>
    </row>
    <row r="14" spans="1:5" ht="15.75">
      <c r="A14" s="1489"/>
      <c r="B14" s="3544"/>
      <c r="C14" s="1492" t="s">
        <v>911</v>
      </c>
      <c r="D14" s="850" t="str">
        <f ca="1">NUMBERSTRING(INT(D13*10000),2)&amp;"元整"</f>
        <v>壹拾玖亿陆仟肆佰伍拾柒万元整</v>
      </c>
      <c r="E14" s="1489"/>
    </row>
    <row r="15" spans="1:5" ht="15">
      <c r="A15" s="1489"/>
      <c r="B15" s="3549"/>
      <c r="C15" s="1493" t="s">
        <v>921</v>
      </c>
      <c r="D15" s="859">
        <f ca="1">结果表!H108</f>
        <v>15370</v>
      </c>
      <c r="E15" s="1489"/>
    </row>
    <row r="16" spans="1:5" ht="15">
      <c r="A16" s="1489"/>
      <c r="B16" s="3550" t="str">
        <f>结果表!E109</f>
        <v>——</v>
      </c>
      <c r="C16" s="1497" t="s">
        <v>922</v>
      </c>
      <c r="D16" s="1498" t="str">
        <f>结果表!H109</f>
        <v>——</v>
      </c>
      <c r="E16" s="1489"/>
    </row>
    <row r="17" spans="1:5" ht="15.75">
      <c r="A17" s="1489"/>
      <c r="B17" s="3551"/>
      <c r="C17" s="1492" t="s">
        <v>923</v>
      </c>
      <c r="D17" s="850" t="e">
        <f>NUMBERSTRING(INT(D16*10000),2)&amp;"元整"</f>
        <v>#VALUE!</v>
      </c>
      <c r="E17" s="1489"/>
    </row>
    <row r="18" spans="1:5" ht="15">
      <c r="A18" s="1489"/>
      <c r="B18" s="3552"/>
      <c r="C18" s="1493" t="s">
        <v>912</v>
      </c>
      <c r="D18" s="859" t="str">
        <f>结果表!H110</f>
        <v>——</v>
      </c>
      <c r="E18" s="1489"/>
    </row>
    <row r="19" spans="1:5" ht="15.75">
      <c r="A19" s="1489"/>
      <c r="B19" s="3543" t="str">
        <f>结果表!E111</f>
        <v>——</v>
      </c>
      <c r="C19" s="1497" t="s">
        <v>910</v>
      </c>
      <c r="D19" s="851" t="str">
        <f>结果表!H111</f>
        <v>——</v>
      </c>
      <c r="E19" s="1489"/>
    </row>
    <row r="20" spans="1:5" ht="15.75">
      <c r="A20" s="1489"/>
      <c r="B20" s="3544"/>
      <c r="C20" s="1492" t="s">
        <v>923</v>
      </c>
      <c r="D20" s="850" t="e">
        <f>NUMBERSTRING(INT(D19*10000),2)&amp;"元整"</f>
        <v>#VALUE!</v>
      </c>
      <c r="E20" s="1489"/>
    </row>
    <row r="21" spans="1:5" ht="15.75" thickBot="1">
      <c r="A21" s="1489"/>
      <c r="B21" s="3545"/>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1"/>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32" t="s">
        <v>1768</v>
      </c>
      <c r="D4" s="3744"/>
      <c r="E4" s="3745" t="s">
        <v>1769</v>
      </c>
      <c r="F4" s="3746"/>
      <c r="G4" s="3732" t="s">
        <v>1770</v>
      </c>
      <c r="H4" s="3744"/>
      <c r="I4" s="3732" t="s">
        <v>1771</v>
      </c>
      <c r="J4" s="3744"/>
      <c r="K4" s="559" t="s">
        <v>1772</v>
      </c>
      <c r="L4" s="2709"/>
      <c r="M4" s="2710"/>
      <c r="N4" s="2710"/>
      <c r="O4" s="2710"/>
      <c r="P4" s="3747" t="s">
        <v>1773</v>
      </c>
      <c r="Q4" s="3748"/>
      <c r="R4" s="3753" t="s">
        <v>1769</v>
      </c>
      <c r="S4" s="3754"/>
      <c r="T4" s="3753" t="s">
        <v>1770</v>
      </c>
      <c r="U4" s="3754"/>
      <c r="V4" s="3740" t="s">
        <v>1771</v>
      </c>
      <c r="W4" s="3740"/>
      <c r="X4" s="1353"/>
      <c r="Y4" s="3753" t="s">
        <v>1773</v>
      </c>
      <c r="Z4" s="3754"/>
      <c r="AA4" s="3741" t="s">
        <v>1769</v>
      </c>
      <c r="AB4" s="3742" t="s">
        <v>1770</v>
      </c>
      <c r="AC4" s="3741" t="s">
        <v>1771</v>
      </c>
    </row>
    <row r="5" spans="1:29" ht="15">
      <c r="A5" s="358"/>
      <c r="B5" s="359"/>
      <c r="C5" s="3761" t="s">
        <v>1671</v>
      </c>
      <c r="D5" s="3762"/>
      <c r="E5" s="3768" t="s">
        <v>1672</v>
      </c>
      <c r="F5" s="3769"/>
      <c r="G5" s="3761" t="s">
        <v>1673</v>
      </c>
      <c r="H5" s="3762"/>
      <c r="I5" s="3761" t="s">
        <v>1674</v>
      </c>
      <c r="J5" s="3762"/>
      <c r="K5" s="559"/>
      <c r="L5" s="2709"/>
      <c r="M5" s="2710"/>
      <c r="N5" s="2710"/>
      <c r="O5" s="2710"/>
      <c r="P5" s="3749"/>
      <c r="Q5" s="3750"/>
      <c r="R5" s="3755"/>
      <c r="S5" s="3756"/>
      <c r="T5" s="3755"/>
      <c r="U5" s="3756"/>
      <c r="V5" s="3740"/>
      <c r="W5" s="3740"/>
      <c r="X5" s="1353"/>
      <c r="Y5" s="3755"/>
      <c r="Z5" s="3756"/>
      <c r="AA5" s="3742"/>
      <c r="AB5" s="3742"/>
      <c r="AC5" s="3742"/>
    </row>
    <row r="6" spans="1:29" ht="15.75" thickBot="1">
      <c r="A6" s="360"/>
      <c r="B6" s="361"/>
      <c r="C6" s="3839" t="s">
        <v>1917</v>
      </c>
      <c r="D6" s="3840"/>
      <c r="E6" s="3841" t="s">
        <v>1917</v>
      </c>
      <c r="F6" s="3842"/>
      <c r="G6" s="3839" t="s">
        <v>1917</v>
      </c>
      <c r="H6" s="3840"/>
      <c r="I6" s="3839" t="s">
        <v>1917</v>
      </c>
      <c r="J6" s="3840"/>
      <c r="K6" s="559" t="s">
        <v>1676</v>
      </c>
      <c r="L6" s="2709"/>
      <c r="M6" s="2710"/>
      <c r="N6" s="2710"/>
      <c r="O6" s="2710"/>
      <c r="P6" s="3751"/>
      <c r="Q6" s="3752"/>
      <c r="R6" s="3755"/>
      <c r="S6" s="3756"/>
      <c r="T6" s="3757"/>
      <c r="U6" s="3758"/>
      <c r="V6" s="3740"/>
      <c r="W6" s="3740"/>
      <c r="X6" s="1353"/>
      <c r="Y6" s="3757"/>
      <c r="Z6" s="3758"/>
      <c r="AA6" s="3743"/>
      <c r="AB6" s="3743"/>
      <c r="AC6" s="3743"/>
    </row>
    <row r="7" spans="1:29" s="108" customFormat="1" ht="15.75" thickBot="1">
      <c r="A7" s="362" t="s">
        <v>1677</v>
      </c>
      <c r="B7" s="363"/>
      <c r="C7" s="364">
        <f>'数据-取费表'!B2</f>
        <v>45587</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763" t="s">
        <v>1678</v>
      </c>
      <c r="Q7" s="3765"/>
      <c r="R7" s="701" t="s">
        <v>14</v>
      </c>
      <c r="S7" s="702">
        <f t="shared" ref="S7:S15" si="0">F7</f>
        <v>0</v>
      </c>
      <c r="T7" s="701" t="s">
        <v>14</v>
      </c>
      <c r="U7" s="702">
        <f t="shared" ref="U7:U15" si="1">H7</f>
        <v>0</v>
      </c>
      <c r="V7" s="701" t="s">
        <v>14</v>
      </c>
      <c r="W7" s="702">
        <f t="shared" ref="W7:W15" si="2">J7</f>
        <v>0</v>
      </c>
      <c r="X7" s="703"/>
      <c r="Y7" s="3763" t="s">
        <v>1678</v>
      </c>
      <c r="Z7" s="376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63" t="s">
        <v>1681</v>
      </c>
      <c r="Q8" s="3764"/>
      <c r="R8" s="701" t="s">
        <v>14</v>
      </c>
      <c r="S8" s="702">
        <f t="shared" si="0"/>
        <v>0</v>
      </c>
      <c r="T8" s="701" t="s">
        <v>14</v>
      </c>
      <c r="U8" s="702">
        <f t="shared" si="1"/>
        <v>0</v>
      </c>
      <c r="V8" s="701" t="s">
        <v>14</v>
      </c>
      <c r="W8" s="702">
        <f t="shared" si="2"/>
        <v>0</v>
      </c>
      <c r="X8" s="703"/>
      <c r="Y8" s="3763" t="s">
        <v>1681</v>
      </c>
      <c r="Z8" s="3764"/>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35" t="s">
        <v>1684</v>
      </c>
      <c r="Q9" s="1341" t="str">
        <f t="shared" ref="Q9:Q15" si="6">B9</f>
        <v>用途</v>
      </c>
      <c r="R9" s="701" t="s">
        <v>14</v>
      </c>
      <c r="S9" s="702">
        <f t="shared" si="0"/>
        <v>100</v>
      </c>
      <c r="T9" s="701" t="s">
        <v>14</v>
      </c>
      <c r="U9" s="702">
        <f t="shared" si="1"/>
        <v>100</v>
      </c>
      <c r="V9" s="701" t="s">
        <v>14</v>
      </c>
      <c r="W9" s="702">
        <f t="shared" si="2"/>
        <v>100</v>
      </c>
      <c r="X9" s="703"/>
      <c r="Y9" s="3632"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3"/>
      <c r="M10" s="2714"/>
      <c r="N10" s="2714"/>
      <c r="O10" s="2767"/>
      <c r="P10" s="3735"/>
      <c r="Q10" s="1341" t="str">
        <f t="shared" si="6"/>
        <v>土地使用年限（年）</v>
      </c>
      <c r="R10" s="701" t="s">
        <v>14</v>
      </c>
      <c r="S10" s="702">
        <f t="shared" si="0"/>
        <v>111</v>
      </c>
      <c r="T10" s="701" t="s">
        <v>14</v>
      </c>
      <c r="U10" s="702">
        <f t="shared" si="1"/>
        <v>111</v>
      </c>
      <c r="V10" s="701" t="s">
        <v>14</v>
      </c>
      <c r="W10" s="702">
        <f t="shared" si="2"/>
        <v>111</v>
      </c>
      <c r="X10" s="703"/>
      <c r="Y10" s="3632"/>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5"/>
      <c r="Q11" s="1341"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5"/>
      <c r="Q12" s="1341">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5"/>
      <c r="Q13" s="1341">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5"/>
      <c r="Q14" s="1341">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6" t="s">
        <v>1689</v>
      </c>
      <c r="Q15" s="1350" t="str">
        <f t="shared" si="6"/>
        <v>产业集聚程度</v>
      </c>
      <c r="R15" s="705" t="s">
        <v>14</v>
      </c>
      <c r="S15" s="706">
        <f t="shared" si="0"/>
        <v>100</v>
      </c>
      <c r="T15" s="705" t="s">
        <v>14</v>
      </c>
      <c r="U15" s="706">
        <f t="shared" si="1"/>
        <v>100</v>
      </c>
      <c r="V15" s="705" t="s">
        <v>14</v>
      </c>
      <c r="W15" s="706">
        <f t="shared" si="2"/>
        <v>100</v>
      </c>
      <c r="X15" s="1353"/>
      <c r="Y15" s="3736"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37"/>
      <c r="Q16" s="1350"/>
      <c r="R16" s="705"/>
      <c r="S16" s="706"/>
      <c r="T16" s="705"/>
      <c r="U16" s="706"/>
      <c r="V16" s="705"/>
      <c r="W16" s="706"/>
      <c r="X16" s="1353"/>
      <c r="Y16" s="3737"/>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37"/>
      <c r="Q17" s="1350" t="str">
        <f>B17</f>
        <v>交通便捷度</v>
      </c>
      <c r="R17" s="705" t="s">
        <v>14</v>
      </c>
      <c r="S17" s="706">
        <f>F17</f>
        <v>100</v>
      </c>
      <c r="T17" s="705" t="s">
        <v>14</v>
      </c>
      <c r="U17" s="706">
        <f>H17</f>
        <v>100</v>
      </c>
      <c r="V17" s="705" t="s">
        <v>14</v>
      </c>
      <c r="W17" s="706">
        <f>J17</f>
        <v>100</v>
      </c>
      <c r="X17" s="1353"/>
      <c r="Y17" s="373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37"/>
      <c r="Q18" s="1350"/>
      <c r="R18" s="705"/>
      <c r="S18" s="706"/>
      <c r="T18" s="705"/>
      <c r="U18" s="706"/>
      <c r="V18" s="705"/>
      <c r="W18" s="706"/>
      <c r="X18" s="1353"/>
      <c r="Y18" s="3737"/>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37"/>
      <c r="Q19" s="1350" t="str">
        <f t="shared" ref="Q19:Q33" si="8">B19</f>
        <v>区域土地利用方向</v>
      </c>
      <c r="R19" s="705" t="s">
        <v>14</v>
      </c>
      <c r="S19" s="706">
        <f>F19</f>
        <v>100</v>
      </c>
      <c r="T19" s="705" t="s">
        <v>14</v>
      </c>
      <c r="U19" s="706">
        <f>H19</f>
        <v>100</v>
      </c>
      <c r="V19" s="705" t="s">
        <v>14</v>
      </c>
      <c r="W19" s="706">
        <f>J19</f>
        <v>100</v>
      </c>
      <c r="X19" s="1353"/>
      <c r="Y19" s="373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6"/>
      <c r="M20" s="2710"/>
      <c r="N20" s="2710"/>
      <c r="O20" s="2768"/>
      <c r="P20" s="3737"/>
      <c r="Q20" s="1350"/>
      <c r="R20" s="705"/>
      <c r="S20" s="706"/>
      <c r="T20" s="705"/>
      <c r="U20" s="706"/>
      <c r="V20" s="705"/>
      <c r="W20" s="706"/>
      <c r="X20" s="1353"/>
      <c r="Y20" s="3737"/>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37"/>
      <c r="Q21" s="1350" t="str">
        <f t="shared" si="8"/>
        <v>环境状况</v>
      </c>
      <c r="R21" s="705" t="s">
        <v>14</v>
      </c>
      <c r="S21" s="706">
        <f>F21</f>
        <v>100</v>
      </c>
      <c r="T21" s="705" t="s">
        <v>14</v>
      </c>
      <c r="U21" s="706">
        <f>H21</f>
        <v>100</v>
      </c>
      <c r="V21" s="705" t="s">
        <v>14</v>
      </c>
      <c r="W21" s="706">
        <f>J21</f>
        <v>100</v>
      </c>
      <c r="X21" s="1353"/>
      <c r="Y21" s="373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37"/>
      <c r="Q22" s="1350"/>
      <c r="R22" s="705"/>
      <c r="S22" s="706"/>
      <c r="T22" s="705"/>
      <c r="U22" s="706"/>
      <c r="V22" s="705"/>
      <c r="W22" s="706"/>
      <c r="X22" s="1353"/>
      <c r="Y22" s="3737"/>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37"/>
      <c r="Q23" s="1341" t="str">
        <f t="shared" si="8"/>
        <v>公共配套设施</v>
      </c>
      <c r="R23" s="701" t="s">
        <v>14</v>
      </c>
      <c r="S23" s="702">
        <f>F23</f>
        <v>100</v>
      </c>
      <c r="T23" s="701" t="s">
        <v>14</v>
      </c>
      <c r="U23" s="702">
        <f>H23</f>
        <v>100</v>
      </c>
      <c r="V23" s="701" t="s">
        <v>14</v>
      </c>
      <c r="W23" s="702">
        <f>J23</f>
        <v>100</v>
      </c>
      <c r="X23" s="703"/>
      <c r="Y23" s="373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1"/>
      <c r="M24" s="2712"/>
      <c r="N24" s="2712"/>
      <c r="O24" s="2766"/>
      <c r="P24" s="3737"/>
      <c r="Q24" s="1341"/>
      <c r="R24" s="701"/>
      <c r="S24" s="702"/>
      <c r="T24" s="701"/>
      <c r="U24" s="702"/>
      <c r="V24" s="701"/>
      <c r="W24" s="702"/>
      <c r="X24" s="703"/>
      <c r="Y24" s="3737"/>
      <c r="Z24" s="52"/>
      <c r="AA24" s="704">
        <v>1</v>
      </c>
      <c r="AB24" s="704">
        <v>1</v>
      </c>
      <c r="AC24" s="704">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37"/>
      <c r="Q25" s="1341" t="str">
        <f t="shared" ref="Q25" si="9">B25</f>
        <v>基础设施水平</v>
      </c>
      <c r="R25" s="701" t="s">
        <v>14</v>
      </c>
      <c r="S25" s="702">
        <f>F25</f>
        <v>100</v>
      </c>
      <c r="T25" s="701" t="s">
        <v>14</v>
      </c>
      <c r="U25" s="702">
        <f>H25</f>
        <v>100</v>
      </c>
      <c r="V25" s="701" t="s">
        <v>14</v>
      </c>
      <c r="W25" s="702">
        <f>J25</f>
        <v>100</v>
      </c>
      <c r="X25" s="703"/>
      <c r="Y25" s="373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1"/>
      <c r="M26" s="2712"/>
      <c r="N26" s="2712"/>
      <c r="O26" s="2766"/>
      <c r="P26" s="3737"/>
      <c r="Q26" s="1341"/>
      <c r="R26" s="701"/>
      <c r="S26" s="702"/>
      <c r="T26" s="701"/>
      <c r="U26" s="702"/>
      <c r="V26" s="701"/>
      <c r="W26" s="702"/>
      <c r="X26" s="703"/>
      <c r="Y26" s="3737"/>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37"/>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37"/>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37"/>
      <c r="Q28" s="1350" t="str">
        <f t="shared" si="8"/>
        <v>毗邻道路的类型与等级</v>
      </c>
      <c r="R28" s="705" t="s">
        <v>14</v>
      </c>
      <c r="S28" s="706">
        <f t="shared" si="10"/>
        <v>100</v>
      </c>
      <c r="T28" s="705" t="s">
        <v>14</v>
      </c>
      <c r="U28" s="706">
        <f t="shared" si="11"/>
        <v>100</v>
      </c>
      <c r="V28" s="705" t="s">
        <v>14</v>
      </c>
      <c r="W28" s="706">
        <f t="shared" si="12"/>
        <v>100</v>
      </c>
      <c r="X28" s="1353"/>
      <c r="Y28" s="373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37"/>
      <c r="Q29" s="1350"/>
      <c r="R29" s="705"/>
      <c r="S29" s="706"/>
      <c r="T29" s="705"/>
      <c r="U29" s="706"/>
      <c r="V29" s="705"/>
      <c r="W29" s="706"/>
      <c r="X29" s="1353"/>
      <c r="Y29" s="3737"/>
      <c r="Z29" s="1354"/>
      <c r="AA29" s="1351">
        <v>1</v>
      </c>
      <c r="AB29" s="1351">
        <v>1</v>
      </c>
      <c r="AC29" s="1351">
        <v>1</v>
      </c>
    </row>
    <row r="30" spans="1:29" ht="15">
      <c r="A30" s="379"/>
      <c r="B30" s="602" t="s">
        <v>1871</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37"/>
      <c r="Q30" s="1350" t="str">
        <f t="shared" si="8"/>
        <v>土地级别</v>
      </c>
      <c r="R30" s="705" t="s">
        <v>14</v>
      </c>
      <c r="S30" s="706">
        <f t="shared" si="10"/>
        <v>100</v>
      </c>
      <c r="T30" s="705" t="s">
        <v>14</v>
      </c>
      <c r="U30" s="706">
        <f t="shared" si="11"/>
        <v>100</v>
      </c>
      <c r="V30" s="705" t="s">
        <v>14</v>
      </c>
      <c r="W30" s="706">
        <f t="shared" si="12"/>
        <v>100</v>
      </c>
      <c r="X30" s="1353"/>
      <c r="Y30" s="373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37"/>
      <c r="Q31" s="1350">
        <f t="shared" si="8"/>
        <v>111</v>
      </c>
      <c r="R31" s="705" t="s">
        <v>14</v>
      </c>
      <c r="S31" s="706">
        <f t="shared" si="10"/>
        <v>100</v>
      </c>
      <c r="T31" s="705" t="s">
        <v>14</v>
      </c>
      <c r="U31" s="706">
        <f t="shared" si="11"/>
        <v>100</v>
      </c>
      <c r="V31" s="705" t="s">
        <v>14</v>
      </c>
      <c r="W31" s="706">
        <f t="shared" si="12"/>
        <v>100</v>
      </c>
      <c r="X31" s="1353"/>
      <c r="Y31" s="373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8" t="s">
        <v>1694</v>
      </c>
      <c r="Q32" s="1350">
        <f t="shared" si="8"/>
        <v>111</v>
      </c>
      <c r="R32" s="705" t="s">
        <v>14</v>
      </c>
      <c r="S32" s="706">
        <f t="shared" si="10"/>
        <v>100</v>
      </c>
      <c r="T32" s="705" t="s">
        <v>14</v>
      </c>
      <c r="U32" s="706">
        <f t="shared" si="11"/>
        <v>100</v>
      </c>
      <c r="V32" s="705" t="s">
        <v>14</v>
      </c>
      <c r="W32" s="706">
        <f t="shared" si="12"/>
        <v>100</v>
      </c>
      <c r="X32" s="1353"/>
      <c r="Y32" s="3739"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39"/>
      <c r="Q33" s="1350">
        <f t="shared" si="8"/>
        <v>111</v>
      </c>
      <c r="R33" s="708" t="s">
        <v>14</v>
      </c>
      <c r="S33" s="709">
        <f t="shared" si="10"/>
        <v>100</v>
      </c>
      <c r="T33" s="708" t="s">
        <v>14</v>
      </c>
      <c r="U33" s="709">
        <f t="shared" si="11"/>
        <v>100</v>
      </c>
      <c r="V33" s="708" t="s">
        <v>14</v>
      </c>
      <c r="W33" s="709">
        <f t="shared" si="12"/>
        <v>100</v>
      </c>
      <c r="X33" s="710"/>
      <c r="Y33" s="3739"/>
      <c r="Z33" s="711">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39"/>
      <c r="Q34" s="1350" t="str">
        <f>B34</f>
        <v>宗地面积</v>
      </c>
      <c r="R34" s="705" t="s">
        <v>14</v>
      </c>
      <c r="S34" s="706" t="e">
        <f t="shared" si="10"/>
        <v>#N/A</v>
      </c>
      <c r="T34" s="705" t="s">
        <v>14</v>
      </c>
      <c r="U34" s="706" t="e">
        <f t="shared" si="11"/>
        <v>#N/A</v>
      </c>
      <c r="V34" s="705" t="s">
        <v>14</v>
      </c>
      <c r="W34" s="706" t="e">
        <f t="shared" si="12"/>
        <v>#N/A</v>
      </c>
      <c r="X34" s="1353"/>
      <c r="Y34" s="3739"/>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39"/>
      <c r="Q35" s="1350" t="str">
        <f t="shared" ref="Q35:Q40" si="14">B35</f>
        <v>宗地形状</v>
      </c>
      <c r="R35" s="705" t="s">
        <v>14</v>
      </c>
      <c r="S35" s="706">
        <f t="shared" si="10"/>
        <v>100</v>
      </c>
      <c r="T35" s="705" t="s">
        <v>14</v>
      </c>
      <c r="U35" s="706">
        <f t="shared" si="11"/>
        <v>100</v>
      </c>
      <c r="V35" s="705" t="s">
        <v>14</v>
      </c>
      <c r="W35" s="706">
        <f t="shared" si="12"/>
        <v>100</v>
      </c>
      <c r="X35" s="1353"/>
      <c r="Y35" s="3739"/>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39"/>
      <c r="Q36" s="1350"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39" t="s">
        <v>1694</v>
      </c>
      <c r="Q37" s="1350" t="str">
        <f t="shared" si="14"/>
        <v>工程地质条件</v>
      </c>
      <c r="R37" s="705" t="s">
        <v>14</v>
      </c>
      <c r="S37" s="706">
        <f t="shared" si="10"/>
        <v>100</v>
      </c>
      <c r="T37" s="705" t="s">
        <v>14</v>
      </c>
      <c r="U37" s="706">
        <f t="shared" si="11"/>
        <v>100</v>
      </c>
      <c r="V37" s="705" t="s">
        <v>14</v>
      </c>
      <c r="W37" s="706">
        <f t="shared" si="12"/>
        <v>100</v>
      </c>
      <c r="X37" s="1353"/>
      <c r="Y37" s="3739" t="s">
        <v>1694</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39"/>
      <c r="Q38" s="1350">
        <f t="shared" si="14"/>
        <v>111</v>
      </c>
      <c r="R38" s="705" t="s">
        <v>14</v>
      </c>
      <c r="S38" s="706">
        <f t="shared" si="10"/>
        <v>100</v>
      </c>
      <c r="T38" s="705" t="s">
        <v>14</v>
      </c>
      <c r="U38" s="706">
        <f t="shared" si="11"/>
        <v>100</v>
      </c>
      <c r="V38" s="705" t="s">
        <v>14</v>
      </c>
      <c r="W38" s="706">
        <f t="shared" si="12"/>
        <v>100</v>
      </c>
      <c r="X38" s="1353"/>
      <c r="Y38" s="3739"/>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39"/>
      <c r="Q39" s="1350">
        <f t="shared" si="14"/>
        <v>111</v>
      </c>
      <c r="R39" s="705" t="s">
        <v>14</v>
      </c>
      <c r="S39" s="706">
        <f t="shared" si="10"/>
        <v>100</v>
      </c>
      <c r="T39" s="705" t="s">
        <v>14</v>
      </c>
      <c r="U39" s="706">
        <f t="shared" si="11"/>
        <v>100</v>
      </c>
      <c r="V39" s="705" t="s">
        <v>14</v>
      </c>
      <c r="W39" s="706">
        <f t="shared" si="12"/>
        <v>100</v>
      </c>
      <c r="X39" s="1353"/>
      <c r="Y39" s="3739"/>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39"/>
      <c r="Q40" s="1350">
        <f t="shared" si="14"/>
        <v>111</v>
      </c>
      <c r="R40" s="708" t="s">
        <v>14</v>
      </c>
      <c r="S40" s="709">
        <f t="shared" si="10"/>
        <v>100</v>
      </c>
      <c r="T40" s="708" t="s">
        <v>14</v>
      </c>
      <c r="U40" s="709">
        <f t="shared" si="11"/>
        <v>100</v>
      </c>
      <c r="V40" s="708" t="s">
        <v>14</v>
      </c>
      <c r="W40" s="709">
        <f t="shared" si="12"/>
        <v>100</v>
      </c>
      <c r="X40" s="710"/>
      <c r="Y40" s="3739"/>
      <c r="Z40" s="711">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4"/>
      <c r="L41" s="2718"/>
      <c r="M41" s="2710"/>
      <c r="N41" s="2710"/>
      <c r="O41" s="2719"/>
      <c r="P41" s="3735" t="str">
        <f>A41</f>
        <v>成交单价</v>
      </c>
      <c r="Q41" s="3735"/>
      <c r="R41" s="3740">
        <f>E41</f>
        <v>0</v>
      </c>
      <c r="S41" s="3740"/>
      <c r="T41" s="3740">
        <f>G41</f>
        <v>0</v>
      </c>
      <c r="U41" s="3740"/>
      <c r="V41" s="3740">
        <f>I41</f>
        <v>0</v>
      </c>
      <c r="W41" s="3740"/>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8"/>
      <c r="M42" s="2710"/>
      <c r="N42" s="2710"/>
      <c r="O42" s="2719"/>
      <c r="P42" s="3735" t="str">
        <f>A42</f>
        <v>比较价值（元/平方米）</v>
      </c>
      <c r="Q42" s="3735"/>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29" t="str">
        <f>A43</f>
        <v>估价对象XX用房的比较价值（楼面单价，元/平方米）</v>
      </c>
      <c r="Q43" s="3730"/>
      <c r="R43" s="3731" t="e">
        <f>ROUND(IF(D42="简单平均",AVERAGE(R42:W42),R42*F42+T42*H42+V42*J42),0)</f>
        <v>#DIV/0!</v>
      </c>
      <c r="S43" s="3731"/>
      <c r="T43" s="3731"/>
      <c r="U43" s="3731"/>
      <c r="V43" s="3731"/>
      <c r="W43" s="3731"/>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1" t="s">
        <v>1881</v>
      </c>
      <c r="D50" s="1982" t="s">
        <v>1882</v>
      </c>
      <c r="E50" s="634" t="s">
        <v>1883</v>
      </c>
      <c r="F50" s="635" t="s">
        <v>1884</v>
      </c>
      <c r="G50" s="3732" t="s">
        <v>1885</v>
      </c>
      <c r="H50" s="3733"/>
      <c r="I50" s="1354" t="s">
        <v>1921</v>
      </c>
      <c r="J50" s="1354" t="str">
        <f>项目基本情况!F35</f>
        <v>通州区</v>
      </c>
      <c r="K50" s="1984"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99445.269999999888</v>
      </c>
      <c r="F51" s="639" t="e">
        <f t="shared" ref="F51:F60" si="15">ROUND(B51*E51/10000,0)</f>
        <v>#DIV/0!</v>
      </c>
      <c r="G51" s="3734"/>
      <c r="H51" s="373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四级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0.25</v>
      </c>
      <c r="D56" s="945">
        <v>0.25</v>
      </c>
      <c r="E56" s="217">
        <f>'数据-汇总表'!E11</f>
        <v>0</v>
      </c>
      <c r="F56" s="639" t="e">
        <f t="shared" si="15"/>
        <v>#DIV/0!</v>
      </c>
      <c r="G56" s="1985" t="s">
        <v>1894</v>
      </c>
      <c r="H56" s="887" t="str">
        <f>项目基本情况!C37</f>
        <v>四级</v>
      </c>
      <c r="I56" s="773">
        <f>SUMIF(修正!A57:A68,H56,修正!E57:E68)</f>
        <v>0.25</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四级</v>
      </c>
      <c r="I57" s="773">
        <f>SUMIF(修正!A57:A68,H57,修正!F57:F68)</f>
        <v>0.25</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0.15</v>
      </c>
      <c r="D58" s="945">
        <v>0.25</v>
      </c>
      <c r="E58" s="217">
        <f>'数据-汇总表'!E13</f>
        <v>11525.369999999966</v>
      </c>
      <c r="F58" s="639" t="e">
        <f t="shared" si="15"/>
        <v>#DIV/0!</v>
      </c>
      <c r="G58" s="892" t="s">
        <v>1898</v>
      </c>
      <c r="H58" s="887" t="str">
        <f>IF(G58="商业",项目基本情况!B37,IF(G58="办公",项目基本情况!C37,IF(G58="住宅",项目基本情况!D37,项目基本情况!E37)))</f>
        <v>四级</v>
      </c>
      <c r="I58" s="773">
        <f>SUMIF(修正!A57:A68,H58,修正!G57:G68)</f>
        <v>0.15</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0.15</v>
      </c>
      <c r="D59" s="945">
        <v>0.25</v>
      </c>
      <c r="E59" s="217">
        <f>'数据-汇总表'!E14</f>
        <v>0</v>
      </c>
      <c r="F59" s="639" t="e">
        <f t="shared" si="15"/>
        <v>#DIV/0!</v>
      </c>
      <c r="G59" s="1985" t="s">
        <v>1890</v>
      </c>
      <c r="H59" s="887" t="str">
        <f>项目基本情况!B37</f>
        <v>四级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0.15</v>
      </c>
      <c r="D60" s="945">
        <v>0.25</v>
      </c>
      <c r="E60" s="217">
        <f>'数据-汇总表'!E15</f>
        <v>0</v>
      </c>
      <c r="F60" s="639" t="e">
        <f t="shared" si="15"/>
        <v>#DIV/0!</v>
      </c>
      <c r="G60" s="1986" t="s">
        <v>1894</v>
      </c>
      <c r="H60" s="897" t="str">
        <f>项目基本情况!C37</f>
        <v>四级</v>
      </c>
      <c r="I60" s="773">
        <f>SUMIF(修正!A57:A68,H60,修正!G57:G68)</f>
        <v>0.15</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13594.730000000014</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7" t="s">
        <v>1902</v>
      </c>
      <c r="B65" s="1108"/>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1922</v>
      </c>
      <c r="B66" s="288" t="str">
        <f>"北京市平均增长率"&amp;TEXT('基准地价修正-商业'!P28,"0.00%")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6" t="s">
        <v>2082</v>
      </c>
      <c r="D1" s="3847"/>
      <c r="E1" s="3847"/>
      <c r="F1" s="3847"/>
      <c r="G1" s="3847"/>
      <c r="H1" s="3847"/>
      <c r="I1" s="3847"/>
      <c r="J1" s="3847"/>
      <c r="K1" s="3847"/>
      <c r="L1" s="3847"/>
      <c r="M1" s="3847"/>
      <c r="N1" s="3847"/>
      <c r="O1" s="3847"/>
      <c r="P1" s="3847"/>
      <c r="Q1" s="3847"/>
      <c r="R1" s="3847"/>
      <c r="S1" s="384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2085</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2086</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2087</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38"/>
      <c r="F19" s="1338"/>
      <c r="G19" s="1338"/>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39"/>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3" t="s">
        <v>27</v>
      </c>
      <c r="D22" s="3844"/>
      <c r="E22" s="3844"/>
      <c r="F22" s="3844"/>
      <c r="G22" s="3844"/>
      <c r="H22" s="3844"/>
      <c r="I22" s="3844"/>
      <c r="J22" s="3844"/>
      <c r="K22" s="3844"/>
      <c r="L22" s="3844"/>
      <c r="M22" s="3844"/>
      <c r="N22" s="3844"/>
      <c r="O22" s="3844"/>
      <c r="P22" s="3844"/>
      <c r="Q22" s="384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7"/>
      <c r="G1" s="2787"/>
      <c r="H1" s="2787"/>
      <c r="I1" s="2787"/>
      <c r="J1" s="2787"/>
      <c r="K1" s="2787"/>
      <c r="L1" s="2787"/>
      <c r="M1" s="2787"/>
      <c r="N1" s="2787"/>
      <c r="O1" s="2787"/>
      <c r="P1" s="2787"/>
    </row>
    <row r="2" spans="1:16" ht="15.75">
      <c r="A2" s="2143" t="s">
        <v>2071</v>
      </c>
      <c r="B2" s="2596">
        <f ca="1">SUMIF(B6:B13,"&lt;&gt;#ref!",B6:B13)</f>
        <v>0</v>
      </c>
      <c r="C2" s="2143" t="s">
        <v>2072</v>
      </c>
      <c r="D2" s="2143" t="s">
        <v>2073</v>
      </c>
      <c r="E2" s="2606">
        <f ca="1">SUMIF(E6:E13,"&lt;&gt;#ref!",E6:E13)</f>
        <v>0</v>
      </c>
      <c r="F2" s="2787"/>
      <c r="G2" s="2787"/>
      <c r="H2" s="2787"/>
      <c r="I2" s="2787"/>
      <c r="J2" s="2787"/>
      <c r="K2" s="2787"/>
      <c r="L2" s="2787"/>
      <c r="M2" s="2787"/>
      <c r="N2" s="2787"/>
      <c r="O2" s="2787"/>
      <c r="P2" s="2787"/>
    </row>
    <row r="3" spans="1:16" ht="15.75">
      <c r="A3" s="2143" t="s">
        <v>2074</v>
      </c>
      <c r="B3" s="2596" t="e">
        <f ca="1">ROUND(B2*10000/E2,0)</f>
        <v>#DIV/0!</v>
      </c>
      <c r="C3" s="2143"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4"/>
      <c r="D5" s="2787"/>
      <c r="E5" s="2605" t="s">
        <v>2077</v>
      </c>
      <c r="F5" s="2787"/>
      <c r="G5" s="2787"/>
      <c r="H5" s="2787"/>
      <c r="I5" s="2787"/>
      <c r="J5" s="2787"/>
      <c r="K5" s="2787"/>
      <c r="L5" s="2787"/>
      <c r="M5" s="2787"/>
      <c r="N5" s="2787"/>
      <c r="O5" s="2787"/>
      <c r="P5" s="2787"/>
    </row>
    <row r="6" spans="1:16" ht="15.75">
      <c r="A6" s="2603" t="s">
        <v>2078</v>
      </c>
      <c r="B6" s="2596" t="e">
        <f ca="1">SUMIF(INDIRECT("'"&amp;A6&amp;"'"&amp;"!A:A"),"总价",INDIRECT("'"&amp;A6&amp;"'"&amp;"!B:B"))</f>
        <v>#REF!</v>
      </c>
      <c r="C6" s="2143" t="s">
        <v>2072</v>
      </c>
      <c r="D6" s="2787"/>
      <c r="E6" s="2606" t="e">
        <f ca="1">SUMIF(INDIRECT("'"&amp;A6&amp;"'"&amp;"!C:C"),"建筑面积",INDIRECT("'"&amp;A6&amp;"'"&amp;"!D:D"))</f>
        <v>#REF!</v>
      </c>
      <c r="F6" s="2787"/>
      <c r="G6" s="2787"/>
      <c r="H6" s="2787"/>
      <c r="I6" s="2787"/>
      <c r="J6" s="2787"/>
      <c r="K6" s="2787"/>
      <c r="L6" s="2787"/>
      <c r="M6" s="2787"/>
      <c r="N6" s="2787"/>
      <c r="O6" s="2787"/>
      <c r="P6" s="2787"/>
    </row>
    <row r="7" spans="1:16" ht="15.75">
      <c r="A7" s="2603"/>
      <c r="B7" s="2596" t="e">
        <f ca="1">SUMIF(INDIRECT("'"&amp;A7&amp;"'"&amp;"!A:A"),"总价",INDIRECT("'"&amp;A7&amp;"'"&amp;"!B:B"))</f>
        <v>#REF!</v>
      </c>
      <c r="C7" s="2143"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2586</v>
      </c>
      <c r="B1" s="3066" t="s">
        <v>2587</v>
      </c>
      <c r="C1" s="3066" t="s">
        <v>2588</v>
      </c>
      <c r="D1" s="3066" t="s">
        <v>2589</v>
      </c>
      <c r="E1" s="3066" t="s">
        <v>2590</v>
      </c>
      <c r="F1" s="3066" t="s">
        <v>2591</v>
      </c>
      <c r="G1" s="3066" t="s">
        <v>2592</v>
      </c>
      <c r="H1" s="3066" t="s">
        <v>2593</v>
      </c>
      <c r="I1" s="3066" t="s">
        <v>2594</v>
      </c>
      <c r="J1" s="3066" t="s">
        <v>2595</v>
      </c>
      <c r="K1" s="3066" t="s">
        <v>2596</v>
      </c>
      <c r="L1" s="3066" t="s">
        <v>2597</v>
      </c>
      <c r="M1" s="3067" t="s">
        <v>2598</v>
      </c>
    </row>
    <row r="2" spans="1:13" ht="19.5" customHeight="1">
      <c r="A2" s="3069" t="s">
        <v>2599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2615</v>
      </c>
      <c r="B18" s="3091"/>
      <c r="C18" s="3092"/>
      <c r="D18" s="3092"/>
      <c r="E18" s="3091"/>
      <c r="F18" s="3092"/>
      <c r="G18" s="3092"/>
    </row>
    <row r="19" spans="1:13" ht="19.5" customHeight="1" thickBot="1">
      <c r="A19" s="3089" t="s">
        <v>2616</v>
      </c>
      <c r="B19" s="3094" t="s">
        <v>2617</v>
      </c>
      <c r="C19" s="3094" t="s">
        <v>2618</v>
      </c>
      <c r="D19" s="3095"/>
      <c r="E19" s="3089" t="s">
        <v>2619</v>
      </c>
      <c r="F19" s="3096"/>
      <c r="G19" s="3096"/>
    </row>
    <row r="20" spans="1:13" ht="19.5" customHeight="1">
      <c r="A20" s="3858" t="s">
        <v>2599</v>
      </c>
      <c r="B20" s="3853" t="s">
        <v>2620</v>
      </c>
      <c r="C20" s="3097" t="s">
        <v>2431</v>
      </c>
      <c r="D20" s="3098"/>
      <c r="E20" s="3099">
        <v>1</v>
      </c>
      <c r="F20" s="3100" t="s">
        <v>2432</v>
      </c>
      <c r="G20" s="3100"/>
    </row>
    <row r="21" spans="1:13" ht="19.5" customHeight="1">
      <c r="A21" s="3859"/>
      <c r="B21" s="3852"/>
      <c r="C21" s="3101" t="s">
        <v>2433</v>
      </c>
      <c r="D21" s="3102"/>
      <c r="E21" s="3103">
        <v>1</v>
      </c>
      <c r="F21" s="3100" t="s">
        <v>2434</v>
      </c>
      <c r="G21" s="3100"/>
    </row>
    <row r="22" spans="1:13" ht="19.5" customHeight="1">
      <c r="A22" s="3859"/>
      <c r="B22" s="3852"/>
      <c r="C22" s="3101" t="s">
        <v>2435</v>
      </c>
      <c r="D22" s="3102"/>
      <c r="E22" s="3103">
        <v>0.9</v>
      </c>
      <c r="F22" s="3100" t="s">
        <v>2436</v>
      </c>
      <c r="G22" s="3100"/>
    </row>
    <row r="23" spans="1:13" ht="19.5" customHeight="1">
      <c r="A23" s="3859"/>
      <c r="B23" s="3852"/>
      <c r="C23" s="3101" t="s">
        <v>2437</v>
      </c>
      <c r="D23" s="3102"/>
      <c r="E23" s="3103">
        <v>0.9</v>
      </c>
      <c r="F23" s="3100" t="s">
        <v>2438</v>
      </c>
      <c r="G23" s="3100"/>
    </row>
    <row r="24" spans="1:13" ht="19.5" customHeight="1">
      <c r="A24" s="3859"/>
      <c r="B24" s="3852"/>
      <c r="C24" s="3101" t="s">
        <v>2439</v>
      </c>
      <c r="D24" s="3102"/>
      <c r="E24" s="3103">
        <v>0.8</v>
      </c>
      <c r="F24" s="3100" t="s">
        <v>2440</v>
      </c>
      <c r="G24" s="3100"/>
    </row>
    <row r="25" spans="1:13" ht="19.5" customHeight="1" thickBot="1">
      <c r="A25" s="3860"/>
      <c r="B25" s="3854"/>
      <c r="C25" s="3104" t="s">
        <v>2441</v>
      </c>
      <c r="D25" s="3105"/>
      <c r="E25" s="3106">
        <v>0.8</v>
      </c>
      <c r="F25" s="3100" t="s">
        <v>2442</v>
      </c>
      <c r="G25" s="3100"/>
    </row>
    <row r="26" spans="1:13" ht="19.5" customHeight="1" thickBot="1">
      <c r="A26" s="3107" t="s">
        <v>2621</v>
      </c>
      <c r="B26" s="3108" t="s">
        <v>2620</v>
      </c>
      <c r="C26" s="3109" t="s">
        <v>2622</v>
      </c>
      <c r="D26" s="3110"/>
      <c r="E26" s="3111">
        <v>1</v>
      </c>
      <c r="F26" s="3100" t="s">
        <v>2443</v>
      </c>
      <c r="G26" s="3100"/>
    </row>
    <row r="27" spans="1:13" ht="19.5" customHeight="1">
      <c r="A27" s="3855" t="s">
        <v>2623</v>
      </c>
      <c r="B27" s="3853" t="s">
        <v>2604</v>
      </c>
      <c r="C27" s="3097" t="s">
        <v>2444</v>
      </c>
      <c r="D27" s="3098"/>
      <c r="E27" s="3099">
        <v>1</v>
      </c>
      <c r="F27" s="3100" t="s">
        <v>2445</v>
      </c>
      <c r="G27" s="3100"/>
    </row>
    <row r="28" spans="1:13" ht="19.5" customHeight="1">
      <c r="A28" s="3856"/>
      <c r="B28" s="3852"/>
      <c r="C28" s="3101" t="s">
        <v>2446</v>
      </c>
      <c r="D28" s="3102"/>
      <c r="E28" s="3103">
        <v>1</v>
      </c>
      <c r="F28" s="3100" t="s">
        <v>2447</v>
      </c>
      <c r="G28" s="3100"/>
    </row>
    <row r="29" spans="1:13" ht="19.5" customHeight="1">
      <c r="A29" s="3856"/>
      <c r="B29" s="3852"/>
      <c r="C29" s="3101" t="s">
        <v>2448</v>
      </c>
      <c r="D29" s="3102"/>
      <c r="E29" s="3103">
        <v>0.8</v>
      </c>
      <c r="F29" s="3100" t="s">
        <v>2449</v>
      </c>
      <c r="G29" s="3100"/>
    </row>
    <row r="30" spans="1:13" ht="19.5" customHeight="1">
      <c r="A30" s="3856"/>
      <c r="B30" s="3852"/>
      <c r="C30" s="3101" t="s">
        <v>2450</v>
      </c>
      <c r="D30" s="3102"/>
      <c r="E30" s="3103">
        <v>0.8</v>
      </c>
      <c r="F30" s="3100" t="s">
        <v>2451</v>
      </c>
      <c r="G30" s="3100"/>
    </row>
    <row r="31" spans="1:13" ht="19.5" customHeight="1">
      <c r="A31" s="3856"/>
      <c r="B31" s="3852"/>
      <c r="C31" s="3101" t="s">
        <v>2452</v>
      </c>
      <c r="D31" s="3102"/>
      <c r="E31" s="3103">
        <v>0.8</v>
      </c>
      <c r="F31" s="3100" t="s">
        <v>2453</v>
      </c>
      <c r="G31" s="3100"/>
    </row>
    <row r="32" spans="1:13" ht="19.5" customHeight="1">
      <c r="A32" s="3856"/>
      <c r="B32" s="3852"/>
      <c r="C32" s="3101" t="s">
        <v>2454</v>
      </c>
      <c r="D32" s="3102"/>
      <c r="E32" s="3103">
        <v>0.7</v>
      </c>
      <c r="F32" s="3100" t="s">
        <v>2455</v>
      </c>
      <c r="G32" s="3100"/>
    </row>
    <row r="33" spans="1:7" ht="19.5" customHeight="1">
      <c r="A33" s="3856"/>
      <c r="B33" s="3852"/>
      <c r="C33" s="3101" t="s">
        <v>2456</v>
      </c>
      <c r="D33" s="3102"/>
      <c r="E33" s="3103">
        <v>0.8</v>
      </c>
      <c r="F33" s="3100" t="s">
        <v>2457</v>
      </c>
      <c r="G33" s="3100"/>
    </row>
    <row r="34" spans="1:7" ht="19.5" customHeight="1">
      <c r="A34" s="3856"/>
      <c r="B34" s="3852"/>
      <c r="C34" s="3101" t="s">
        <v>2458</v>
      </c>
      <c r="D34" s="3102"/>
      <c r="E34" s="3103">
        <v>0.6</v>
      </c>
      <c r="F34" s="3100" t="s">
        <v>2459</v>
      </c>
      <c r="G34" s="3100"/>
    </row>
    <row r="35" spans="1:7" ht="19.5" customHeight="1">
      <c r="A35" s="3856"/>
      <c r="B35" s="3852"/>
      <c r="C35" s="3101" t="s">
        <v>2460</v>
      </c>
      <c r="D35" s="3102"/>
      <c r="E35" s="3103">
        <v>0.2</v>
      </c>
      <c r="F35" s="3100" t="s">
        <v>2461</v>
      </c>
      <c r="G35" s="3100"/>
    </row>
    <row r="36" spans="1:7" ht="19.5" customHeight="1">
      <c r="A36" s="3856"/>
      <c r="B36" s="3852"/>
      <c r="C36" s="3101" t="s">
        <v>2462</v>
      </c>
      <c r="D36" s="3102"/>
      <c r="E36" s="3103">
        <v>0.2</v>
      </c>
      <c r="F36" s="3100" t="s">
        <v>2463</v>
      </c>
      <c r="G36" s="3100"/>
    </row>
    <row r="37" spans="1:7" ht="19.5" customHeight="1">
      <c r="A37" s="3856"/>
      <c r="B37" s="3850" t="s">
        <v>2624</v>
      </c>
      <c r="C37" s="3101" t="s">
        <v>2464</v>
      </c>
      <c r="D37" s="3102"/>
      <c r="E37" s="3103">
        <v>0.6</v>
      </c>
      <c r="F37" s="3100" t="s">
        <v>2465</v>
      </c>
      <c r="G37" s="3100"/>
    </row>
    <row r="38" spans="1:7" ht="19.5" customHeight="1">
      <c r="A38" s="3856"/>
      <c r="B38" s="3852"/>
      <c r="C38" s="3101" t="s">
        <v>2466</v>
      </c>
      <c r="D38" s="3102"/>
      <c r="E38" s="3103">
        <v>0.6</v>
      </c>
      <c r="F38" s="3100" t="s">
        <v>2467</v>
      </c>
      <c r="G38" s="3100"/>
    </row>
    <row r="39" spans="1:7" ht="19.5" customHeight="1" thickBot="1">
      <c r="A39" s="3857"/>
      <c r="B39" s="3854"/>
      <c r="C39" s="3104" t="s">
        <v>2468</v>
      </c>
      <c r="D39" s="3105"/>
      <c r="E39" s="3106">
        <v>0.6</v>
      </c>
      <c r="F39" s="3100" t="s">
        <v>2469</v>
      </c>
      <c r="G39" s="3100"/>
    </row>
    <row r="40" spans="1:7" ht="19.5" customHeight="1" thickBot="1">
      <c r="A40" s="3107" t="s">
        <v>2601</v>
      </c>
      <c r="B40" s="3108" t="s">
        <v>2601</v>
      </c>
      <c r="C40" s="3109" t="s">
        <v>2625</v>
      </c>
      <c r="D40" s="3110"/>
      <c r="E40" s="3111">
        <v>1</v>
      </c>
      <c r="F40" s="3100" t="s">
        <v>2470</v>
      </c>
      <c r="G40" s="3100"/>
    </row>
    <row r="41" spans="1:7" ht="19.5" customHeight="1">
      <c r="A41" s="3858" t="s">
        <v>2602</v>
      </c>
      <c r="B41" s="3853" t="s">
        <v>2626</v>
      </c>
      <c r="C41" s="3097" t="s">
        <v>2471</v>
      </c>
      <c r="D41" s="3098"/>
      <c r="E41" s="3099">
        <v>1</v>
      </c>
      <c r="F41" s="3100" t="s">
        <v>2472</v>
      </c>
      <c r="G41" s="3100"/>
    </row>
    <row r="42" spans="1:7" ht="19.5" customHeight="1">
      <c r="A42" s="3859"/>
      <c r="B42" s="3852"/>
      <c r="C42" s="3101" t="s">
        <v>2473</v>
      </c>
      <c r="D42" s="3102"/>
      <c r="E42" s="3103">
        <v>1</v>
      </c>
      <c r="F42" s="3100" t="s">
        <v>2474</v>
      </c>
      <c r="G42" s="3100"/>
    </row>
    <row r="43" spans="1:7" ht="19.5" customHeight="1">
      <c r="A43" s="3859"/>
      <c r="B43" s="3851"/>
      <c r="C43" s="3101" t="s">
        <v>2475</v>
      </c>
      <c r="D43" s="3102"/>
      <c r="E43" s="3103">
        <v>1.5</v>
      </c>
      <c r="F43" s="3100" t="s">
        <v>2476</v>
      </c>
      <c r="G43" s="3100"/>
    </row>
    <row r="44" spans="1:7" ht="19.5" customHeight="1">
      <c r="A44" s="3859"/>
      <c r="B44" s="3112" t="s">
        <v>2627</v>
      </c>
      <c r="C44" s="3101" t="s">
        <v>2628</v>
      </c>
      <c r="D44" s="3102"/>
      <c r="E44" s="3103">
        <v>2</v>
      </c>
      <c r="F44" s="3100" t="s">
        <v>2477</v>
      </c>
      <c r="G44" s="3100"/>
    </row>
    <row r="45" spans="1:7" ht="19.5" customHeight="1">
      <c r="A45" s="3859"/>
      <c r="B45" s="3850" t="s">
        <v>2629</v>
      </c>
      <c r="C45" s="3101" t="s">
        <v>2478</v>
      </c>
      <c r="D45" s="3102"/>
      <c r="E45" s="3103">
        <v>1</v>
      </c>
      <c r="F45" s="3100" t="s">
        <v>2479</v>
      </c>
      <c r="G45" s="3100"/>
    </row>
    <row r="46" spans="1:7" ht="19.5" customHeight="1">
      <c r="A46" s="3859"/>
      <c r="B46" s="3852"/>
      <c r="C46" s="3101" t="s">
        <v>2480</v>
      </c>
      <c r="D46" s="3102"/>
      <c r="E46" s="3103">
        <v>1</v>
      </c>
      <c r="F46" s="3100" t="s">
        <v>2481</v>
      </c>
      <c r="G46" s="3100"/>
    </row>
    <row r="47" spans="1:7" ht="19.5" customHeight="1">
      <c r="A47" s="3859"/>
      <c r="B47" s="3852"/>
      <c r="C47" s="3101" t="s">
        <v>2482</v>
      </c>
      <c r="D47" s="3102"/>
      <c r="E47" s="3103">
        <v>1</v>
      </c>
      <c r="F47" s="3100" t="s">
        <v>2483</v>
      </c>
      <c r="G47" s="3100"/>
    </row>
    <row r="48" spans="1:7" ht="19.5" customHeight="1">
      <c r="A48" s="3859"/>
      <c r="B48" s="3852"/>
      <c r="C48" s="3101" t="s">
        <v>2484</v>
      </c>
      <c r="D48" s="3102"/>
      <c r="E48" s="3103">
        <v>1</v>
      </c>
      <c r="F48" s="3100" t="s">
        <v>2485</v>
      </c>
      <c r="G48" s="3100"/>
    </row>
    <row r="49" spans="1:7" ht="19.5" customHeight="1">
      <c r="A49" s="3859"/>
      <c r="B49" s="3852"/>
      <c r="C49" s="3101" t="s">
        <v>2486</v>
      </c>
      <c r="D49" s="3102"/>
      <c r="E49" s="3103">
        <v>1</v>
      </c>
      <c r="F49" s="3100" t="s">
        <v>2487</v>
      </c>
      <c r="G49" s="3100"/>
    </row>
    <row r="50" spans="1:7" ht="19.5" customHeight="1">
      <c r="A50" s="3859"/>
      <c r="B50" s="3852"/>
      <c r="C50" s="3101" t="s">
        <v>2488</v>
      </c>
      <c r="D50" s="3102"/>
      <c r="E50" s="3103">
        <v>1</v>
      </c>
      <c r="F50" s="3100" t="s">
        <v>2489</v>
      </c>
      <c r="G50" s="3100"/>
    </row>
    <row r="51" spans="1:7" ht="19.5" customHeight="1" thickBot="1">
      <c r="A51" s="3860"/>
      <c r="B51" s="3854"/>
      <c r="C51" s="3104" t="s">
        <v>2490</v>
      </c>
      <c r="D51" s="3105"/>
      <c r="E51" s="3106">
        <v>1</v>
      </c>
      <c r="F51" s="3100" t="s">
        <v>2491</v>
      </c>
      <c r="G51" s="3100"/>
    </row>
    <row r="52" spans="1:7" ht="19.5" customHeight="1">
      <c r="A52" s="3113"/>
      <c r="B52" s="3113"/>
      <c r="C52" s="3113"/>
      <c r="D52" s="3113"/>
      <c r="E52" s="3113"/>
      <c r="F52" s="3113"/>
      <c r="G52" s="3113"/>
    </row>
    <row r="54" spans="1:7" ht="19.5" customHeight="1">
      <c r="A54" s="3114"/>
      <c r="B54" s="3086" t="s">
        <v>2630</v>
      </c>
      <c r="C54" s="3086" t="s">
        <v>2630</v>
      </c>
      <c r="D54" s="3086" t="s">
        <v>2630</v>
      </c>
      <c r="E54" s="3089" t="s">
        <v>2630</v>
      </c>
      <c r="F54" s="3089" t="s">
        <v>2631</v>
      </c>
      <c r="G54" s="3089" t="s">
        <v>2632</v>
      </c>
    </row>
    <row r="55" spans="1:7" ht="19.5" customHeight="1">
      <c r="A55" s="3115"/>
      <c r="B55" s="3089" t="s">
        <v>2599</v>
      </c>
      <c r="C55" s="3089" t="s">
        <v>2599</v>
      </c>
      <c r="D55" s="3089" t="s">
        <v>2599</v>
      </c>
      <c r="E55" s="3086" t="s">
        <v>2600</v>
      </c>
      <c r="F55" s="3086" t="s">
        <v>2602</v>
      </c>
      <c r="G55" s="3086" t="s">
        <v>2633</v>
      </c>
    </row>
    <row r="56" spans="1:7" ht="19.5" customHeight="1">
      <c r="A56" s="3116"/>
      <c r="B56" s="3086">
        <v>1</v>
      </c>
      <c r="C56" s="3086">
        <v>2</v>
      </c>
      <c r="D56" s="3086">
        <v>3</v>
      </c>
      <c r="E56" s="3117" t="s">
        <v>2634</v>
      </c>
      <c r="F56" s="3117" t="s">
        <v>2634</v>
      </c>
      <c r="G56" s="3117" t="s">
        <v>2634</v>
      </c>
    </row>
    <row r="57" spans="1:7" ht="19.5" customHeight="1">
      <c r="A57" s="3118" t="s">
        <v>2587</v>
      </c>
      <c r="B57" s="3086">
        <v>0.7</v>
      </c>
      <c r="C57" s="3086">
        <v>0.4</v>
      </c>
      <c r="D57" s="3086">
        <v>0.3</v>
      </c>
      <c r="E57" s="3117">
        <v>0.3</v>
      </c>
      <c r="F57" s="3086">
        <v>0.3</v>
      </c>
      <c r="G57" s="3086">
        <v>0.2</v>
      </c>
    </row>
    <row r="58" spans="1:7" ht="19.5" customHeight="1">
      <c r="A58" s="3118" t="s">
        <v>2588</v>
      </c>
      <c r="B58" s="3086">
        <v>0.7</v>
      </c>
      <c r="C58" s="3086">
        <v>0.4</v>
      </c>
      <c r="D58" s="3086">
        <v>0.3</v>
      </c>
      <c r="E58" s="3086">
        <v>0.3</v>
      </c>
      <c r="F58" s="3086">
        <v>0.3</v>
      </c>
      <c r="G58" s="3086">
        <v>0.2</v>
      </c>
    </row>
    <row r="59" spans="1:7" ht="19.5" customHeight="1">
      <c r="A59" s="3118" t="s">
        <v>2589</v>
      </c>
      <c r="B59" s="3086">
        <v>0.6</v>
      </c>
      <c r="C59" s="3086">
        <v>0.3</v>
      </c>
      <c r="D59" s="3086">
        <v>0.25</v>
      </c>
      <c r="E59" s="3086">
        <v>0.25</v>
      </c>
      <c r="F59" s="3086">
        <v>0.25</v>
      </c>
      <c r="G59" s="3086">
        <v>0.15</v>
      </c>
    </row>
    <row r="60" spans="1:7" ht="19.5" customHeight="1">
      <c r="A60" s="3118" t="s">
        <v>2590</v>
      </c>
      <c r="B60" s="3086">
        <v>0.6</v>
      </c>
      <c r="C60" s="3086">
        <v>0.3</v>
      </c>
      <c r="D60" s="3086">
        <v>0.25</v>
      </c>
      <c r="E60" s="3086">
        <v>0.25</v>
      </c>
      <c r="F60" s="3086">
        <v>0.25</v>
      </c>
      <c r="G60" s="3086">
        <v>0.15</v>
      </c>
    </row>
    <row r="61" spans="1:7" ht="19.5" customHeight="1">
      <c r="A61" s="3118" t="s">
        <v>2591</v>
      </c>
      <c r="B61" s="3086">
        <v>0.6</v>
      </c>
      <c r="C61" s="3086">
        <v>0.3</v>
      </c>
      <c r="D61" s="3086">
        <v>0.25</v>
      </c>
      <c r="E61" s="3086">
        <v>0.25</v>
      </c>
      <c r="F61" s="3086">
        <v>0.25</v>
      </c>
      <c r="G61" s="3086">
        <v>0.15</v>
      </c>
    </row>
    <row r="62" spans="1:7" ht="19.5" customHeight="1">
      <c r="A62" s="3118" t="s">
        <v>2592</v>
      </c>
      <c r="B62" s="3086">
        <v>0.6</v>
      </c>
      <c r="C62" s="3086">
        <v>0.3</v>
      </c>
      <c r="D62" s="3086">
        <v>0.25</v>
      </c>
      <c r="E62" s="3086">
        <v>0.25</v>
      </c>
      <c r="F62" s="3086">
        <v>0.25</v>
      </c>
      <c r="G62" s="3086">
        <v>0.15</v>
      </c>
    </row>
    <row r="63" spans="1:7" ht="19.5" customHeight="1">
      <c r="A63" s="3118" t="s">
        <v>2593</v>
      </c>
      <c r="B63" s="3086">
        <v>0.6</v>
      </c>
      <c r="C63" s="3086">
        <v>0.3</v>
      </c>
      <c r="D63" s="3086">
        <v>0.25</v>
      </c>
      <c r="E63" s="3086">
        <v>0.25</v>
      </c>
      <c r="F63" s="3086">
        <v>0.25</v>
      </c>
      <c r="G63" s="3086">
        <v>0.15</v>
      </c>
    </row>
    <row r="64" spans="1:7" ht="19.5" customHeight="1">
      <c r="A64" s="3118" t="s">
        <v>2594</v>
      </c>
      <c r="B64" s="3086">
        <v>0.5</v>
      </c>
      <c r="C64" s="3086">
        <v>0.2</v>
      </c>
      <c r="D64" s="3086">
        <v>0.2</v>
      </c>
      <c r="E64" s="3086">
        <v>0.2</v>
      </c>
      <c r="F64" s="3086">
        <v>0.2</v>
      </c>
      <c r="G64" s="3086">
        <v>0.1</v>
      </c>
    </row>
    <row r="65" spans="1:7" ht="19.5" customHeight="1">
      <c r="A65" s="3118" t="s">
        <v>2595</v>
      </c>
      <c r="B65" s="3086">
        <v>0.5</v>
      </c>
      <c r="C65" s="3086">
        <v>0.2</v>
      </c>
      <c r="D65" s="3086">
        <v>0.2</v>
      </c>
      <c r="E65" s="3086">
        <v>0.2</v>
      </c>
      <c r="F65" s="3086">
        <v>0.2</v>
      </c>
      <c r="G65" s="3086">
        <v>0.1</v>
      </c>
    </row>
    <row r="66" spans="1:7" ht="19.5" customHeight="1">
      <c r="A66" s="3118" t="s">
        <v>2596</v>
      </c>
      <c r="B66" s="3086">
        <v>0.5</v>
      </c>
      <c r="C66" s="3086">
        <v>0.2</v>
      </c>
      <c r="D66" s="3086">
        <v>0.2</v>
      </c>
      <c r="E66" s="3086">
        <v>0.2</v>
      </c>
      <c r="F66" s="3086">
        <v>0.2</v>
      </c>
      <c r="G66" s="3086">
        <v>0.1</v>
      </c>
    </row>
    <row r="67" spans="1:7" ht="19.5" customHeight="1">
      <c r="A67" s="3118" t="s">
        <v>2597</v>
      </c>
      <c r="B67" s="3086">
        <v>0.5</v>
      </c>
      <c r="C67" s="3086">
        <v>0.2</v>
      </c>
      <c r="D67" s="3086">
        <v>0.2</v>
      </c>
      <c r="E67" s="3086">
        <v>0.2</v>
      </c>
      <c r="F67" s="3086">
        <v>0.2</v>
      </c>
      <c r="G67" s="3086">
        <v>0.1</v>
      </c>
    </row>
    <row r="68" spans="1:7" ht="19.5" customHeight="1">
      <c r="A68" s="3118" t="s">
        <v>2598</v>
      </c>
      <c r="B68" s="3086">
        <v>0.5</v>
      </c>
      <c r="C68" s="3086">
        <v>0.2</v>
      </c>
      <c r="D68" s="3086">
        <v>0.2</v>
      </c>
      <c r="E68" s="3086">
        <v>0.2</v>
      </c>
      <c r="F68" s="3086">
        <v>0.2</v>
      </c>
      <c r="G68" s="3086">
        <v>0.1</v>
      </c>
    </row>
    <row r="70" spans="1:7" ht="19.5" customHeight="1">
      <c r="A70" s="3119"/>
      <c r="B70" s="3120"/>
      <c r="C70" s="3120"/>
      <c r="D70" s="3120" t="s">
        <v>2635</v>
      </c>
      <c r="E70" s="3120"/>
      <c r="F70" s="3120"/>
    </row>
    <row r="71" spans="1:7" ht="19.5" customHeight="1">
      <c r="A71" s="3112" t="s">
        <v>2636</v>
      </c>
      <c r="B71" s="3112" t="s">
        <v>2637</v>
      </c>
      <c r="C71" s="3112" t="s">
        <v>2638</v>
      </c>
      <c r="D71" s="3112" t="s">
        <v>2639</v>
      </c>
      <c r="E71" s="3112" t="s">
        <v>2640</v>
      </c>
      <c r="F71" s="3112" t="s">
        <v>2641</v>
      </c>
    </row>
    <row r="72" spans="1:7" ht="13.5">
      <c r="A72" s="3112"/>
      <c r="B72" s="3112"/>
      <c r="C72" s="3112" t="s">
        <v>2642</v>
      </c>
      <c r="D72" s="3112"/>
      <c r="E72" s="3112" t="s">
        <v>2613</v>
      </c>
      <c r="F72" s="3112" t="s">
        <v>2613</v>
      </c>
    </row>
    <row r="73" spans="1:7" ht="13.5">
      <c r="A73" s="3112">
        <v>1</v>
      </c>
      <c r="B73" s="3850" t="s">
        <v>2643</v>
      </c>
      <c r="C73" s="3086" t="s">
        <v>2644</v>
      </c>
      <c r="D73" s="3086" t="s">
        <v>2645</v>
      </c>
      <c r="E73" s="3112">
        <v>0.2</v>
      </c>
      <c r="F73" s="3112">
        <v>25</v>
      </c>
    </row>
    <row r="74" spans="1:7" ht="24">
      <c r="A74" s="3112">
        <v>2</v>
      </c>
      <c r="B74" s="3852"/>
      <c r="C74" s="3086" t="s">
        <v>2646</v>
      </c>
      <c r="D74" s="3086" t="s">
        <v>2647</v>
      </c>
      <c r="E74" s="3112">
        <v>0.2</v>
      </c>
      <c r="F74" s="3112">
        <v>25</v>
      </c>
    </row>
    <row r="75" spans="1:7" ht="24">
      <c r="A75" s="3112">
        <v>3</v>
      </c>
      <c r="B75" s="3852"/>
      <c r="C75" s="3086" t="s">
        <v>2648</v>
      </c>
      <c r="D75" s="3086" t="s">
        <v>2649</v>
      </c>
      <c r="E75" s="3112">
        <v>0.2</v>
      </c>
      <c r="F75" s="3112">
        <v>25</v>
      </c>
    </row>
    <row r="76" spans="1:7" ht="13.5">
      <c r="A76" s="3112">
        <v>4</v>
      </c>
      <c r="B76" s="3852"/>
      <c r="C76" s="3086" t="s">
        <v>2650</v>
      </c>
      <c r="D76" s="3086" t="s">
        <v>2651</v>
      </c>
      <c r="E76" s="3112">
        <v>0.15</v>
      </c>
      <c r="F76" s="3112">
        <v>20</v>
      </c>
    </row>
    <row r="77" spans="1:7" ht="24">
      <c r="A77" s="3112">
        <v>5</v>
      </c>
      <c r="B77" s="3852"/>
      <c r="C77" s="3086" t="s">
        <v>2652</v>
      </c>
      <c r="D77" s="3086" t="s">
        <v>2653</v>
      </c>
      <c r="E77" s="3112">
        <v>0.15</v>
      </c>
      <c r="F77" s="3112">
        <v>20</v>
      </c>
    </row>
    <row r="78" spans="1:7" ht="24">
      <c r="A78" s="3112">
        <v>6</v>
      </c>
      <c r="B78" s="3852"/>
      <c r="C78" s="3086" t="s">
        <v>2654</v>
      </c>
      <c r="D78" s="3086" t="s">
        <v>2655</v>
      </c>
      <c r="E78" s="3112">
        <v>0.15</v>
      </c>
      <c r="F78" s="3112">
        <v>20</v>
      </c>
    </row>
    <row r="79" spans="1:7" ht="24">
      <c r="A79" s="3112">
        <v>7</v>
      </c>
      <c r="B79" s="3852"/>
      <c r="C79" s="3086" t="s">
        <v>2656</v>
      </c>
      <c r="D79" s="3086" t="s">
        <v>2657</v>
      </c>
      <c r="E79" s="3112">
        <v>0.15</v>
      </c>
      <c r="F79" s="3112">
        <v>20</v>
      </c>
    </row>
    <row r="80" spans="1:7" ht="24">
      <c r="A80" s="3112">
        <v>8</v>
      </c>
      <c r="B80" s="3852"/>
      <c r="C80" s="3086" t="s">
        <v>2658</v>
      </c>
      <c r="D80" s="3086" t="s">
        <v>2659</v>
      </c>
      <c r="E80" s="3112">
        <v>0.1</v>
      </c>
      <c r="F80" s="3112">
        <v>15</v>
      </c>
    </row>
    <row r="81" spans="1:6" ht="24">
      <c r="A81" s="3112">
        <v>9</v>
      </c>
      <c r="B81" s="3852"/>
      <c r="C81" s="3086" t="s">
        <v>2660</v>
      </c>
      <c r="D81" s="3086" t="s">
        <v>2661</v>
      </c>
      <c r="E81" s="3112">
        <v>0.1</v>
      </c>
      <c r="F81" s="3112">
        <v>15</v>
      </c>
    </row>
    <row r="82" spans="1:6" ht="24">
      <c r="A82" s="3112">
        <v>10</v>
      </c>
      <c r="B82" s="3852"/>
      <c r="C82" s="3086" t="s">
        <v>2662</v>
      </c>
      <c r="D82" s="3086" t="s">
        <v>2663</v>
      </c>
      <c r="E82" s="3112">
        <v>0.1</v>
      </c>
      <c r="F82" s="3112">
        <v>15</v>
      </c>
    </row>
    <row r="83" spans="1:6" ht="24">
      <c r="A83" s="3112">
        <v>11</v>
      </c>
      <c r="B83" s="3852"/>
      <c r="C83" s="3086" t="s">
        <v>2664</v>
      </c>
      <c r="D83" s="3086" t="s">
        <v>2665</v>
      </c>
      <c r="E83" s="3112">
        <v>0.1</v>
      </c>
      <c r="F83" s="3112">
        <v>15</v>
      </c>
    </row>
    <row r="84" spans="1:6" ht="24">
      <c r="A84" s="3112">
        <v>12</v>
      </c>
      <c r="B84" s="3852"/>
      <c r="C84" s="3086" t="s">
        <v>2666</v>
      </c>
      <c r="D84" s="3086" t="s">
        <v>2667</v>
      </c>
      <c r="E84" s="3112">
        <v>0.1</v>
      </c>
      <c r="F84" s="3112">
        <v>15</v>
      </c>
    </row>
    <row r="85" spans="1:6" ht="13.5">
      <c r="A85" s="3112">
        <v>13</v>
      </c>
      <c r="B85" s="3852"/>
      <c r="C85" s="3086" t="s">
        <v>2668</v>
      </c>
      <c r="D85" s="3086" t="s">
        <v>2669</v>
      </c>
      <c r="E85" s="3112">
        <v>0.1</v>
      </c>
      <c r="F85" s="3112">
        <v>15</v>
      </c>
    </row>
    <row r="86" spans="1:6" ht="13.5">
      <c r="A86" s="3112">
        <v>14</v>
      </c>
      <c r="B86" s="3852"/>
      <c r="C86" s="3086" t="s">
        <v>2670</v>
      </c>
      <c r="D86" s="3086" t="s">
        <v>2671</v>
      </c>
      <c r="E86" s="3112">
        <v>0.1</v>
      </c>
      <c r="F86" s="3112">
        <v>15</v>
      </c>
    </row>
    <row r="87" spans="1:6" ht="13.5">
      <c r="A87" s="3112">
        <v>15</v>
      </c>
      <c r="B87" s="3852"/>
      <c r="C87" s="3086" t="s">
        <v>2672</v>
      </c>
      <c r="D87" s="3086" t="s">
        <v>2673</v>
      </c>
      <c r="E87" s="3112">
        <v>0.1</v>
      </c>
      <c r="F87" s="3112">
        <v>15</v>
      </c>
    </row>
    <row r="88" spans="1:6" ht="24">
      <c r="A88" s="3112">
        <v>16</v>
      </c>
      <c r="B88" s="3852"/>
      <c r="C88" s="3086" t="s">
        <v>2674</v>
      </c>
      <c r="D88" s="3086" t="s">
        <v>2675</v>
      </c>
      <c r="E88" s="3112">
        <v>0.1</v>
      </c>
      <c r="F88" s="3112">
        <v>15</v>
      </c>
    </row>
    <row r="89" spans="1:6" ht="24">
      <c r="A89" s="3112">
        <v>17</v>
      </c>
      <c r="B89" s="3851"/>
      <c r="C89" s="3086" t="s">
        <v>2676</v>
      </c>
      <c r="D89" s="3086" t="s">
        <v>2677</v>
      </c>
      <c r="E89" s="3112">
        <v>0.1</v>
      </c>
      <c r="F89" s="3112">
        <v>15</v>
      </c>
    </row>
    <row r="90" spans="1:6" ht="13.5">
      <c r="A90" s="3112">
        <v>18</v>
      </c>
      <c r="B90" s="3850" t="s">
        <v>2678</v>
      </c>
      <c r="C90" s="3086" t="s">
        <v>2679</v>
      </c>
      <c r="D90" s="3086" t="s">
        <v>2680</v>
      </c>
      <c r="E90" s="3112">
        <v>0.2</v>
      </c>
      <c r="F90" s="3112">
        <v>25</v>
      </c>
    </row>
    <row r="91" spans="1:6" ht="24">
      <c r="A91" s="3112">
        <v>19</v>
      </c>
      <c r="B91" s="3852"/>
      <c r="C91" s="3086" t="s">
        <v>2681</v>
      </c>
      <c r="D91" s="3086" t="s">
        <v>2682</v>
      </c>
      <c r="E91" s="3112">
        <v>0.2</v>
      </c>
      <c r="F91" s="3112">
        <v>25</v>
      </c>
    </row>
    <row r="92" spans="1:6" ht="13.5">
      <c r="A92" s="3112">
        <v>20</v>
      </c>
      <c r="B92" s="3852"/>
      <c r="C92" s="3086" t="s">
        <v>2683</v>
      </c>
      <c r="D92" s="3086" t="s">
        <v>2684</v>
      </c>
      <c r="E92" s="3112">
        <v>0.15</v>
      </c>
      <c r="F92" s="3112">
        <v>20</v>
      </c>
    </row>
    <row r="93" spans="1:6" ht="13.5">
      <c r="A93" s="3112">
        <v>21</v>
      </c>
      <c r="B93" s="3852"/>
      <c r="C93" s="3086" t="s">
        <v>2685</v>
      </c>
      <c r="D93" s="3086" t="s">
        <v>2686</v>
      </c>
      <c r="E93" s="3112">
        <v>0.15</v>
      </c>
      <c r="F93" s="3112">
        <v>20</v>
      </c>
    </row>
    <row r="94" spans="1:6" ht="13.5">
      <c r="A94" s="3112">
        <v>22</v>
      </c>
      <c r="B94" s="3852"/>
      <c r="C94" s="3086" t="s">
        <v>2687</v>
      </c>
      <c r="D94" s="3086" t="s">
        <v>2688</v>
      </c>
      <c r="E94" s="3112">
        <v>0.15</v>
      </c>
      <c r="F94" s="3112">
        <v>20</v>
      </c>
    </row>
    <row r="95" spans="1:6" ht="36">
      <c r="A95" s="3112">
        <v>23</v>
      </c>
      <c r="B95" s="3852"/>
      <c r="C95" s="3086" t="s">
        <v>2689</v>
      </c>
      <c r="D95" s="3086" t="s">
        <v>2690</v>
      </c>
      <c r="E95" s="3112">
        <v>0.15</v>
      </c>
      <c r="F95" s="3112">
        <v>20</v>
      </c>
    </row>
    <row r="96" spans="1:6" ht="13.5">
      <c r="A96" s="3112">
        <v>24</v>
      </c>
      <c r="B96" s="3852"/>
      <c r="C96" s="3086" t="s">
        <v>2691</v>
      </c>
      <c r="D96" s="3086" t="s">
        <v>2692</v>
      </c>
      <c r="E96" s="3112">
        <v>0.1</v>
      </c>
      <c r="F96" s="3112">
        <v>15</v>
      </c>
    </row>
    <row r="97" spans="1:6" ht="13.5">
      <c r="A97" s="3112">
        <v>25</v>
      </c>
      <c r="B97" s="3852"/>
      <c r="C97" s="3086" t="s">
        <v>2693</v>
      </c>
      <c r="D97" s="3086" t="s">
        <v>2694</v>
      </c>
      <c r="E97" s="3112">
        <v>0.1</v>
      </c>
      <c r="F97" s="3112">
        <v>15</v>
      </c>
    </row>
    <row r="98" spans="1:6" ht="24">
      <c r="A98" s="3112">
        <v>26</v>
      </c>
      <c r="B98" s="3852"/>
      <c r="C98" s="3086" t="s">
        <v>2695</v>
      </c>
      <c r="D98" s="3086" t="s">
        <v>2696</v>
      </c>
      <c r="E98" s="3112">
        <v>0.1</v>
      </c>
      <c r="F98" s="3112">
        <v>15</v>
      </c>
    </row>
    <row r="99" spans="1:6" ht="24">
      <c r="A99" s="3112">
        <v>27</v>
      </c>
      <c r="B99" s="3852"/>
      <c r="C99" s="3086" t="s">
        <v>2697</v>
      </c>
      <c r="D99" s="3086" t="s">
        <v>2698</v>
      </c>
      <c r="E99" s="3112">
        <v>0.1</v>
      </c>
      <c r="F99" s="3112">
        <v>15</v>
      </c>
    </row>
    <row r="100" spans="1:6" ht="13.5">
      <c r="A100" s="3112">
        <v>28</v>
      </c>
      <c r="B100" s="3852"/>
      <c r="C100" s="3086" t="s">
        <v>2699</v>
      </c>
      <c r="D100" s="3086" t="s">
        <v>2700</v>
      </c>
      <c r="E100" s="3112">
        <v>0.1</v>
      </c>
      <c r="F100" s="3112">
        <v>15</v>
      </c>
    </row>
    <row r="101" spans="1:6" ht="13.5">
      <c r="A101" s="3112">
        <v>29</v>
      </c>
      <c r="B101" s="3852"/>
      <c r="C101" s="3086" t="s">
        <v>2701</v>
      </c>
      <c r="D101" s="3086" t="s">
        <v>2702</v>
      </c>
      <c r="E101" s="3112">
        <v>0.1</v>
      </c>
      <c r="F101" s="3112">
        <v>15</v>
      </c>
    </row>
    <row r="102" spans="1:6" ht="13.5">
      <c r="A102" s="3112">
        <v>30</v>
      </c>
      <c r="B102" s="3852"/>
      <c r="C102" s="3086" t="s">
        <v>2703</v>
      </c>
      <c r="D102" s="3086" t="s">
        <v>2704</v>
      </c>
      <c r="E102" s="3112">
        <v>0.1</v>
      </c>
      <c r="F102" s="3112">
        <v>15</v>
      </c>
    </row>
    <row r="103" spans="1:6" ht="24">
      <c r="A103" s="3112">
        <v>31</v>
      </c>
      <c r="B103" s="3852"/>
      <c r="C103" s="3086" t="s">
        <v>2705</v>
      </c>
      <c r="D103" s="3086" t="s">
        <v>2706</v>
      </c>
      <c r="E103" s="3112">
        <v>0.1</v>
      </c>
      <c r="F103" s="3112">
        <v>15</v>
      </c>
    </row>
    <row r="104" spans="1:6" ht="24">
      <c r="A104" s="3112">
        <v>32</v>
      </c>
      <c r="B104" s="3852"/>
      <c r="C104" s="3086" t="s">
        <v>2707</v>
      </c>
      <c r="D104" s="3086" t="s">
        <v>2708</v>
      </c>
      <c r="E104" s="3112">
        <v>0.1</v>
      </c>
      <c r="F104" s="3112">
        <v>15</v>
      </c>
    </row>
    <row r="105" spans="1:6" ht="24">
      <c r="A105" s="3112">
        <v>33</v>
      </c>
      <c r="B105" s="3852"/>
      <c r="C105" s="3086" t="s">
        <v>2709</v>
      </c>
      <c r="D105" s="3086" t="s">
        <v>2710</v>
      </c>
      <c r="E105" s="3112">
        <v>0.1</v>
      </c>
      <c r="F105" s="3112">
        <v>15</v>
      </c>
    </row>
    <row r="106" spans="1:6" ht="24">
      <c r="A106" s="3112">
        <v>34</v>
      </c>
      <c r="B106" s="3851"/>
      <c r="C106" s="3086" t="s">
        <v>2711</v>
      </c>
      <c r="D106" s="3086" t="s">
        <v>2712</v>
      </c>
      <c r="E106" s="3112">
        <v>0.1</v>
      </c>
      <c r="F106" s="3112">
        <v>15</v>
      </c>
    </row>
    <row r="107" spans="1:6" ht="24">
      <c r="A107" s="3112">
        <v>35</v>
      </c>
      <c r="B107" s="3850" t="s">
        <v>2713</v>
      </c>
      <c r="C107" s="3112" t="s">
        <v>2714</v>
      </c>
      <c r="D107" s="3086" t="s">
        <v>2715</v>
      </c>
      <c r="E107" s="3112">
        <v>0.15</v>
      </c>
      <c r="F107" s="3112">
        <v>20</v>
      </c>
    </row>
    <row r="108" spans="1:6" ht="13.5">
      <c r="A108" s="3112">
        <v>36</v>
      </c>
      <c r="B108" s="3852"/>
      <c r="C108" s="3112" t="s">
        <v>2716</v>
      </c>
      <c r="D108" s="3086" t="s">
        <v>2717</v>
      </c>
      <c r="E108" s="3112">
        <v>0.15</v>
      </c>
      <c r="F108" s="3112">
        <v>20</v>
      </c>
    </row>
    <row r="109" spans="1:6" ht="13.5">
      <c r="A109" s="3112">
        <v>37</v>
      </c>
      <c r="B109" s="3852"/>
      <c r="C109" s="3112" t="s">
        <v>2718</v>
      </c>
      <c r="D109" s="3086" t="s">
        <v>2719</v>
      </c>
      <c r="E109" s="3112">
        <v>0.15</v>
      </c>
      <c r="F109" s="3112">
        <v>20</v>
      </c>
    </row>
    <row r="110" spans="1:6" ht="13.5">
      <c r="A110" s="3112">
        <v>38</v>
      </c>
      <c r="B110" s="3852"/>
      <c r="C110" s="3112" t="s">
        <v>2720</v>
      </c>
      <c r="D110" s="3086" t="s">
        <v>2721</v>
      </c>
      <c r="E110" s="3112">
        <v>0.1</v>
      </c>
      <c r="F110" s="3112">
        <v>15</v>
      </c>
    </row>
    <row r="111" spans="1:6" ht="24">
      <c r="A111" s="3112">
        <v>39</v>
      </c>
      <c r="B111" s="3852"/>
      <c r="C111" s="3112" t="s">
        <v>2722</v>
      </c>
      <c r="D111" s="3086" t="s">
        <v>2723</v>
      </c>
      <c r="E111" s="3112">
        <v>0.1</v>
      </c>
      <c r="F111" s="3112">
        <v>15</v>
      </c>
    </row>
    <row r="112" spans="1:6" ht="24">
      <c r="A112" s="3112">
        <v>40</v>
      </c>
      <c r="B112" s="3851"/>
      <c r="C112" s="3112" t="s">
        <v>2724</v>
      </c>
      <c r="D112" s="3086" t="s">
        <v>2725</v>
      </c>
      <c r="E112" s="3112">
        <v>0.1</v>
      </c>
      <c r="F112" s="3112">
        <v>15</v>
      </c>
    </row>
    <row r="113" spans="1:6" ht="13.5">
      <c r="A113" s="3112">
        <v>41</v>
      </c>
      <c r="B113" s="3849" t="s">
        <v>2726</v>
      </c>
      <c r="C113" s="3112" t="s">
        <v>2727</v>
      </c>
      <c r="D113" s="3086" t="s">
        <v>2728</v>
      </c>
      <c r="E113" s="3112">
        <v>0.1</v>
      </c>
      <c r="F113" s="3112">
        <v>15</v>
      </c>
    </row>
    <row r="114" spans="1:6" ht="13.5">
      <c r="A114" s="3112">
        <v>42</v>
      </c>
      <c r="B114" s="3849"/>
      <c r="C114" s="3112" t="s">
        <v>2729</v>
      </c>
      <c r="D114" s="3086" t="s">
        <v>2730</v>
      </c>
      <c r="E114" s="3112">
        <v>0.1</v>
      </c>
      <c r="F114" s="3112">
        <v>15</v>
      </c>
    </row>
    <row r="115" spans="1:6" ht="24">
      <c r="A115" s="3112">
        <v>43</v>
      </c>
      <c r="B115" s="3849"/>
      <c r="C115" s="3112" t="s">
        <v>2731</v>
      </c>
      <c r="D115" s="3086" t="s">
        <v>2732</v>
      </c>
      <c r="E115" s="3112">
        <v>0.1</v>
      </c>
      <c r="F115" s="3112">
        <v>15</v>
      </c>
    </row>
    <row r="116" spans="1:6" ht="13.5">
      <c r="A116" s="3112">
        <v>44</v>
      </c>
      <c r="B116" s="3850" t="s">
        <v>2733</v>
      </c>
      <c r="C116" s="3112" t="s">
        <v>2734</v>
      </c>
      <c r="D116" s="3086" t="s">
        <v>2735</v>
      </c>
      <c r="E116" s="3112">
        <v>0.1</v>
      </c>
      <c r="F116" s="3112">
        <v>15</v>
      </c>
    </row>
    <row r="117" spans="1:6" ht="24">
      <c r="A117" s="3112">
        <v>45</v>
      </c>
      <c r="B117" s="3851"/>
      <c r="C117" s="3086" t="s">
        <v>2736</v>
      </c>
      <c r="D117" s="3086" t="s">
        <v>2737</v>
      </c>
      <c r="E117" s="3112">
        <v>0.1</v>
      </c>
      <c r="F117" s="3112">
        <v>15</v>
      </c>
    </row>
    <row r="118" spans="1:6" ht="24">
      <c r="A118" s="3112">
        <v>46</v>
      </c>
      <c r="B118" s="3850" t="s">
        <v>2738</v>
      </c>
      <c r="C118" s="3112" t="s">
        <v>2739</v>
      </c>
      <c r="D118" s="3086" t="s">
        <v>2740</v>
      </c>
      <c r="E118" s="3112">
        <v>0.1</v>
      </c>
      <c r="F118" s="3112">
        <v>15</v>
      </c>
    </row>
    <row r="119" spans="1:6" ht="24">
      <c r="A119" s="3112">
        <v>47</v>
      </c>
      <c r="B119" s="3851"/>
      <c r="C119" s="3112" t="s">
        <v>2741</v>
      </c>
      <c r="D119" s="3086" t="s">
        <v>2742</v>
      </c>
      <c r="E119" s="3112">
        <v>0.1</v>
      </c>
      <c r="F119" s="3112">
        <v>15</v>
      </c>
    </row>
    <row r="120" spans="1:6" ht="13.5">
      <c r="A120" s="3112">
        <v>48</v>
      </c>
      <c r="B120" s="3850" t="s">
        <v>2743</v>
      </c>
      <c r="C120" s="3112" t="s">
        <v>2744</v>
      </c>
      <c r="D120" s="3086" t="s">
        <v>2745</v>
      </c>
      <c r="E120" s="3112">
        <v>0.1</v>
      </c>
      <c r="F120" s="3112">
        <v>15</v>
      </c>
    </row>
    <row r="121" spans="1:6" ht="13.5">
      <c r="A121" s="3112">
        <v>49</v>
      </c>
      <c r="B121" s="3851"/>
      <c r="C121" s="3112" t="s">
        <v>2746</v>
      </c>
      <c r="D121" s="3086" t="s">
        <v>2747</v>
      </c>
      <c r="E121" s="3112">
        <v>0.1</v>
      </c>
      <c r="F121" s="3112">
        <v>15</v>
      </c>
    </row>
    <row r="122" spans="1:6" ht="24">
      <c r="A122" s="3112">
        <v>50</v>
      </c>
      <c r="B122" s="3849" t="s">
        <v>2748</v>
      </c>
      <c r="C122" s="3112" t="s">
        <v>2749</v>
      </c>
      <c r="D122" s="3086" t="s">
        <v>2750</v>
      </c>
      <c r="E122" s="3112">
        <v>0.1</v>
      </c>
      <c r="F122" s="3112">
        <v>15</v>
      </c>
    </row>
    <row r="123" spans="1:6" ht="24">
      <c r="A123" s="3112">
        <v>51</v>
      </c>
      <c r="B123" s="3849"/>
      <c r="C123" s="3112" t="s">
        <v>2751</v>
      </c>
      <c r="D123" s="3086" t="s">
        <v>2752</v>
      </c>
      <c r="E123" s="3112">
        <v>0.1</v>
      </c>
      <c r="F123" s="3112">
        <v>15</v>
      </c>
    </row>
    <row r="124" spans="1:6" ht="24">
      <c r="A124" s="3112">
        <v>52</v>
      </c>
      <c r="B124" s="3849" t="s">
        <v>2753</v>
      </c>
      <c r="C124" s="3112" t="s">
        <v>2754</v>
      </c>
      <c r="D124" s="3086" t="s">
        <v>2755</v>
      </c>
      <c r="E124" s="3112">
        <v>0.1</v>
      </c>
      <c r="F124" s="3112">
        <v>15</v>
      </c>
    </row>
    <row r="125" spans="1:6" ht="24">
      <c r="A125" s="3112">
        <v>53</v>
      </c>
      <c r="B125" s="3849"/>
      <c r="C125" s="3112" t="s">
        <v>2756</v>
      </c>
      <c r="D125" s="3086" t="s">
        <v>2757</v>
      </c>
      <c r="E125" s="3112">
        <v>0.1</v>
      </c>
      <c r="F125" s="3112">
        <v>15</v>
      </c>
    </row>
    <row r="126" spans="1:6" ht="13.5">
      <c r="A126" s="3112">
        <v>54</v>
      </c>
      <c r="B126" s="3112" t="s">
        <v>2758</v>
      </c>
      <c r="C126" s="3112" t="s">
        <v>2759</v>
      </c>
      <c r="D126" s="3086" t="s">
        <v>2760</v>
      </c>
      <c r="E126" s="3112">
        <v>0.1</v>
      </c>
      <c r="F126" s="3112">
        <v>15</v>
      </c>
    </row>
    <row r="127" spans="1:6" ht="13.5">
      <c r="A127" s="3112">
        <v>55</v>
      </c>
      <c r="B127" s="3849" t="s">
        <v>2761</v>
      </c>
      <c r="C127" s="3112" t="s">
        <v>2762</v>
      </c>
      <c r="D127" s="3086" t="s">
        <v>2763</v>
      </c>
      <c r="E127" s="3112">
        <v>0.1</v>
      </c>
      <c r="F127" s="3112">
        <v>15</v>
      </c>
    </row>
    <row r="128" spans="1:6" ht="13.5">
      <c r="A128" s="3112">
        <v>56</v>
      </c>
      <c r="B128" s="3849"/>
      <c r="C128" s="3112" t="s">
        <v>2764</v>
      </c>
      <c r="D128" s="3086" t="s">
        <v>2765</v>
      </c>
      <c r="E128" s="3112">
        <v>0.1</v>
      </c>
      <c r="F128" s="3112">
        <v>15</v>
      </c>
    </row>
    <row r="129" spans="1:6" ht="24">
      <c r="A129" s="3112">
        <v>57</v>
      </c>
      <c r="B129" s="3849"/>
      <c r="C129" s="3112" t="s">
        <v>2766</v>
      </c>
      <c r="D129" s="3086" t="s">
        <v>2767</v>
      </c>
      <c r="E129" s="3112">
        <v>0.1</v>
      </c>
      <c r="F129" s="3112">
        <v>15</v>
      </c>
    </row>
    <row r="130" spans="1:6" ht="24">
      <c r="A130" s="3112">
        <v>58</v>
      </c>
      <c r="B130" s="3849" t="s">
        <v>2768</v>
      </c>
      <c r="C130" s="3112" t="s">
        <v>2769</v>
      </c>
      <c r="D130" s="3086" t="s">
        <v>2770</v>
      </c>
      <c r="E130" s="3112">
        <v>0.1</v>
      </c>
      <c r="F130" s="3112">
        <v>15</v>
      </c>
    </row>
    <row r="131" spans="1:6" ht="13.5">
      <c r="A131" s="3112">
        <v>59</v>
      </c>
      <c r="B131" s="3849"/>
      <c r="C131" s="3112" t="s">
        <v>2771</v>
      </c>
      <c r="D131" s="3086" t="s">
        <v>2772</v>
      </c>
      <c r="E131" s="3112">
        <v>0.1</v>
      </c>
      <c r="F131" s="3112">
        <v>15</v>
      </c>
    </row>
    <row r="132" spans="1:6" ht="13.5">
      <c r="A132" s="3112">
        <v>60</v>
      </c>
      <c r="B132" s="3850" t="s">
        <v>2773</v>
      </c>
      <c r="C132" s="3112" t="s">
        <v>2774</v>
      </c>
      <c r="D132" s="3086" t="s">
        <v>2775</v>
      </c>
      <c r="E132" s="3112">
        <v>0.1</v>
      </c>
      <c r="F132" s="3112">
        <v>15</v>
      </c>
    </row>
    <row r="133" spans="1:6" ht="13.5">
      <c r="A133" s="3112">
        <v>61</v>
      </c>
      <c r="B133" s="3851"/>
      <c r="C133" s="3112" t="s">
        <v>2776</v>
      </c>
      <c r="D133" s="3086" t="s">
        <v>2777</v>
      </c>
      <c r="E133" s="3112">
        <v>0.1</v>
      </c>
      <c r="F133" s="3112">
        <v>15</v>
      </c>
    </row>
    <row r="134" spans="1:6" ht="24">
      <c r="A134" s="3112">
        <v>62</v>
      </c>
      <c r="B134" s="3112" t="s">
        <v>2778</v>
      </c>
      <c r="C134" s="3112" t="s">
        <v>2779</v>
      </c>
      <c r="D134" s="3086" t="s">
        <v>2780</v>
      </c>
      <c r="E134" s="3112">
        <v>0.1</v>
      </c>
      <c r="F134" s="3112">
        <v>15</v>
      </c>
    </row>
    <row r="135" spans="1:6" ht="13.5">
      <c r="A135" s="3112">
        <v>63</v>
      </c>
      <c r="B135" s="3849" t="s">
        <v>2781</v>
      </c>
      <c r="C135" s="3112" t="s">
        <v>2782</v>
      </c>
      <c r="D135" s="3086" t="s">
        <v>2783</v>
      </c>
      <c r="E135" s="3112">
        <v>0.1</v>
      </c>
      <c r="F135" s="3112">
        <v>15</v>
      </c>
    </row>
    <row r="136" spans="1:6" ht="13.5">
      <c r="A136" s="3112">
        <v>64</v>
      </c>
      <c r="B136" s="3849"/>
      <c r="C136" s="3112" t="s">
        <v>2784</v>
      </c>
      <c r="D136" s="3086" t="s">
        <v>2785</v>
      </c>
      <c r="E136" s="3112">
        <v>0.1</v>
      </c>
      <c r="F136" s="3112">
        <v>15</v>
      </c>
    </row>
    <row r="137" spans="1:6" ht="13.5">
      <c r="A137" s="3112">
        <v>65</v>
      </c>
      <c r="B137" s="3112" t="s">
        <v>2786</v>
      </c>
      <c r="C137" s="3112" t="s">
        <v>2787</v>
      </c>
      <c r="D137" s="3086" t="s">
        <v>2788</v>
      </c>
      <c r="E137" s="3112">
        <v>0.1</v>
      </c>
      <c r="F137" s="3112">
        <v>15</v>
      </c>
    </row>
    <row r="138" spans="1:6" ht="13.5">
      <c r="A138" s="3112"/>
      <c r="B138" s="3112"/>
      <c r="C138" s="3112"/>
      <c r="D138" s="3112"/>
      <c r="E138" s="3112" t="s">
        <v>2789</v>
      </c>
      <c r="F138" s="3112"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2790</v>
      </c>
      <c r="B1" s="3121"/>
      <c r="C1" s="3121"/>
      <c r="D1" s="3121"/>
      <c r="E1" s="3121"/>
      <c r="F1" s="3121"/>
      <c r="G1" s="3121"/>
      <c r="H1" s="3121"/>
      <c r="I1" s="3121"/>
      <c r="J1" s="3121"/>
      <c r="K1" s="3121"/>
      <c r="L1" s="3121"/>
      <c r="M1" s="3121"/>
      <c r="N1" s="749"/>
    </row>
    <row r="2" spans="1:20">
      <c r="A2" s="3122" t="s">
        <v>2791</v>
      </c>
      <c r="B2" s="3123" t="s">
        <v>2587</v>
      </c>
      <c r="C2" s="3123" t="s">
        <v>2588</v>
      </c>
      <c r="D2" s="3123" t="s">
        <v>2589</v>
      </c>
      <c r="E2" s="3123" t="s">
        <v>2590</v>
      </c>
      <c r="F2" s="3123" t="s">
        <v>2591</v>
      </c>
      <c r="G2" s="3123" t="s">
        <v>2592</v>
      </c>
      <c r="H2" s="3124" t="s">
        <v>2593</v>
      </c>
      <c r="I2" s="3124" t="s">
        <v>2594</v>
      </c>
      <c r="J2" s="3125" t="s">
        <v>2595</v>
      </c>
      <c r="K2" s="3125" t="s">
        <v>2596</v>
      </c>
      <c r="L2" s="3125" t="s">
        <v>2597</v>
      </c>
      <c r="M2" s="3126" t="s">
        <v>2598</v>
      </c>
      <c r="Q2" s="3136" t="s">
        <v>2796</v>
      </c>
      <c r="R2" s="3136" t="s">
        <v>2797</v>
      </c>
      <c r="S2" s="3136" t="s">
        <v>2798</v>
      </c>
      <c r="T2" s="3136" t="s">
        <v>2799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2792</v>
      </c>
      <c r="B93" s="3121"/>
      <c r="C93" s="3121"/>
      <c r="D93" s="3121"/>
      <c r="E93" s="3121"/>
      <c r="F93" s="3121"/>
      <c r="G93" s="3121"/>
      <c r="H93" s="3121"/>
      <c r="I93" s="3121"/>
      <c r="J93" s="3121"/>
      <c r="K93" s="3121"/>
      <c r="L93" s="3121"/>
      <c r="M93" s="3121"/>
    </row>
    <row r="94" spans="1:20">
      <c r="A94" s="3122" t="s">
        <v>2791</v>
      </c>
      <c r="B94" s="3123" t="s">
        <v>2587</v>
      </c>
      <c r="C94" s="3123" t="s">
        <v>2588</v>
      </c>
      <c r="D94" s="3123" t="s">
        <v>2589</v>
      </c>
      <c r="E94" s="3123" t="s">
        <v>2590</v>
      </c>
      <c r="F94" s="3123" t="s">
        <v>2591</v>
      </c>
      <c r="G94" s="3123" t="s">
        <v>2592</v>
      </c>
      <c r="H94" s="3124" t="s">
        <v>2593</v>
      </c>
      <c r="I94" s="3124" t="s">
        <v>2594</v>
      </c>
      <c r="J94" s="3125" t="s">
        <v>2595</v>
      </c>
      <c r="K94" s="3125" t="s">
        <v>2596</v>
      </c>
      <c r="L94" s="3125" t="s">
        <v>2597</v>
      </c>
      <c r="M94" s="3126" t="s">
        <v>2598</v>
      </c>
      <c r="N94" s="750">
        <f>SUMPRODUCT((A95:A184=ROUNDDOWN('基准地价修正-商业'!G3,1))*(B94:M94='基准地价修正-商业'!G2)*(B95:M184))</f>
        <v>0.87250000000000005</v>
      </c>
      <c r="Q94" s="3136" t="s">
        <v>2796</v>
      </c>
      <c r="R94" s="3136" t="s">
        <v>2797</v>
      </c>
      <c r="S94" s="3136" t="s">
        <v>2798</v>
      </c>
      <c r="T94" s="3136" t="s">
        <v>2799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2793</v>
      </c>
      <c r="B185" s="3121"/>
      <c r="C185" s="3121"/>
      <c r="D185" s="3121"/>
      <c r="E185" s="3121"/>
      <c r="F185" s="3121"/>
      <c r="G185" s="3121"/>
      <c r="H185" s="3121"/>
      <c r="I185" s="3121"/>
      <c r="J185" s="3121"/>
      <c r="K185" s="3121"/>
      <c r="L185" s="3121"/>
      <c r="M185" s="3121"/>
    </row>
    <row r="186" spans="1:20">
      <c r="A186" s="3122" t="s">
        <v>2791</v>
      </c>
      <c r="B186" s="3123" t="s">
        <v>2587</v>
      </c>
      <c r="C186" s="3123" t="s">
        <v>2588</v>
      </c>
      <c r="D186" s="3123" t="s">
        <v>2589</v>
      </c>
      <c r="E186" s="3123" t="s">
        <v>2590</v>
      </c>
      <c r="F186" s="3123" t="s">
        <v>2591</v>
      </c>
      <c r="G186" s="3123" t="s">
        <v>2592</v>
      </c>
      <c r="H186" s="3124" t="s">
        <v>2593</v>
      </c>
      <c r="I186" s="3124" t="s">
        <v>2594</v>
      </c>
      <c r="J186" s="3125" t="s">
        <v>2595</v>
      </c>
      <c r="K186" s="3125" t="s">
        <v>2596</v>
      </c>
      <c r="L186" s="3125" t="s">
        <v>2597</v>
      </c>
      <c r="M186" s="3126" t="s">
        <v>2598</v>
      </c>
      <c r="Q186" s="3136" t="s">
        <v>2796</v>
      </c>
      <c r="R186" s="3136" t="s">
        <v>2797</v>
      </c>
      <c r="S186" s="3136" t="s">
        <v>2798</v>
      </c>
      <c r="T186" s="3136" t="s">
        <v>2799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2794</v>
      </c>
      <c r="B277" s="3121"/>
      <c r="C277" s="3121"/>
      <c r="D277" s="3121"/>
      <c r="E277" s="3121"/>
      <c r="F277" s="3121"/>
      <c r="G277" s="3121"/>
      <c r="H277" s="3121"/>
      <c r="I277" s="3121"/>
      <c r="J277" s="3121"/>
      <c r="K277" s="3121"/>
      <c r="L277" s="3121"/>
      <c r="M277" s="3121"/>
    </row>
    <row r="278" spans="1:21">
      <c r="A278" s="3122" t="s">
        <v>2791</v>
      </c>
      <c r="B278" s="3123" t="s">
        <v>2587</v>
      </c>
      <c r="C278" s="3123" t="s">
        <v>2588</v>
      </c>
      <c r="D278" s="3123" t="s">
        <v>2589</v>
      </c>
      <c r="E278" s="3123" t="s">
        <v>2590</v>
      </c>
      <c r="F278" s="3123" t="s">
        <v>2591</v>
      </c>
      <c r="G278" s="3123" t="s">
        <v>2592</v>
      </c>
      <c r="H278" s="3124" t="s">
        <v>2593</v>
      </c>
      <c r="I278" s="3124" t="s">
        <v>2594</v>
      </c>
      <c r="J278" s="3125" t="s">
        <v>2595</v>
      </c>
      <c r="K278" s="3125" t="s">
        <v>2596</v>
      </c>
      <c r="L278" s="3125" t="s">
        <v>2597</v>
      </c>
      <c r="M278" s="3126" t="s">
        <v>2598</v>
      </c>
      <c r="Q278" s="3136" t="s">
        <v>2796</v>
      </c>
      <c r="R278" s="3136" t="s">
        <v>2797</v>
      </c>
      <c r="S278" s="3136" t="s">
        <v>2800</v>
      </c>
      <c r="T278" s="3136" t="s">
        <v>2801</v>
      </c>
      <c r="U278" s="3136" t="s">
        <v>2799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2795</v>
      </c>
      <c r="B369" s="3134"/>
      <c r="C369" s="3134"/>
      <c r="D369" s="3134"/>
      <c r="E369" s="3134"/>
      <c r="F369" s="3134"/>
      <c r="G369" s="3134"/>
      <c r="H369" s="3134"/>
      <c r="I369" s="3134"/>
      <c r="J369" s="3134"/>
      <c r="K369" s="3134"/>
      <c r="L369" s="3134"/>
      <c r="M369" s="3134"/>
    </row>
    <row r="370" spans="1:20">
      <c r="A370" s="3122" t="s">
        <v>2791</v>
      </c>
      <c r="B370" s="3123" t="s">
        <v>2587</v>
      </c>
      <c r="C370" s="3123" t="s">
        <v>2588</v>
      </c>
      <c r="D370" s="3123" t="s">
        <v>2589</v>
      </c>
      <c r="E370" s="3123" t="s">
        <v>2590</v>
      </c>
      <c r="F370" s="3123" t="s">
        <v>2591</v>
      </c>
      <c r="G370" s="3123" t="s">
        <v>2592</v>
      </c>
      <c r="H370" s="3124" t="s">
        <v>2593</v>
      </c>
      <c r="I370" s="3124" t="s">
        <v>2594</v>
      </c>
      <c r="J370" s="3125" t="s">
        <v>2595</v>
      </c>
      <c r="K370" s="3125" t="s">
        <v>2596</v>
      </c>
      <c r="L370" s="3125" t="s">
        <v>2597</v>
      </c>
      <c r="M370" s="3126" t="s">
        <v>2598</v>
      </c>
      <c r="N370" s="750">
        <f>SUMPRODUCT((A371:A460=ROUNDDOWN('基准地价修正-商业'!G3,1))*(B370:M370='基准地价修正-商业'!G2)*(B371:M460))</f>
        <v>0.82989999999999997</v>
      </c>
      <c r="Q370" s="3136" t="s">
        <v>2796</v>
      </c>
      <c r="R370" s="3136" t="s">
        <v>2797</v>
      </c>
      <c r="S370" s="3136" t="s">
        <v>2798</v>
      </c>
      <c r="T370" s="3136" t="s">
        <v>2799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70744</v>
      </c>
      <c r="C2" s="2" t="s">
        <v>106</v>
      </c>
      <c r="D2" s="199"/>
      <c r="E2" s="199"/>
      <c r="F2" s="199"/>
      <c r="G2" s="199"/>
    </row>
    <row r="3" spans="1:7" s="200" customFormat="1" ht="18" customHeight="1" thickBot="1">
      <c r="A3" s="203" t="s">
        <v>58</v>
      </c>
      <c r="B3" s="204">
        <f ca="1">ROUND(B2*10000/'数据-汇总表'!E3,0)</f>
        <v>5535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2556</v>
      </c>
      <c r="D10" s="845">
        <f>'数据-汇总表'!E6</f>
        <v>127815.41999999985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2556</v>
      </c>
      <c r="D19" s="849">
        <f>'数据-汇总表'!E3</f>
        <v>127815.41999999985</v>
      </c>
      <c r="E19" s="211">
        <f>'数据-取费表'!B31</f>
        <v>200</v>
      </c>
      <c r="F19" s="231"/>
      <c r="G19" s="1" t="s">
        <v>436</v>
      </c>
    </row>
    <row r="20" spans="1:7" s="214" customFormat="1" ht="13.5" customHeight="1">
      <c r="A20" s="777" t="s">
        <v>419</v>
      </c>
      <c r="B20" s="210" t="s">
        <v>77</v>
      </c>
      <c r="C20" s="232">
        <f>ROUND((C5+C19)*F20,0)</f>
        <v>463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1246</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1098</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136</v>
      </c>
      <c r="D24" s="238"/>
      <c r="E24" s="238"/>
      <c r="F24" s="239"/>
      <c r="G24" s="240" t="s">
        <v>82</v>
      </c>
    </row>
    <row r="25" spans="1:7" s="214" customFormat="1" ht="24">
      <c r="A25" s="780" t="s">
        <v>348</v>
      </c>
      <c r="B25" s="215" t="s">
        <v>420</v>
      </c>
      <c r="C25" s="1104">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1875</v>
      </c>
      <c r="D27" s="235">
        <f>C29</f>
        <v>1.6000000000000001E-3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1875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32510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29206</v>
      </c>
      <c r="D34" s="217"/>
      <c r="E34" s="220"/>
      <c r="F34" s="257">
        <f>IF('数据-取费表'!B24=0,1,'数据-取费表'!N16)</f>
        <v>0.55000000000000004</v>
      </c>
      <c r="G34" s="219" t="s">
        <v>89</v>
      </c>
    </row>
    <row r="35" spans="1:7" ht="13.5" customHeight="1">
      <c r="A35" s="780" t="s">
        <v>351</v>
      </c>
      <c r="B35" s="215" t="s">
        <v>33</v>
      </c>
      <c r="C35" s="220">
        <f>ROUND(C34*F35,0)</f>
        <v>1460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1406</v>
      </c>
      <c r="D37" s="217">
        <f>'数据-汇总表'!E3</f>
        <v>127815.41999999985</v>
      </c>
      <c r="E37" s="249">
        <f>'数据-取费表'!B35</f>
        <v>200</v>
      </c>
      <c r="F37" s="259"/>
      <c r="G37" s="261" t="s">
        <v>92</v>
      </c>
    </row>
    <row r="38" spans="1:7" ht="13.5" customHeight="1">
      <c r="A38" s="780" t="s">
        <v>354</v>
      </c>
      <c r="B38" s="215" t="s">
        <v>36</v>
      </c>
      <c r="C38" s="220">
        <f>ROUND(C34*F38,0)</f>
        <v>438</v>
      </c>
      <c r="D38" s="220"/>
      <c r="E38" s="220"/>
      <c r="F38" s="259">
        <f>'数据-取费表'!B36</f>
        <v>1.4999999999999999E-2</v>
      </c>
      <c r="G38" s="219" t="s">
        <v>90</v>
      </c>
    </row>
    <row r="39" spans="1:7" s="214" customFormat="1" ht="13.5" customHeight="1">
      <c r="A39" s="777" t="s">
        <v>338</v>
      </c>
      <c r="B39" s="210" t="s">
        <v>77</v>
      </c>
      <c r="C39" s="232">
        <f>ROUND(C33*F20,0)</f>
        <v>650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872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855</v>
      </c>
      <c r="D42" s="238"/>
      <c r="E42" s="238"/>
      <c r="F42" s="239"/>
      <c r="G42" s="3725" t="s">
        <v>94</v>
      </c>
    </row>
    <row r="43" spans="1:7" ht="13.5" customHeight="1">
      <c r="A43" s="780" t="s">
        <v>347</v>
      </c>
      <c r="B43" s="215" t="s">
        <v>426</v>
      </c>
      <c r="C43" s="238">
        <f ca="1">ROUND(IF('数据-取费表'!B22&lt;=1,C39*F22*'数据-取费表'!B21/2,C39*(POWER((1+F22),'数据-取费表'!B21/2)-1)),0)</f>
        <v>17</v>
      </c>
      <c r="D43" s="238"/>
      <c r="E43" s="238"/>
      <c r="F43" s="239"/>
      <c r="G43" s="3726"/>
    </row>
    <row r="44" spans="1:7" ht="13.5" customHeight="1">
      <c r="A44" s="780" t="s">
        <v>348</v>
      </c>
      <c r="B44" s="215" t="s">
        <v>428</v>
      </c>
      <c r="C44" s="238">
        <f ca="1">ROUND(IF('数据-取费表'!B22&lt;=1,C40*F22*'数据-取费表'!B21/2,C40*(POWER((1+F22),'数据-取费表'!B21/2)-1)),4)</f>
        <v>5.0000000000000001E-4</v>
      </c>
      <c r="D44" s="238"/>
      <c r="E44" s="238"/>
      <c r="F44" s="239"/>
      <c r="G44" s="3727"/>
    </row>
    <row r="45" spans="1:7" s="214" customFormat="1" ht="13.5" customHeight="1">
      <c r="A45" s="777" t="s">
        <v>341</v>
      </c>
      <c r="B45" s="244" t="s">
        <v>85</v>
      </c>
      <c r="C45" s="245">
        <f>C46</f>
        <v>4642</v>
      </c>
      <c r="D45" s="235">
        <f>C47</f>
        <v>2.8E-3</v>
      </c>
      <c r="E45" s="236" t="s">
        <v>102</v>
      </c>
      <c r="F45" s="246"/>
      <c r="G45" s="247" t="s">
        <v>434</v>
      </c>
    </row>
    <row r="46" spans="1:7" s="214" customFormat="1" ht="13.5" customHeight="1">
      <c r="A46" s="780" t="s">
        <v>349</v>
      </c>
      <c r="B46" s="248" t="s">
        <v>427</v>
      </c>
      <c r="C46" s="249">
        <f>ROUND((C33+C39)*F27,0)</f>
        <v>4642</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41841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41841</v>
      </c>
      <c r="D51" s="232"/>
      <c r="E51" s="232"/>
      <c r="F51" s="264"/>
      <c r="G51" s="234" t="s">
        <v>37</v>
      </c>
    </row>
    <row r="52" spans="1:7" s="208" customFormat="1" ht="16.5" thickBot="1">
      <c r="A52" s="265" t="s">
        <v>38</v>
      </c>
      <c r="B52" s="266"/>
      <c r="C52" s="267">
        <f ca="1">C31+C51</f>
        <v>70744</v>
      </c>
      <c r="D52" s="266"/>
      <c r="E52" s="266"/>
      <c r="F52" s="266"/>
      <c r="G52" s="268"/>
    </row>
    <row r="55" spans="1:7" ht="15">
      <c r="B55" s="270" t="s">
        <v>39</v>
      </c>
      <c r="C55" s="271"/>
    </row>
    <row r="56" spans="1:7">
      <c r="B56" s="273" t="s">
        <v>40</v>
      </c>
      <c r="C56" s="274">
        <f ca="1">ROUND(C51/C52,3)</f>
        <v>0.59099999999999997</v>
      </c>
    </row>
    <row r="57" spans="1:7">
      <c r="B57" s="273" t="s">
        <v>41</v>
      </c>
      <c r="C57" s="275">
        <f ca="1">1-C56</f>
        <v>0.40900000000000003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3" t="s">
        <v>2831</v>
      </c>
      <c r="B1" s="3863"/>
      <c r="C1" s="3863"/>
      <c r="D1" s="3863"/>
      <c r="E1" s="3863"/>
      <c r="F1" s="3863"/>
      <c r="G1" s="3864"/>
      <c r="I1" s="3217" t="s">
        <v>2832</v>
      </c>
      <c r="J1" s="3218" t="s">
        <v>2833</v>
      </c>
      <c r="K1" s="3218" t="s">
        <v>2834</v>
      </c>
      <c r="L1" s="3218" t="s">
        <v>2835</v>
      </c>
      <c r="M1" s="3218" t="s">
        <v>2836</v>
      </c>
      <c r="N1" s="3218" t="s">
        <v>2837</v>
      </c>
      <c r="O1" s="3218" t="s">
        <v>2838</v>
      </c>
      <c r="P1" s="3218" t="s">
        <v>2839</v>
      </c>
      <c r="Q1" s="3218" t="s">
        <v>2840</v>
      </c>
      <c r="R1" s="3218" t="s">
        <v>2841</v>
      </c>
      <c r="S1" s="3218" t="s">
        <v>2842</v>
      </c>
      <c r="T1" s="3219" t="s">
        <v>2843</v>
      </c>
    </row>
    <row r="2" spans="1:20" ht="12" thickBot="1">
      <c r="A2" s="3221" t="s">
        <v>2844</v>
      </c>
      <c r="B2" s="3221"/>
      <c r="C2" s="3221"/>
      <c r="D2" s="3221"/>
      <c r="E2" s="3221"/>
      <c r="F2" s="3221"/>
      <c r="G2" s="3222" t="s">
        <v>2845</v>
      </c>
      <c r="I2" s="3223" t="s">
        <v>2846</v>
      </c>
      <c r="J2" s="3223" t="s">
        <v>2847</v>
      </c>
      <c r="K2" s="3223" t="s">
        <v>2848</v>
      </c>
      <c r="L2" s="3223" t="s">
        <v>2849</v>
      </c>
      <c r="M2" s="3223" t="s">
        <v>2850</v>
      </c>
      <c r="N2" s="3223" t="s">
        <v>2851</v>
      </c>
      <c r="O2" s="3223" t="s">
        <v>2852</v>
      </c>
      <c r="P2" s="3223" t="s">
        <v>2853</v>
      </c>
      <c r="Q2" s="3223" t="s">
        <v>2854</v>
      </c>
      <c r="R2" s="3223" t="s">
        <v>2855</v>
      </c>
      <c r="S2" s="3223" t="s">
        <v>2856</v>
      </c>
      <c r="T2" s="3223" t="s">
        <v>2857</v>
      </c>
    </row>
    <row r="3" spans="1:20" s="3229" customFormat="1">
      <c r="A3" s="3861" t="s">
        <v>2858</v>
      </c>
      <c r="B3" s="3224"/>
      <c r="C3" s="3225" t="s">
        <v>2803</v>
      </c>
      <c r="D3" s="3225" t="s">
        <v>2859</v>
      </c>
      <c r="E3" s="3225" t="s">
        <v>2805</v>
      </c>
      <c r="F3" s="3225" t="s">
        <v>2860</v>
      </c>
      <c r="G3" s="3225" t="s">
        <v>2623</v>
      </c>
      <c r="H3" s="3226"/>
      <c r="I3" s="3227" t="s">
        <v>2861</v>
      </c>
      <c r="J3" s="3228" t="s">
        <v>128</v>
      </c>
      <c r="K3" s="3228" t="s">
        <v>129</v>
      </c>
      <c r="L3" s="3227" t="s">
        <v>130</v>
      </c>
      <c r="M3" s="3227" t="s">
        <v>131</v>
      </c>
      <c r="N3" s="3227" t="s">
        <v>132</v>
      </c>
      <c r="O3" s="3227" t="s">
        <v>133</v>
      </c>
      <c r="P3" s="3227" t="s">
        <v>134</v>
      </c>
      <c r="Q3" s="3227" t="s">
        <v>135</v>
      </c>
      <c r="R3" s="3227" t="s">
        <v>136</v>
      </c>
      <c r="S3" s="3227" t="s">
        <v>2862</v>
      </c>
      <c r="T3" s="3227" t="s">
        <v>2863</v>
      </c>
    </row>
    <row r="4" spans="1:20" s="3229" customFormat="1" ht="12" thickBot="1">
      <c r="A4" s="3862"/>
      <c r="B4" s="3230" t="s">
        <v>2864</v>
      </c>
      <c r="C4" s="3230" t="s">
        <v>2865</v>
      </c>
      <c r="D4" s="3230" t="s">
        <v>2865</v>
      </c>
      <c r="E4" s="3230" t="s">
        <v>2865</v>
      </c>
      <c r="F4" s="3231" t="s">
        <v>2865</v>
      </c>
      <c r="G4" s="3231" t="s">
        <v>2865</v>
      </c>
      <c r="H4" s="3226"/>
      <c r="I4" s="3228" t="s">
        <v>137</v>
      </c>
      <c r="J4" s="3228" t="s">
        <v>111</v>
      </c>
      <c r="K4" s="3228" t="s">
        <v>138</v>
      </c>
      <c r="L4" s="3227" t="s">
        <v>139</v>
      </c>
      <c r="M4" s="3227" t="s">
        <v>140</v>
      </c>
      <c r="N4" s="3227" t="s">
        <v>141</v>
      </c>
      <c r="O4" s="3227" t="s">
        <v>142</v>
      </c>
      <c r="P4" s="3227" t="s">
        <v>143</v>
      </c>
      <c r="Q4" s="3227" t="s">
        <v>2866</v>
      </c>
      <c r="R4" s="3227" t="s">
        <v>2867</v>
      </c>
      <c r="S4" s="3227" t="s">
        <v>2868</v>
      </c>
      <c r="T4" s="3227" t="s">
        <v>2869</v>
      </c>
    </row>
    <row r="5" spans="1:20">
      <c r="A5" s="3232" t="s">
        <v>2832</v>
      </c>
      <c r="B5" s="3223" t="s">
        <v>2846</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2870</v>
      </c>
      <c r="R5" s="3227" t="s">
        <v>2871</v>
      </c>
      <c r="S5" s="3227" t="s">
        <v>153</v>
      </c>
      <c r="T5" s="3227" t="s">
        <v>2872</v>
      </c>
    </row>
    <row r="6" spans="1:20" ht="12" thickBot="1">
      <c r="A6" s="3227" t="s">
        <v>144</v>
      </c>
      <c r="B6" s="3227" t="s">
        <v>2861</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2873</v>
      </c>
      <c r="Q6" s="3227" t="s">
        <v>2874</v>
      </c>
      <c r="R6" s="3227" t="s">
        <v>161</v>
      </c>
      <c r="S6" s="3227" t="s">
        <v>2875</v>
      </c>
      <c r="T6" s="3227" t="s">
        <v>2876</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2877</v>
      </c>
      <c r="Q7" s="3227" t="s">
        <v>2878</v>
      </c>
      <c r="R7" s="3227" t="s">
        <v>2879</v>
      </c>
      <c r="S7" s="3227" t="s">
        <v>2880</v>
      </c>
      <c r="T7" s="3227" t="s">
        <v>2881</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2882</v>
      </c>
      <c r="Q8" s="3227" t="s">
        <v>174</v>
      </c>
      <c r="R8" s="3227" t="s">
        <v>2883</v>
      </c>
      <c r="S8" s="3227" t="s">
        <v>2884</v>
      </c>
      <c r="T8" s="3234" t="s">
        <v>2885</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2886</v>
      </c>
      <c r="Q9" s="3227" t="s">
        <v>182</v>
      </c>
      <c r="R9" s="3227" t="s">
        <v>183</v>
      </c>
      <c r="S9" s="3227" t="s">
        <v>200</v>
      </c>
    </row>
    <row r="10" spans="1:20">
      <c r="A10" s="3232" t="s">
        <v>184</v>
      </c>
      <c r="B10" s="3223" t="s">
        <v>2847</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2887</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2888</v>
      </c>
      <c r="P11" s="3227" t="s">
        <v>191</v>
      </c>
      <c r="Q11" s="3227" t="s">
        <v>199</v>
      </c>
      <c r="R11" s="3227" t="s">
        <v>2889</v>
      </c>
      <c r="S11" s="3227" t="s">
        <v>2890</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2891</v>
      </c>
      <c r="P12" s="3227" t="s">
        <v>2892</v>
      </c>
      <c r="Q12" s="3227" t="s">
        <v>2893</v>
      </c>
      <c r="R12" s="3227" t="s">
        <v>2894</v>
      </c>
      <c r="S12" s="3227" t="s">
        <v>2895</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2896</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2897</v>
      </c>
      <c r="K14" s="3228" t="s">
        <v>215</v>
      </c>
      <c r="L14" s="3227" t="s">
        <v>216</v>
      </c>
      <c r="M14" s="3227" t="s">
        <v>217</v>
      </c>
      <c r="N14" s="3227" t="s">
        <v>218</v>
      </c>
      <c r="O14" s="3227" t="s">
        <v>240</v>
      </c>
      <c r="P14" s="3227" t="s">
        <v>213</v>
      </c>
      <c r="Q14" s="3227" t="s">
        <v>2898</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2899</v>
      </c>
      <c r="P15" s="3227" t="s">
        <v>2900</v>
      </c>
      <c r="Q15" s="3227" t="s">
        <v>242</v>
      </c>
      <c r="R15" s="3227" t="s">
        <v>2901</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2902</v>
      </c>
      <c r="P16" s="3227" t="s">
        <v>227</v>
      </c>
      <c r="Q16" s="3227" t="s">
        <v>250</v>
      </c>
      <c r="R16" s="3227" t="s">
        <v>207</v>
      </c>
      <c r="S16" s="3227" t="s">
        <v>2903</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2904</v>
      </c>
      <c r="P17" s="3227" t="s">
        <v>2905</v>
      </c>
      <c r="Q17" s="3227" t="s">
        <v>256</v>
      </c>
      <c r="R17" s="3227" t="s">
        <v>2906</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2907</v>
      </c>
      <c r="P18" s="3227" t="s">
        <v>241</v>
      </c>
      <c r="Q18" s="3227" t="s">
        <v>2908</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2909</v>
      </c>
      <c r="P19" s="3227" t="s">
        <v>249</v>
      </c>
      <c r="Q19" s="3227" t="s">
        <v>2910</v>
      </c>
      <c r="R19" s="3227" t="s">
        <v>265</v>
      </c>
      <c r="S19" s="3227" t="s">
        <v>2911</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2912</v>
      </c>
      <c r="P20" s="3227" t="s">
        <v>2913</v>
      </c>
      <c r="Q20" s="3227" t="s">
        <v>290</v>
      </c>
      <c r="R20" s="3227" t="s">
        <v>2914</v>
      </c>
      <c r="S20" s="3227" t="s">
        <v>277</v>
      </c>
    </row>
    <row r="21" spans="1:19" ht="14.25" customHeight="1" thickBot="1">
      <c r="A21" s="3227" t="s">
        <v>184</v>
      </c>
      <c r="B21" s="3228" t="s">
        <v>208</v>
      </c>
      <c r="C21" s="3227">
        <v>32370</v>
      </c>
      <c r="D21" s="3227">
        <v>26730</v>
      </c>
      <c r="E21" s="3227">
        <v>26640</v>
      </c>
      <c r="F21" s="3227"/>
      <c r="G21" s="3227">
        <v>19440</v>
      </c>
      <c r="J21" s="3234" t="s">
        <v>2915</v>
      </c>
      <c r="K21" s="3228" t="s">
        <v>267</v>
      </c>
      <c r="L21" s="3227" t="s">
        <v>268</v>
      </c>
      <c r="M21" s="3227" t="s">
        <v>269</v>
      </c>
      <c r="N21" s="3227" t="s">
        <v>270</v>
      </c>
      <c r="O21" s="3227" t="s">
        <v>264</v>
      </c>
      <c r="P21" s="3227" t="s">
        <v>283</v>
      </c>
      <c r="Q21" s="3227" t="s">
        <v>293</v>
      </c>
      <c r="R21" s="3227" t="s">
        <v>2916</v>
      </c>
      <c r="S21" s="3234" t="s">
        <v>2917</v>
      </c>
    </row>
    <row r="22" spans="1:19" ht="14.25" customHeight="1">
      <c r="A22" s="3227" t="s">
        <v>184</v>
      </c>
      <c r="B22" s="3228" t="s">
        <v>2897</v>
      </c>
      <c r="C22" s="3227">
        <v>29830</v>
      </c>
      <c r="D22" s="3227">
        <v>27600</v>
      </c>
      <c r="E22" s="3227">
        <v>28150</v>
      </c>
      <c r="F22" s="3227"/>
      <c r="G22" s="3227">
        <v>20080</v>
      </c>
      <c r="K22" s="3228" t="s">
        <v>2918</v>
      </c>
      <c r="L22" s="3227" t="s">
        <v>272</v>
      </c>
      <c r="M22" s="3227" t="s">
        <v>273</v>
      </c>
      <c r="N22" s="3227" t="s">
        <v>274</v>
      </c>
      <c r="O22" s="3227" t="s">
        <v>2919</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2920</v>
      </c>
      <c r="L23" s="3227" t="s">
        <v>278</v>
      </c>
      <c r="M23" s="3227" t="s">
        <v>279</v>
      </c>
      <c r="N23" s="3227" t="s">
        <v>2921</v>
      </c>
      <c r="O23" s="3227" t="s">
        <v>2922</v>
      </c>
      <c r="P23" s="3227" t="s">
        <v>289</v>
      </c>
      <c r="Q23" s="3227" t="s">
        <v>298</v>
      </c>
      <c r="R23" s="3227" t="s">
        <v>2923</v>
      </c>
    </row>
    <row r="24" spans="1:19" ht="14.25" customHeight="1">
      <c r="A24" s="3227" t="s">
        <v>184</v>
      </c>
      <c r="B24" s="3228" t="s">
        <v>230</v>
      </c>
      <c r="C24" s="3227">
        <v>27930</v>
      </c>
      <c r="D24" s="3227">
        <v>32260</v>
      </c>
      <c r="E24" s="3227">
        <v>32120</v>
      </c>
      <c r="F24" s="3227"/>
      <c r="G24" s="3227">
        <v>23470</v>
      </c>
      <c r="K24" s="3228" t="s">
        <v>2924</v>
      </c>
      <c r="L24" s="3227" t="s">
        <v>281</v>
      </c>
      <c r="M24" s="3227" t="s">
        <v>282</v>
      </c>
      <c r="N24" s="3227" t="s">
        <v>2925</v>
      </c>
      <c r="O24" s="3227" t="s">
        <v>285</v>
      </c>
      <c r="P24" s="3227" t="s">
        <v>2926</v>
      </c>
      <c r="Q24" s="3236" t="s">
        <v>2927</v>
      </c>
      <c r="R24" s="3227" t="s">
        <v>2928</v>
      </c>
    </row>
    <row r="25" spans="1:19" ht="14.25" customHeight="1">
      <c r="A25" s="3227" t="s">
        <v>184</v>
      </c>
      <c r="B25" s="3228" t="s">
        <v>235</v>
      </c>
      <c r="C25" s="3227">
        <v>32230</v>
      </c>
      <c r="D25" s="3227">
        <v>29640</v>
      </c>
      <c r="E25" s="3227">
        <v>29510</v>
      </c>
      <c r="F25" s="3227"/>
      <c r="G25" s="3227">
        <v>21560</v>
      </c>
      <c r="K25" s="3228" t="s">
        <v>2929</v>
      </c>
      <c r="L25" s="3227" t="s">
        <v>2930</v>
      </c>
      <c r="M25" s="3227" t="s">
        <v>284</v>
      </c>
      <c r="N25" s="3227" t="s">
        <v>292</v>
      </c>
      <c r="O25" s="3227" t="s">
        <v>288</v>
      </c>
      <c r="P25" s="3227" t="s">
        <v>275</v>
      </c>
      <c r="Q25" s="3236" t="s">
        <v>271</v>
      </c>
      <c r="R25" s="3227" t="s">
        <v>2931</v>
      </c>
    </row>
    <row r="26" spans="1:19" ht="14.25" customHeight="1" thickBot="1">
      <c r="A26" s="3227" t="s">
        <v>184</v>
      </c>
      <c r="B26" s="3228" t="s">
        <v>244</v>
      </c>
      <c r="C26" s="3227">
        <v>31690</v>
      </c>
      <c r="D26" s="3227">
        <v>27650</v>
      </c>
      <c r="E26" s="3227">
        <v>28200</v>
      </c>
      <c r="F26" s="3227"/>
      <c r="G26" s="3227">
        <v>20110</v>
      </c>
      <c r="K26" s="3233" t="s">
        <v>2932</v>
      </c>
      <c r="L26" s="3227" t="s">
        <v>2933</v>
      </c>
      <c r="M26" s="3227" t="s">
        <v>287</v>
      </c>
      <c r="N26" s="3227" t="s">
        <v>294</v>
      </c>
      <c r="O26" s="3227" t="s">
        <v>2934</v>
      </c>
      <c r="P26" s="3227" t="s">
        <v>2935</v>
      </c>
      <c r="Q26" s="3236" t="s">
        <v>276</v>
      </c>
      <c r="R26" s="3227" t="s">
        <v>2936</v>
      </c>
    </row>
    <row r="27" spans="1:19" ht="14.25" customHeight="1">
      <c r="A27" s="3227" t="s">
        <v>184</v>
      </c>
      <c r="B27" s="3228" t="s">
        <v>251</v>
      </c>
      <c r="C27" s="3227">
        <v>29610</v>
      </c>
      <c r="D27" s="3227">
        <v>27770</v>
      </c>
      <c r="E27" s="3227">
        <v>28300</v>
      </c>
      <c r="F27" s="3227"/>
      <c r="G27" s="3227">
        <v>20210</v>
      </c>
      <c r="L27" s="3227" t="s">
        <v>2937</v>
      </c>
      <c r="M27" s="3227" t="s">
        <v>291</v>
      </c>
      <c r="N27" s="3227" t="s">
        <v>297</v>
      </c>
      <c r="O27" s="3227" t="s">
        <v>2938</v>
      </c>
      <c r="P27" s="3227" t="s">
        <v>2939</v>
      </c>
      <c r="Q27" s="3227" t="s">
        <v>2940</v>
      </c>
      <c r="R27" s="3227" t="s">
        <v>2941</v>
      </c>
    </row>
    <row r="28" spans="1:19" ht="14.25" customHeight="1">
      <c r="A28" s="3227" t="s">
        <v>184</v>
      </c>
      <c r="B28" s="3228" t="s">
        <v>259</v>
      </c>
      <c r="C28" s="3227"/>
      <c r="D28" s="3227">
        <v>31520</v>
      </c>
      <c r="E28" s="3227">
        <v>31410</v>
      </c>
      <c r="F28" s="3227"/>
      <c r="G28" s="3227">
        <v>22940</v>
      </c>
      <c r="L28" s="3227" t="s">
        <v>2942</v>
      </c>
      <c r="M28" s="3227" t="s">
        <v>2943</v>
      </c>
      <c r="N28" s="3227" t="s">
        <v>2944</v>
      </c>
      <c r="O28" s="3227" t="s">
        <v>2945</v>
      </c>
      <c r="P28" s="3227" t="s">
        <v>2946</v>
      </c>
      <c r="Q28" s="3227" t="s">
        <v>2947</v>
      </c>
      <c r="R28" s="3227" t="s">
        <v>2948</v>
      </c>
    </row>
    <row r="29" spans="1:19" ht="14.25" customHeight="1" thickBot="1">
      <c r="A29" s="3235" t="s">
        <v>184</v>
      </c>
      <c r="B29" s="3237" t="s">
        <v>2915</v>
      </c>
      <c r="C29" s="3238"/>
      <c r="D29" s="3238">
        <v>29460</v>
      </c>
      <c r="E29" s="3238">
        <v>28640</v>
      </c>
      <c r="F29" s="3238"/>
      <c r="G29" s="3238">
        <v>21430</v>
      </c>
      <c r="L29" s="3227" t="s">
        <v>2949</v>
      </c>
      <c r="M29" s="3227" t="s">
        <v>2950</v>
      </c>
      <c r="N29" s="3227" t="s">
        <v>2951</v>
      </c>
      <c r="O29" s="3227" t="s">
        <v>2952</v>
      </c>
      <c r="P29" s="3227" t="s">
        <v>2953</v>
      </c>
      <c r="Q29" s="3227" t="s">
        <v>2954</v>
      </c>
      <c r="R29" s="3227" t="s">
        <v>280</v>
      </c>
    </row>
    <row r="30" spans="1:19" ht="14.25" customHeight="1">
      <c r="A30" s="3232" t="s">
        <v>296</v>
      </c>
      <c r="B30" s="3223" t="s">
        <v>2848</v>
      </c>
      <c r="C30" s="3223">
        <v>26890</v>
      </c>
      <c r="D30" s="3223">
        <v>26770</v>
      </c>
      <c r="E30" s="3223">
        <v>25700</v>
      </c>
      <c r="F30" s="3223">
        <v>8180</v>
      </c>
      <c r="G30" s="3239">
        <v>18740</v>
      </c>
      <c r="L30" s="3227" t="s">
        <v>2955</v>
      </c>
      <c r="M30" s="3227" t="s">
        <v>2956</v>
      </c>
      <c r="N30" s="3227" t="s">
        <v>2957</v>
      </c>
      <c r="O30" s="3227" t="s">
        <v>2958</v>
      </c>
      <c r="P30" s="3227" t="s">
        <v>2959</v>
      </c>
      <c r="Q30" s="3227" t="s">
        <v>2960</v>
      </c>
      <c r="R30" s="3227" t="s">
        <v>2961</v>
      </c>
    </row>
    <row r="31" spans="1:19" ht="14.25" customHeight="1">
      <c r="A31" s="3227" t="s">
        <v>296</v>
      </c>
      <c r="B31" s="3228" t="s">
        <v>129</v>
      </c>
      <c r="C31" s="3227">
        <v>24550</v>
      </c>
      <c r="D31" s="3227">
        <v>23990</v>
      </c>
      <c r="E31" s="3227">
        <v>22930</v>
      </c>
      <c r="F31" s="3227">
        <v>7470</v>
      </c>
      <c r="G31" s="3240">
        <v>16790</v>
      </c>
      <c r="L31" s="3227" t="s">
        <v>2962</v>
      </c>
      <c r="M31" s="3227" t="s">
        <v>2963</v>
      </c>
      <c r="N31" s="3227" t="s">
        <v>2964</v>
      </c>
      <c r="O31" s="3227" t="s">
        <v>2965</v>
      </c>
      <c r="P31" s="3227" t="s">
        <v>2966</v>
      </c>
      <c r="Q31" s="3227" t="s">
        <v>2967</v>
      </c>
      <c r="R31" s="3227" t="s">
        <v>2968</v>
      </c>
    </row>
    <row r="32" spans="1:19" ht="14.25" customHeight="1" thickBot="1">
      <c r="A32" s="3227" t="s">
        <v>296</v>
      </c>
      <c r="B32" s="3228" t="s">
        <v>138</v>
      </c>
      <c r="C32" s="3227">
        <v>27210</v>
      </c>
      <c r="D32" s="3227">
        <v>23240</v>
      </c>
      <c r="E32" s="3227">
        <v>23260</v>
      </c>
      <c r="F32" s="3227">
        <v>7130</v>
      </c>
      <c r="G32" s="3240">
        <v>16270</v>
      </c>
      <c r="L32" s="3227" t="s">
        <v>2969</v>
      </c>
      <c r="M32" s="3227" t="s">
        <v>2970</v>
      </c>
      <c r="N32" s="3227" t="s">
        <v>300</v>
      </c>
      <c r="O32" s="3227" t="s">
        <v>2971</v>
      </c>
      <c r="P32" s="3227" t="s">
        <v>299</v>
      </c>
      <c r="Q32" s="3227" t="s">
        <v>2972</v>
      </c>
      <c r="R32" s="3234" t="s">
        <v>2973</v>
      </c>
    </row>
    <row r="33" spans="1:17" ht="14.25" customHeight="1" thickBot="1">
      <c r="A33" s="3227" t="s">
        <v>296</v>
      </c>
      <c r="B33" s="3228" t="s">
        <v>147</v>
      </c>
      <c r="C33" s="3227">
        <v>27300</v>
      </c>
      <c r="D33" s="3227">
        <v>22980</v>
      </c>
      <c r="E33" s="3227">
        <v>24260</v>
      </c>
      <c r="F33" s="3227">
        <v>5860</v>
      </c>
      <c r="G33" s="3240">
        <v>16090</v>
      </c>
      <c r="L33" s="3234" t="s">
        <v>2974</v>
      </c>
      <c r="M33" s="3227" t="s">
        <v>2975</v>
      </c>
      <c r="N33" s="3227" t="s">
        <v>301</v>
      </c>
      <c r="O33" s="3227" t="s">
        <v>2976</v>
      </c>
      <c r="P33" s="3227" t="s">
        <v>2977</v>
      </c>
      <c r="Q33" s="3227" t="s">
        <v>2978</v>
      </c>
    </row>
    <row r="34" spans="1:17" ht="14.25" customHeight="1">
      <c r="A34" s="3227" t="s">
        <v>296</v>
      </c>
      <c r="B34" s="3228" t="s">
        <v>156</v>
      </c>
      <c r="C34" s="3227">
        <v>23090</v>
      </c>
      <c r="D34" s="3227">
        <v>23390</v>
      </c>
      <c r="E34" s="3227">
        <v>23510</v>
      </c>
      <c r="F34" s="3227">
        <v>6700</v>
      </c>
      <c r="G34" s="3240">
        <v>16370</v>
      </c>
      <c r="M34" s="3227" t="s">
        <v>2979</v>
      </c>
      <c r="N34" s="3227" t="s">
        <v>302</v>
      </c>
      <c r="O34" s="3227" t="s">
        <v>2980</v>
      </c>
      <c r="P34" s="3227" t="s">
        <v>2981</v>
      </c>
      <c r="Q34" s="3227" t="s">
        <v>2982</v>
      </c>
    </row>
    <row r="35" spans="1:17" ht="14.25" customHeight="1">
      <c r="A35" s="3227" t="s">
        <v>296</v>
      </c>
      <c r="B35" s="3228" t="s">
        <v>163</v>
      </c>
      <c r="C35" s="3227">
        <v>27270</v>
      </c>
      <c r="D35" s="3227">
        <v>24270</v>
      </c>
      <c r="E35" s="3227">
        <v>24950</v>
      </c>
      <c r="F35" s="3227">
        <v>6600</v>
      </c>
      <c r="G35" s="3240">
        <v>16990</v>
      </c>
      <c r="M35" s="3227" t="s">
        <v>2983</v>
      </c>
      <c r="N35" s="3227" t="s">
        <v>2984</v>
      </c>
      <c r="O35" s="3227" t="s">
        <v>2985</v>
      </c>
      <c r="P35" s="3227" t="s">
        <v>2986</v>
      </c>
      <c r="Q35" s="3227" t="s">
        <v>2987</v>
      </c>
    </row>
    <row r="36" spans="1:17" ht="14.25" customHeight="1">
      <c r="A36" s="3227" t="s">
        <v>296</v>
      </c>
      <c r="B36" s="3228" t="s">
        <v>169</v>
      </c>
      <c r="C36" s="3227">
        <v>23490</v>
      </c>
      <c r="D36" s="3227">
        <v>23020</v>
      </c>
      <c r="E36" s="3227">
        <v>25230</v>
      </c>
      <c r="F36" s="3227">
        <v>6780</v>
      </c>
      <c r="G36" s="3240">
        <v>16120</v>
      </c>
      <c r="M36" s="3227" t="s">
        <v>2988</v>
      </c>
      <c r="N36" s="3227" t="s">
        <v>2989</v>
      </c>
      <c r="O36" s="3227" t="s">
        <v>2990</v>
      </c>
      <c r="P36" s="3227" t="s">
        <v>2991</v>
      </c>
      <c r="Q36" s="3227" t="s">
        <v>2992</v>
      </c>
    </row>
    <row r="37" spans="1:17" ht="14.25" customHeight="1">
      <c r="A37" s="3227" t="s">
        <v>296</v>
      </c>
      <c r="B37" s="3228" t="s">
        <v>176</v>
      </c>
      <c r="C37" s="3227">
        <v>24380</v>
      </c>
      <c r="D37" s="3227">
        <v>22240</v>
      </c>
      <c r="E37" s="3227">
        <v>25980</v>
      </c>
      <c r="F37" s="3227">
        <v>8160</v>
      </c>
      <c r="G37" s="3240">
        <v>15570</v>
      </c>
      <c r="M37" s="3227" t="s">
        <v>2993</v>
      </c>
      <c r="N37" s="3227" t="s">
        <v>2994</v>
      </c>
      <c r="O37" s="3227" t="s">
        <v>2995</v>
      </c>
      <c r="P37" s="3227" t="s">
        <v>2996</v>
      </c>
      <c r="Q37" s="3227" t="s">
        <v>2997</v>
      </c>
    </row>
    <row r="38" spans="1:17" ht="14.25" customHeight="1">
      <c r="A38" s="3227" t="s">
        <v>296</v>
      </c>
      <c r="B38" s="3228" t="s">
        <v>186</v>
      </c>
      <c r="C38" s="3227">
        <v>23120</v>
      </c>
      <c r="D38" s="3227">
        <v>24630</v>
      </c>
      <c r="E38" s="3227">
        <v>25030</v>
      </c>
      <c r="F38" s="3227">
        <v>7710</v>
      </c>
      <c r="G38" s="3240">
        <v>17240</v>
      </c>
      <c r="M38" s="3227" t="s">
        <v>2998</v>
      </c>
      <c r="N38" s="3227" t="s">
        <v>2999</v>
      </c>
      <c r="O38" s="3227" t="s">
        <v>3000</v>
      </c>
      <c r="P38" s="3227" t="s">
        <v>3001</v>
      </c>
      <c r="Q38" s="3227" t="s">
        <v>3002</v>
      </c>
    </row>
    <row r="39" spans="1:17" ht="14.25" customHeight="1">
      <c r="A39" s="3227" t="s">
        <v>296</v>
      </c>
      <c r="B39" s="3228" t="s">
        <v>195</v>
      </c>
      <c r="C39" s="3227">
        <v>22330</v>
      </c>
      <c r="D39" s="3227">
        <v>21140</v>
      </c>
      <c r="E39" s="3227">
        <v>23970</v>
      </c>
      <c r="F39" s="3227">
        <v>7940</v>
      </c>
      <c r="G39" s="3240">
        <v>14790</v>
      </c>
      <c r="M39" s="3227" t="s">
        <v>3003</v>
      </c>
      <c r="N39" s="3227" t="s">
        <v>3004</v>
      </c>
      <c r="O39" s="3227" t="s">
        <v>3005</v>
      </c>
      <c r="P39" s="3227" t="s">
        <v>3006</v>
      </c>
      <c r="Q39" s="3227" t="s">
        <v>3007</v>
      </c>
    </row>
    <row r="40" spans="1:17" ht="14.25" customHeight="1">
      <c r="A40" s="3227" t="s">
        <v>296</v>
      </c>
      <c r="B40" s="3228" t="s">
        <v>202</v>
      </c>
      <c r="C40" s="3227">
        <v>24740</v>
      </c>
      <c r="D40" s="3227">
        <v>24690</v>
      </c>
      <c r="E40" s="3227">
        <v>22610</v>
      </c>
      <c r="F40" s="3227"/>
      <c r="G40" s="3240">
        <v>17280</v>
      </c>
      <c r="M40" s="3227" t="s">
        <v>3008</v>
      </c>
      <c r="N40" s="3227" t="s">
        <v>3009</v>
      </c>
      <c r="O40" s="3227" t="s">
        <v>3010</v>
      </c>
      <c r="P40" s="3227" t="s">
        <v>3011</v>
      </c>
      <c r="Q40" s="3227" t="s">
        <v>3012</v>
      </c>
    </row>
    <row r="41" spans="1:17" ht="14.25" customHeight="1" thickBot="1">
      <c r="A41" s="3227" t="s">
        <v>296</v>
      </c>
      <c r="B41" s="3228" t="s">
        <v>209</v>
      </c>
      <c r="C41" s="3227">
        <v>21220</v>
      </c>
      <c r="D41" s="3227">
        <v>21120</v>
      </c>
      <c r="E41" s="3227">
        <v>22590</v>
      </c>
      <c r="F41" s="3227"/>
      <c r="G41" s="3240">
        <v>14780</v>
      </c>
      <c r="M41" s="3234" t="s">
        <v>3013</v>
      </c>
      <c r="N41" s="3227" t="s">
        <v>3014</v>
      </c>
      <c r="O41" s="3227" t="s">
        <v>3015</v>
      </c>
      <c r="P41" s="3227" t="s">
        <v>3016</v>
      </c>
      <c r="Q41" s="3227" t="s">
        <v>3017</v>
      </c>
    </row>
    <row r="42" spans="1:17" ht="14.25" customHeight="1">
      <c r="A42" s="3227" t="s">
        <v>296</v>
      </c>
      <c r="B42" s="3228" t="s">
        <v>215</v>
      </c>
      <c r="C42" s="3227">
        <v>24800</v>
      </c>
      <c r="D42" s="3227">
        <v>22280</v>
      </c>
      <c r="E42" s="3227">
        <v>24350</v>
      </c>
      <c r="F42" s="3227"/>
      <c r="G42" s="3240">
        <v>15590</v>
      </c>
      <c r="N42" s="3227" t="s">
        <v>3018</v>
      </c>
      <c r="O42" s="3227" t="s">
        <v>3019</v>
      </c>
      <c r="P42" s="3227" t="s">
        <v>3020</v>
      </c>
      <c r="Q42" s="3227" t="s">
        <v>3021</v>
      </c>
    </row>
    <row r="43" spans="1:17" ht="14.25" customHeight="1">
      <c r="A43" s="3227" t="s">
        <v>3022</v>
      </c>
      <c r="B43" s="3228" t="s">
        <v>223</v>
      </c>
      <c r="C43" s="3227">
        <v>21210</v>
      </c>
      <c r="D43" s="3227">
        <v>21160</v>
      </c>
      <c r="E43" s="3227">
        <v>22650</v>
      </c>
      <c r="F43" s="3227"/>
      <c r="G43" s="3240">
        <v>14800</v>
      </c>
      <c r="N43" s="3227" t="s">
        <v>3023</v>
      </c>
      <c r="O43" s="3227" t="s">
        <v>3024</v>
      </c>
      <c r="P43" s="3227" t="s">
        <v>3025</v>
      </c>
      <c r="Q43" s="3227" t="s">
        <v>3026</v>
      </c>
    </row>
    <row r="44" spans="1:17" ht="14.25" customHeight="1" thickBot="1">
      <c r="A44" s="3227" t="s">
        <v>296</v>
      </c>
      <c r="B44" s="3228" t="s">
        <v>231</v>
      </c>
      <c r="C44" s="3227">
        <v>22370</v>
      </c>
      <c r="D44" s="3227">
        <v>23140</v>
      </c>
      <c r="E44" s="3227">
        <v>25090</v>
      </c>
      <c r="F44" s="3227"/>
      <c r="G44" s="3240">
        <v>16190</v>
      </c>
      <c r="N44" s="3227" t="s">
        <v>3027</v>
      </c>
      <c r="O44" s="3227" t="s">
        <v>3028</v>
      </c>
      <c r="P44" s="3234" t="s">
        <v>3029</v>
      </c>
      <c r="Q44" s="3227" t="s">
        <v>3030</v>
      </c>
    </row>
    <row r="45" spans="1:17" ht="14.25" customHeight="1" thickBot="1">
      <c r="A45" s="3227" t="s">
        <v>296</v>
      </c>
      <c r="B45" s="3228" t="s">
        <v>236</v>
      </c>
      <c r="C45" s="3227">
        <v>21240</v>
      </c>
      <c r="D45" s="3227">
        <v>27050</v>
      </c>
      <c r="E45" s="3227">
        <v>28000</v>
      </c>
      <c r="F45" s="3227"/>
      <c r="G45" s="3240">
        <v>18940</v>
      </c>
      <c r="N45" s="3227" t="s">
        <v>3031</v>
      </c>
      <c r="O45" s="3234" t="s">
        <v>3032</v>
      </c>
      <c r="Q45" s="3227" t="s">
        <v>3033</v>
      </c>
    </row>
    <row r="46" spans="1:17" ht="14.25" customHeight="1">
      <c r="A46" s="3227" t="s">
        <v>296</v>
      </c>
      <c r="B46" s="3228" t="s">
        <v>245</v>
      </c>
      <c r="C46" s="3227">
        <v>23240</v>
      </c>
      <c r="D46" s="3227">
        <v>23000</v>
      </c>
      <c r="E46" s="3227">
        <v>24980</v>
      </c>
      <c r="F46" s="3227"/>
      <c r="G46" s="3240">
        <v>16100</v>
      </c>
      <c r="N46" s="3227" t="s">
        <v>3034</v>
      </c>
      <c r="Q46" s="3227" t="s">
        <v>3035</v>
      </c>
    </row>
    <row r="47" spans="1:17" ht="14.25" customHeight="1">
      <c r="A47" s="3227" t="s">
        <v>296</v>
      </c>
      <c r="B47" s="3228" t="s">
        <v>252</v>
      </c>
      <c r="C47" s="3227">
        <v>27150</v>
      </c>
      <c r="D47" s="3227">
        <v>23310</v>
      </c>
      <c r="E47" s="3227">
        <v>25150</v>
      </c>
      <c r="F47" s="3227"/>
      <c r="G47" s="3240">
        <v>16310</v>
      </c>
      <c r="N47" s="3227" t="s">
        <v>3036</v>
      </c>
      <c r="Q47" s="3227" t="s">
        <v>3037</v>
      </c>
    </row>
    <row r="48" spans="1:17" ht="14.25" customHeight="1">
      <c r="A48" s="3227" t="s">
        <v>296</v>
      </c>
      <c r="B48" s="3228" t="s">
        <v>260</v>
      </c>
      <c r="C48" s="3227">
        <v>23100</v>
      </c>
      <c r="D48" s="3227">
        <v>21110</v>
      </c>
      <c r="E48" s="3227">
        <v>23080</v>
      </c>
      <c r="F48" s="3227"/>
      <c r="G48" s="3240">
        <v>14780</v>
      </c>
      <c r="N48" s="3227" t="s">
        <v>3038</v>
      </c>
      <c r="Q48" s="3227" t="s">
        <v>3039</v>
      </c>
    </row>
    <row r="49" spans="1:17" ht="14.25" customHeight="1">
      <c r="A49" s="3227" t="s">
        <v>296</v>
      </c>
      <c r="B49" s="3228" t="s">
        <v>267</v>
      </c>
      <c r="C49" s="3227">
        <v>23400</v>
      </c>
      <c r="D49" s="3227">
        <v>22920</v>
      </c>
      <c r="E49" s="3227">
        <v>24900</v>
      </c>
      <c r="F49" s="3227"/>
      <c r="G49" s="3240">
        <v>16040</v>
      </c>
      <c r="N49" s="3227" t="s">
        <v>3040</v>
      </c>
      <c r="Q49" s="3227" t="s">
        <v>3041</v>
      </c>
    </row>
    <row r="50" spans="1:17" ht="14.25" customHeight="1">
      <c r="A50" s="3227" t="s">
        <v>296</v>
      </c>
      <c r="B50" s="3228" t="s">
        <v>2918</v>
      </c>
      <c r="C50" s="3227">
        <v>21200</v>
      </c>
      <c r="D50" s="3227">
        <v>26540</v>
      </c>
      <c r="E50" s="3227">
        <v>23200</v>
      </c>
      <c r="F50" s="3227"/>
      <c r="G50" s="3240">
        <v>18580</v>
      </c>
      <c r="N50" s="3227" t="s">
        <v>3042</v>
      </c>
      <c r="Q50" s="3228" t="s">
        <v>3043</v>
      </c>
    </row>
    <row r="51" spans="1:17" ht="14.25" customHeight="1" thickBot="1">
      <c r="A51" s="3227" t="s">
        <v>296</v>
      </c>
      <c r="B51" s="3228" t="s">
        <v>2920</v>
      </c>
      <c r="C51" s="3227">
        <v>23000</v>
      </c>
      <c r="D51" s="3227">
        <v>23460</v>
      </c>
      <c r="E51" s="3227">
        <v>25290</v>
      </c>
      <c r="F51" s="3227"/>
      <c r="G51" s="3240">
        <v>16420</v>
      </c>
      <c r="N51" s="3227" t="s">
        <v>3044</v>
      </c>
      <c r="Q51" s="3234" t="s">
        <v>3045</v>
      </c>
    </row>
    <row r="52" spans="1:17" ht="14.25" customHeight="1">
      <c r="A52" s="3227" t="s">
        <v>296</v>
      </c>
      <c r="B52" s="3228" t="s">
        <v>2924</v>
      </c>
      <c r="C52" s="3227">
        <v>26660</v>
      </c>
      <c r="D52" s="3227">
        <v>22350</v>
      </c>
      <c r="E52" s="3227">
        <v>22920</v>
      </c>
      <c r="F52" s="3227"/>
      <c r="G52" s="3240">
        <v>15640</v>
      </c>
      <c r="N52" s="3227" t="s">
        <v>3046</v>
      </c>
    </row>
    <row r="53" spans="1:17" ht="14.25" customHeight="1">
      <c r="A53" s="3227" t="s">
        <v>296</v>
      </c>
      <c r="B53" s="3228" t="s">
        <v>2929</v>
      </c>
      <c r="C53" s="3227">
        <v>23580</v>
      </c>
      <c r="D53" s="3227"/>
      <c r="E53" s="3227">
        <v>24280</v>
      </c>
      <c r="F53" s="3227"/>
      <c r="G53" s="3240"/>
      <c r="N53" s="3227" t="s">
        <v>3047</v>
      </c>
    </row>
    <row r="54" spans="1:17" ht="14.25" customHeight="1" thickBot="1">
      <c r="A54" s="3241" t="s">
        <v>296</v>
      </c>
      <c r="B54" s="3233" t="s">
        <v>2932</v>
      </c>
      <c r="C54" s="3234">
        <v>22460</v>
      </c>
      <c r="D54" s="3234"/>
      <c r="E54" s="3234"/>
      <c r="F54" s="3234"/>
      <c r="G54" s="3242"/>
      <c r="N54" s="3227" t="s">
        <v>3048</v>
      </c>
    </row>
    <row r="55" spans="1:17" ht="14.25" customHeight="1">
      <c r="A55" s="3232" t="s">
        <v>110</v>
      </c>
      <c r="B55" s="3223" t="s">
        <v>3049</v>
      </c>
      <c r="C55" s="3227">
        <v>21970</v>
      </c>
      <c r="D55" s="3227">
        <v>20370</v>
      </c>
      <c r="E55" s="3227">
        <v>20180</v>
      </c>
      <c r="F55" s="3227">
        <v>5730</v>
      </c>
      <c r="G55" s="3227">
        <v>13820</v>
      </c>
      <c r="N55" s="3227" t="s">
        <v>3050</v>
      </c>
    </row>
    <row r="56" spans="1:17" ht="14.25" customHeight="1">
      <c r="A56" s="3227" t="s">
        <v>110</v>
      </c>
      <c r="B56" s="3227" t="s">
        <v>130</v>
      </c>
      <c r="C56" s="3227">
        <v>20470</v>
      </c>
      <c r="D56" s="3227">
        <v>20700</v>
      </c>
      <c r="E56" s="3227">
        <v>20380</v>
      </c>
      <c r="F56" s="3227">
        <v>4760</v>
      </c>
      <c r="G56" s="3227">
        <v>14050</v>
      </c>
      <c r="N56" s="3227" t="s">
        <v>3051</v>
      </c>
    </row>
    <row r="57" spans="1:17" ht="14.25" customHeight="1">
      <c r="A57" s="3227" t="s">
        <v>110</v>
      </c>
      <c r="B57" s="3227" t="s">
        <v>139</v>
      </c>
      <c r="C57" s="3227">
        <v>20790</v>
      </c>
      <c r="D57" s="3227">
        <v>21370</v>
      </c>
      <c r="E57" s="3227">
        <v>20890</v>
      </c>
      <c r="F57" s="3227">
        <v>4910</v>
      </c>
      <c r="G57" s="3227">
        <v>14510</v>
      </c>
      <c r="N57" s="3227" t="s">
        <v>3052</v>
      </c>
    </row>
    <row r="58" spans="1:17" ht="14.25" customHeight="1">
      <c r="A58" s="3227" t="s">
        <v>110</v>
      </c>
      <c r="B58" s="3227" t="s">
        <v>148</v>
      </c>
      <c r="C58" s="3227">
        <v>21460</v>
      </c>
      <c r="D58" s="3227">
        <v>20920</v>
      </c>
      <c r="E58" s="3227">
        <v>23410</v>
      </c>
      <c r="F58" s="3227">
        <v>5100</v>
      </c>
      <c r="G58" s="3227">
        <v>14200</v>
      </c>
      <c r="N58" s="3227" t="s">
        <v>3053</v>
      </c>
    </row>
    <row r="59" spans="1:17" ht="14.25" customHeight="1">
      <c r="A59" s="3227" t="s">
        <v>110</v>
      </c>
      <c r="B59" s="3227" t="s">
        <v>157</v>
      </c>
      <c r="C59" s="3227">
        <v>21000</v>
      </c>
      <c r="D59" s="3227">
        <v>21550</v>
      </c>
      <c r="E59" s="3227">
        <v>21150</v>
      </c>
      <c r="F59" s="3227">
        <v>5250</v>
      </c>
      <c r="G59" s="3227">
        <v>14630</v>
      </c>
      <c r="N59" s="3227" t="s">
        <v>3054</v>
      </c>
    </row>
    <row r="60" spans="1:17" ht="14.25" customHeight="1">
      <c r="A60" s="3227" t="s">
        <v>110</v>
      </c>
      <c r="B60" s="3227" t="s">
        <v>164</v>
      </c>
      <c r="C60" s="3227">
        <v>21640</v>
      </c>
      <c r="D60" s="3227">
        <v>21260</v>
      </c>
      <c r="E60" s="3227">
        <v>24040</v>
      </c>
      <c r="F60" s="3227">
        <v>4470</v>
      </c>
      <c r="G60" s="3227">
        <v>14430</v>
      </c>
      <c r="N60" s="3227" t="s">
        <v>3055</v>
      </c>
    </row>
    <row r="61" spans="1:17" ht="14.25" customHeight="1">
      <c r="A61" s="3227" t="s">
        <v>110</v>
      </c>
      <c r="B61" s="3227" t="s">
        <v>170</v>
      </c>
      <c r="C61" s="3227">
        <v>21330</v>
      </c>
      <c r="D61" s="3227">
        <v>18640</v>
      </c>
      <c r="E61" s="3227">
        <v>21190</v>
      </c>
      <c r="F61" s="3227">
        <v>4180</v>
      </c>
      <c r="G61" s="3227">
        <v>12650</v>
      </c>
      <c r="N61" s="3227" t="s">
        <v>3056</v>
      </c>
    </row>
    <row r="62" spans="1:17" ht="14.25" customHeight="1">
      <c r="A62" s="3227" t="s">
        <v>110</v>
      </c>
      <c r="B62" s="3227" t="s">
        <v>177</v>
      </c>
      <c r="C62" s="3227">
        <v>18710</v>
      </c>
      <c r="D62" s="3227">
        <v>19400</v>
      </c>
      <c r="E62" s="3227">
        <v>23750</v>
      </c>
      <c r="F62" s="3227">
        <v>4860</v>
      </c>
      <c r="G62" s="3227">
        <v>13170</v>
      </c>
      <c r="N62" s="3227" t="s">
        <v>3057</v>
      </c>
    </row>
    <row r="63" spans="1:17" ht="14.25" customHeight="1">
      <c r="A63" s="3227" t="s">
        <v>110</v>
      </c>
      <c r="B63" s="3227" t="s">
        <v>187</v>
      </c>
      <c r="C63" s="3227">
        <v>19480</v>
      </c>
      <c r="D63" s="3227">
        <v>16830</v>
      </c>
      <c r="E63" s="3227">
        <v>21590</v>
      </c>
      <c r="F63" s="3227">
        <v>4560</v>
      </c>
      <c r="G63" s="3227">
        <v>11420</v>
      </c>
      <c r="N63" s="3227" t="s">
        <v>3058</v>
      </c>
    </row>
    <row r="64" spans="1:17" ht="14.25" customHeight="1" thickBot="1">
      <c r="A64" s="3227" t="s">
        <v>110</v>
      </c>
      <c r="B64" s="3227" t="s">
        <v>196</v>
      </c>
      <c r="C64" s="3227">
        <v>16920</v>
      </c>
      <c r="D64" s="3227">
        <v>19190</v>
      </c>
      <c r="E64" s="3227">
        <v>22200</v>
      </c>
      <c r="F64" s="3227">
        <v>4390</v>
      </c>
      <c r="G64" s="3227">
        <v>13030</v>
      </c>
      <c r="N64" s="3234" t="s">
        <v>3059</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2930</v>
      </c>
      <c r="C78" s="3227">
        <v>19820</v>
      </c>
      <c r="D78" s="3227">
        <v>19780</v>
      </c>
      <c r="E78" s="3227">
        <v>18560</v>
      </c>
      <c r="F78" s="3227"/>
      <c r="G78" s="3227">
        <v>13430</v>
      </c>
    </row>
    <row r="79" spans="1:7" s="3216" customFormat="1" ht="14.25" customHeight="1">
      <c r="A79" s="3227" t="s">
        <v>110</v>
      </c>
      <c r="B79" s="3227" t="s">
        <v>2933</v>
      </c>
      <c r="C79" s="3227">
        <v>21660</v>
      </c>
      <c r="D79" s="3227">
        <v>18000</v>
      </c>
      <c r="E79" s="3227">
        <v>22570</v>
      </c>
      <c r="F79" s="3227"/>
      <c r="G79" s="3227">
        <v>12220</v>
      </c>
    </row>
    <row r="80" spans="1:7" s="3216" customFormat="1" ht="14.25" customHeight="1">
      <c r="A80" s="3227" t="s">
        <v>110</v>
      </c>
      <c r="B80" s="3227" t="s">
        <v>2937</v>
      </c>
      <c r="C80" s="3227">
        <v>19850</v>
      </c>
      <c r="D80" s="3227"/>
      <c r="E80" s="3227">
        <v>21700</v>
      </c>
      <c r="F80" s="3227"/>
      <c r="G80" s="3227"/>
    </row>
    <row r="81" spans="1:7" s="3216" customFormat="1" ht="14.25" customHeight="1">
      <c r="A81" s="3227" t="s">
        <v>110</v>
      </c>
      <c r="B81" s="3227" t="s">
        <v>2942</v>
      </c>
      <c r="C81" s="3227">
        <v>18080</v>
      </c>
      <c r="D81" s="3227"/>
      <c r="E81" s="3227">
        <v>20900</v>
      </c>
      <c r="F81" s="3227"/>
      <c r="G81" s="3227"/>
    </row>
    <row r="82" spans="1:7" s="3216" customFormat="1" ht="14.25" customHeight="1">
      <c r="A82" s="3227" t="s">
        <v>110</v>
      </c>
      <c r="B82" s="3227" t="s">
        <v>2949</v>
      </c>
      <c r="C82" s="3227"/>
      <c r="D82" s="3227"/>
      <c r="E82" s="3227">
        <v>20840</v>
      </c>
      <c r="F82" s="3227"/>
      <c r="G82" s="3227"/>
    </row>
    <row r="83" spans="1:7" s="3216" customFormat="1" ht="14.25" customHeight="1">
      <c r="A83" s="3227" t="s">
        <v>110</v>
      </c>
      <c r="B83" s="3227" t="s">
        <v>3060</v>
      </c>
      <c r="C83" s="3227"/>
      <c r="D83" s="3227"/>
      <c r="E83" s="3227"/>
      <c r="F83" s="3227">
        <v>4770</v>
      </c>
      <c r="G83" s="3227"/>
    </row>
    <row r="84" spans="1:7" s="3216" customFormat="1" ht="14.25" customHeight="1">
      <c r="A84" s="3227" t="s">
        <v>110</v>
      </c>
      <c r="B84" s="3227" t="s">
        <v>3061</v>
      </c>
      <c r="C84" s="3227"/>
      <c r="D84" s="3227"/>
      <c r="E84" s="3227"/>
      <c r="F84" s="3227">
        <v>4600</v>
      </c>
      <c r="G84" s="3227"/>
    </row>
    <row r="85" spans="1:7" s="3216" customFormat="1" ht="14.25" customHeight="1">
      <c r="A85" s="3227" t="s">
        <v>110</v>
      </c>
      <c r="B85" s="3227" t="s">
        <v>3062</v>
      </c>
      <c r="C85" s="3227"/>
      <c r="D85" s="3227"/>
      <c r="E85" s="3227"/>
      <c r="F85" s="3227">
        <v>4680</v>
      </c>
      <c r="G85" s="3227"/>
    </row>
    <row r="86" spans="1:7" s="3216" customFormat="1" ht="14.25" customHeight="1" thickBot="1">
      <c r="A86" s="3235" t="s">
        <v>110</v>
      </c>
      <c r="B86" s="3237" t="s">
        <v>3063</v>
      </c>
      <c r="C86" s="3238">
        <v>16610</v>
      </c>
      <c r="D86" s="3238">
        <v>16540</v>
      </c>
      <c r="E86" s="3238">
        <v>18850</v>
      </c>
      <c r="F86" s="3238"/>
      <c r="G86" s="3238">
        <v>11220</v>
      </c>
    </row>
    <row r="87" spans="1:7" s="3216" customFormat="1" ht="14.25" customHeight="1">
      <c r="A87" s="3232" t="s">
        <v>303</v>
      </c>
      <c r="B87" s="3223" t="s">
        <v>3064</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2943</v>
      </c>
      <c r="C113" s="3227">
        <v>15520</v>
      </c>
      <c r="D113" s="3227">
        <v>15450</v>
      </c>
      <c r="E113" s="3227"/>
      <c r="F113" s="3227"/>
      <c r="G113" s="3240">
        <v>10210</v>
      </c>
    </row>
    <row r="114" spans="1:7" s="3216" customFormat="1" ht="14.25" customHeight="1">
      <c r="A114" s="3227" t="s">
        <v>303</v>
      </c>
      <c r="B114" s="3227" t="s">
        <v>2950</v>
      </c>
      <c r="C114" s="3227">
        <v>13110</v>
      </c>
      <c r="D114" s="3227">
        <v>13050</v>
      </c>
      <c r="E114" s="3227"/>
      <c r="F114" s="3227"/>
      <c r="G114" s="3240">
        <v>8620</v>
      </c>
    </row>
    <row r="115" spans="1:7" s="3216" customFormat="1" ht="14.25" customHeight="1">
      <c r="A115" s="3227" t="s">
        <v>303</v>
      </c>
      <c r="B115" s="3227" t="s">
        <v>2956</v>
      </c>
      <c r="C115" s="3227">
        <v>12460</v>
      </c>
      <c r="D115" s="3227">
        <v>12390</v>
      </c>
      <c r="E115" s="3227"/>
      <c r="F115" s="3227"/>
      <c r="G115" s="3240">
        <v>8190</v>
      </c>
    </row>
    <row r="116" spans="1:7" s="3216" customFormat="1" ht="14.25" customHeight="1">
      <c r="A116" s="3227" t="s">
        <v>303</v>
      </c>
      <c r="B116" s="3227" t="s">
        <v>2963</v>
      </c>
      <c r="C116" s="3227">
        <v>13580</v>
      </c>
      <c r="D116" s="3227">
        <v>13520</v>
      </c>
      <c r="E116" s="3227"/>
      <c r="F116" s="3227"/>
      <c r="G116" s="3240">
        <v>8930</v>
      </c>
    </row>
    <row r="117" spans="1:7" s="3216" customFormat="1" ht="14.25" customHeight="1">
      <c r="A117" s="3227" t="s">
        <v>303</v>
      </c>
      <c r="B117" s="3227" t="s">
        <v>2970</v>
      </c>
      <c r="C117" s="3227">
        <v>17120</v>
      </c>
      <c r="D117" s="3227">
        <v>17040</v>
      </c>
      <c r="E117" s="3227"/>
      <c r="F117" s="3227"/>
      <c r="G117" s="3240">
        <v>11260</v>
      </c>
    </row>
    <row r="118" spans="1:7" s="3216" customFormat="1" ht="14.25" customHeight="1">
      <c r="A118" s="3227" t="s">
        <v>303</v>
      </c>
      <c r="B118" s="3227" t="s">
        <v>2975</v>
      </c>
      <c r="C118" s="3227">
        <v>14860</v>
      </c>
      <c r="D118" s="3227">
        <v>14790</v>
      </c>
      <c r="E118" s="3227"/>
      <c r="F118" s="3227"/>
      <c r="G118" s="3240">
        <v>9780</v>
      </c>
    </row>
    <row r="119" spans="1:7" s="3216" customFormat="1" ht="14.25" customHeight="1">
      <c r="A119" s="3227" t="s">
        <v>303</v>
      </c>
      <c r="B119" s="3227" t="s">
        <v>2979</v>
      </c>
      <c r="C119" s="3227">
        <v>16470</v>
      </c>
      <c r="D119" s="3227">
        <v>16400</v>
      </c>
      <c r="E119" s="3227"/>
      <c r="F119" s="3227"/>
      <c r="G119" s="3240">
        <v>10840</v>
      </c>
    </row>
    <row r="120" spans="1:7" s="3216" customFormat="1" ht="14.25" customHeight="1">
      <c r="A120" s="3227" t="s">
        <v>303</v>
      </c>
      <c r="B120" s="3227" t="s">
        <v>3065</v>
      </c>
      <c r="C120" s="3227"/>
      <c r="D120" s="3227"/>
      <c r="E120" s="3227"/>
      <c r="F120" s="3227">
        <v>4160</v>
      </c>
      <c r="G120" s="3240"/>
    </row>
    <row r="121" spans="1:7" s="3216" customFormat="1" ht="14.25" customHeight="1">
      <c r="A121" s="3227" t="s">
        <v>303</v>
      </c>
      <c r="B121" s="3227" t="s">
        <v>3066</v>
      </c>
      <c r="C121" s="3227"/>
      <c r="D121" s="3227"/>
      <c r="E121" s="3227"/>
      <c r="F121" s="3227">
        <v>3880</v>
      </c>
      <c r="G121" s="3240"/>
    </row>
    <row r="122" spans="1:7" s="3216" customFormat="1" ht="14.25" customHeight="1">
      <c r="A122" s="3227" t="s">
        <v>303</v>
      </c>
      <c r="B122" s="3227" t="s">
        <v>3067</v>
      </c>
      <c r="C122" s="3227">
        <v>13750</v>
      </c>
      <c r="D122" s="3227">
        <v>13680</v>
      </c>
      <c r="E122" s="3227">
        <v>16460</v>
      </c>
      <c r="F122" s="3227">
        <v>2880</v>
      </c>
      <c r="G122" s="3240">
        <v>9040</v>
      </c>
    </row>
    <row r="123" spans="1:7" s="3216" customFormat="1" ht="14.25" customHeight="1">
      <c r="A123" s="3227" t="s">
        <v>303</v>
      </c>
      <c r="B123" s="3227" t="s">
        <v>2998</v>
      </c>
      <c r="C123" s="3227">
        <v>13590</v>
      </c>
      <c r="D123" s="3227">
        <v>13520</v>
      </c>
      <c r="E123" s="3227">
        <v>16290</v>
      </c>
      <c r="F123" s="3227">
        <v>2790</v>
      </c>
      <c r="G123" s="3240">
        <v>8930</v>
      </c>
    </row>
    <row r="124" spans="1:7" s="3216" customFormat="1" ht="14.25" customHeight="1">
      <c r="A124" s="3227" t="s">
        <v>303</v>
      </c>
      <c r="B124" s="3227" t="s">
        <v>3003</v>
      </c>
      <c r="C124" s="3227">
        <v>13400</v>
      </c>
      <c r="D124" s="3227">
        <v>13320</v>
      </c>
      <c r="E124" s="3227">
        <v>16100</v>
      </c>
      <c r="F124" s="3227">
        <v>2320</v>
      </c>
      <c r="G124" s="3240">
        <v>8800</v>
      </c>
    </row>
    <row r="125" spans="1:7" s="3216" customFormat="1" ht="14.25" customHeight="1">
      <c r="A125" s="3227" t="s">
        <v>303</v>
      </c>
      <c r="B125" s="3227" t="s">
        <v>3008</v>
      </c>
      <c r="C125" s="3227">
        <v>12860</v>
      </c>
      <c r="D125" s="3227">
        <v>12790</v>
      </c>
      <c r="E125" s="3227">
        <v>15370</v>
      </c>
      <c r="F125" s="3227">
        <v>2280</v>
      </c>
      <c r="G125" s="3240">
        <v>8450</v>
      </c>
    </row>
    <row r="126" spans="1:7" s="3216" customFormat="1" ht="14.25" customHeight="1" thickBot="1">
      <c r="A126" s="3241" t="s">
        <v>303</v>
      </c>
      <c r="B126" s="3234" t="s">
        <v>3013</v>
      </c>
      <c r="C126" s="3234">
        <v>12960</v>
      </c>
      <c r="D126" s="3234">
        <v>12890</v>
      </c>
      <c r="E126" s="3234">
        <v>15530</v>
      </c>
      <c r="F126" s="3234">
        <v>2910</v>
      </c>
      <c r="G126" s="3242">
        <v>8520</v>
      </c>
    </row>
    <row r="127" spans="1:7" s="3216" customFormat="1" ht="14.25" customHeight="1">
      <c r="A127" s="3232" t="s">
        <v>29</v>
      </c>
      <c r="B127" s="3223" t="s">
        <v>3068</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3069</v>
      </c>
      <c r="C148" s="3227">
        <v>10370</v>
      </c>
      <c r="D148" s="3227">
        <v>10310</v>
      </c>
      <c r="E148" s="3227">
        <v>12970</v>
      </c>
      <c r="F148" s="3227"/>
      <c r="G148" s="3227">
        <v>6630</v>
      </c>
    </row>
    <row r="149" spans="1:7" s="3216" customFormat="1" ht="14.25" customHeight="1">
      <c r="A149" s="3227" t="s">
        <v>29</v>
      </c>
      <c r="B149" s="3227" t="s">
        <v>3070</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2944</v>
      </c>
      <c r="C153" s="3227">
        <v>10880</v>
      </c>
      <c r="D153" s="3227">
        <v>10820</v>
      </c>
      <c r="E153" s="3227">
        <v>13660</v>
      </c>
      <c r="F153" s="3227">
        <v>2260</v>
      </c>
      <c r="G153" s="3227">
        <v>6970</v>
      </c>
    </row>
    <row r="154" spans="1:7" s="3216" customFormat="1" ht="14.25" customHeight="1">
      <c r="A154" s="3227" t="s">
        <v>29</v>
      </c>
      <c r="B154" s="3227" t="s">
        <v>3071</v>
      </c>
      <c r="C154" s="3227">
        <v>11220</v>
      </c>
      <c r="D154" s="3227">
        <v>11160</v>
      </c>
      <c r="E154" s="3227">
        <v>14130</v>
      </c>
      <c r="F154" s="3227">
        <v>2230</v>
      </c>
      <c r="G154" s="3227">
        <v>7180</v>
      </c>
    </row>
    <row r="155" spans="1:7" s="3216" customFormat="1" ht="14.25" customHeight="1">
      <c r="A155" s="3227" t="s">
        <v>29</v>
      </c>
      <c r="B155" s="3227" t="s">
        <v>2957</v>
      </c>
      <c r="C155" s="3227">
        <v>10430</v>
      </c>
      <c r="D155" s="3227">
        <v>10380</v>
      </c>
      <c r="E155" s="3227">
        <v>13140</v>
      </c>
      <c r="F155" s="3227">
        <v>2080</v>
      </c>
      <c r="G155" s="3227">
        <v>6650</v>
      </c>
    </row>
    <row r="156" spans="1:7" s="3216" customFormat="1" ht="14.25" customHeight="1">
      <c r="A156" s="3227" t="s">
        <v>29</v>
      </c>
      <c r="B156" s="3227" t="s">
        <v>3072</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3073</v>
      </c>
      <c r="C160" s="3227">
        <v>11180</v>
      </c>
      <c r="D160" s="3227">
        <v>11140</v>
      </c>
      <c r="E160" s="3227">
        <v>14050</v>
      </c>
      <c r="F160" s="3227">
        <v>2270</v>
      </c>
      <c r="G160" s="3227">
        <v>7170</v>
      </c>
    </row>
    <row r="161" spans="1:7" s="3216" customFormat="1" ht="14.25" customHeight="1">
      <c r="A161" s="3227" t="s">
        <v>29</v>
      </c>
      <c r="B161" s="3227" t="s">
        <v>2989</v>
      </c>
      <c r="C161" s="3227">
        <v>11160</v>
      </c>
      <c r="D161" s="3227">
        <v>11120</v>
      </c>
      <c r="E161" s="3227">
        <v>14020</v>
      </c>
      <c r="F161" s="3227">
        <v>2150</v>
      </c>
      <c r="G161" s="3227">
        <v>7160</v>
      </c>
    </row>
    <row r="162" spans="1:7" s="3216" customFormat="1" ht="14.25" customHeight="1">
      <c r="A162" s="3227" t="s">
        <v>29</v>
      </c>
      <c r="B162" s="3227" t="s">
        <v>2994</v>
      </c>
      <c r="C162" s="3227">
        <v>9620</v>
      </c>
      <c r="D162" s="3227">
        <v>9570</v>
      </c>
      <c r="E162" s="3227">
        <v>12320</v>
      </c>
      <c r="F162" s="3227">
        <v>2010</v>
      </c>
      <c r="G162" s="3227">
        <v>6160</v>
      </c>
    </row>
    <row r="163" spans="1:7" s="3216" customFormat="1" ht="14.25" customHeight="1">
      <c r="A163" s="3227" t="s">
        <v>29</v>
      </c>
      <c r="B163" s="3227" t="s">
        <v>2999</v>
      </c>
      <c r="C163" s="3227">
        <v>9320</v>
      </c>
      <c r="D163" s="3227">
        <v>9270</v>
      </c>
      <c r="E163" s="3227">
        <v>11790</v>
      </c>
      <c r="F163" s="3227">
        <v>1920</v>
      </c>
      <c r="G163" s="3227">
        <v>5960</v>
      </c>
    </row>
    <row r="164" spans="1:7" s="3216" customFormat="1" ht="14.25" customHeight="1">
      <c r="A164" s="3227" t="s">
        <v>29</v>
      </c>
      <c r="B164" s="3227" t="s">
        <v>3004</v>
      </c>
      <c r="C164" s="3227"/>
      <c r="D164" s="3227"/>
      <c r="E164" s="3227"/>
      <c r="F164" s="3227">
        <v>1980</v>
      </c>
      <c r="G164" s="3227"/>
    </row>
    <row r="165" spans="1:7" s="3216" customFormat="1" ht="14.25" customHeight="1">
      <c r="A165" s="3227" t="s">
        <v>29</v>
      </c>
      <c r="B165" s="3227" t="s">
        <v>3074</v>
      </c>
      <c r="C165" s="3227">
        <v>11060</v>
      </c>
      <c r="D165" s="3227">
        <v>11030</v>
      </c>
      <c r="E165" s="3227">
        <v>13850</v>
      </c>
      <c r="F165" s="3227">
        <v>2170</v>
      </c>
      <c r="G165" s="3227">
        <v>7090</v>
      </c>
    </row>
    <row r="166" spans="1:7" s="3216" customFormat="1" ht="14.25" customHeight="1">
      <c r="A166" s="3227" t="s">
        <v>29</v>
      </c>
      <c r="B166" s="3227" t="s">
        <v>3014</v>
      </c>
      <c r="C166" s="3227">
        <v>11050</v>
      </c>
      <c r="D166" s="3227">
        <v>11010</v>
      </c>
      <c r="E166" s="3227">
        <v>13920</v>
      </c>
      <c r="F166" s="3227">
        <v>2140</v>
      </c>
      <c r="G166" s="3227">
        <v>7080</v>
      </c>
    </row>
    <row r="167" spans="1:7" s="3216" customFormat="1" ht="14.25" customHeight="1">
      <c r="A167" s="3227" t="s">
        <v>29</v>
      </c>
      <c r="B167" s="3227" t="s">
        <v>3018</v>
      </c>
      <c r="C167" s="3227">
        <v>10930</v>
      </c>
      <c r="D167" s="3227">
        <v>10890</v>
      </c>
      <c r="E167" s="3227">
        <v>13790</v>
      </c>
      <c r="F167" s="3227">
        <v>2010</v>
      </c>
      <c r="G167" s="3227">
        <v>7000</v>
      </c>
    </row>
    <row r="168" spans="1:7" s="3216" customFormat="1" ht="14.25" customHeight="1">
      <c r="A168" s="3227" t="s">
        <v>29</v>
      </c>
      <c r="B168" s="3227" t="s">
        <v>3023</v>
      </c>
      <c r="C168" s="3227">
        <v>9420</v>
      </c>
      <c r="D168" s="3227">
        <v>9380</v>
      </c>
      <c r="E168" s="3227">
        <v>11970</v>
      </c>
      <c r="F168" s="3227"/>
      <c r="G168" s="3227">
        <v>6040</v>
      </c>
    </row>
    <row r="169" spans="1:7" s="3216" customFormat="1" ht="14.25" customHeight="1">
      <c r="A169" s="3227" t="s">
        <v>29</v>
      </c>
      <c r="B169" s="3227" t="s">
        <v>3075</v>
      </c>
      <c r="C169" s="3227"/>
      <c r="D169" s="3227"/>
      <c r="E169" s="3227"/>
      <c r="F169" s="3227">
        <v>2880</v>
      </c>
      <c r="G169" s="3227"/>
    </row>
    <row r="170" spans="1:7" s="3216" customFormat="1" ht="14.25" customHeight="1">
      <c r="A170" s="3227" t="s">
        <v>29</v>
      </c>
      <c r="B170" s="3227" t="s">
        <v>3031</v>
      </c>
      <c r="C170" s="3227"/>
      <c r="D170" s="3227"/>
      <c r="E170" s="3227"/>
      <c r="F170" s="3227">
        <v>2880</v>
      </c>
      <c r="G170" s="3227"/>
    </row>
    <row r="171" spans="1:7" s="3216" customFormat="1" ht="14.25" customHeight="1">
      <c r="A171" s="3227" t="s">
        <v>29</v>
      </c>
      <c r="B171" s="3227" t="s">
        <v>3034</v>
      </c>
      <c r="C171" s="3227"/>
      <c r="D171" s="3227"/>
      <c r="E171" s="3227"/>
      <c r="F171" s="3227">
        <v>2880</v>
      </c>
      <c r="G171" s="3227"/>
    </row>
    <row r="172" spans="1:7" s="3216" customFormat="1" ht="14.25" customHeight="1">
      <c r="A172" s="3227" t="s">
        <v>29</v>
      </c>
      <c r="B172" s="3227" t="s">
        <v>3036</v>
      </c>
      <c r="C172" s="3227"/>
      <c r="D172" s="3227"/>
      <c r="E172" s="3227"/>
      <c r="F172" s="3227">
        <v>2880</v>
      </c>
      <c r="G172" s="3227"/>
    </row>
    <row r="173" spans="1:7" s="3216" customFormat="1" ht="14.25" customHeight="1">
      <c r="A173" s="3227" t="s">
        <v>29</v>
      </c>
      <c r="B173" s="3227" t="s">
        <v>3038</v>
      </c>
      <c r="C173" s="3227"/>
      <c r="D173" s="3227"/>
      <c r="E173" s="3227"/>
      <c r="F173" s="3227">
        <v>2150</v>
      </c>
      <c r="G173" s="3227"/>
    </row>
    <row r="174" spans="1:7" s="3216" customFormat="1" ht="14.25" customHeight="1">
      <c r="A174" s="3227" t="s">
        <v>29</v>
      </c>
      <c r="B174" s="3227" t="s">
        <v>3040</v>
      </c>
      <c r="C174" s="3227"/>
      <c r="D174" s="3227"/>
      <c r="E174" s="3227"/>
      <c r="F174" s="3227">
        <v>2030</v>
      </c>
      <c r="G174" s="3227"/>
    </row>
    <row r="175" spans="1:7" s="3216" customFormat="1" ht="14.25" customHeight="1">
      <c r="A175" s="3227" t="s">
        <v>29</v>
      </c>
      <c r="B175" s="3227" t="s">
        <v>3042</v>
      </c>
      <c r="C175" s="3227"/>
      <c r="D175" s="3227"/>
      <c r="E175" s="3227"/>
      <c r="F175" s="3227">
        <v>2780</v>
      </c>
      <c r="G175" s="3227"/>
    </row>
    <row r="176" spans="1:7" s="3216" customFormat="1" ht="14.25" customHeight="1">
      <c r="A176" s="3227" t="s">
        <v>29</v>
      </c>
      <c r="B176" s="3227" t="s">
        <v>3044</v>
      </c>
      <c r="C176" s="3227"/>
      <c r="D176" s="3227"/>
      <c r="E176" s="3227"/>
      <c r="F176" s="3227">
        <v>2780</v>
      </c>
      <c r="G176" s="3227"/>
    </row>
    <row r="177" spans="1:7" s="3216" customFormat="1" ht="14.25" customHeight="1">
      <c r="A177" s="3227" t="s">
        <v>29</v>
      </c>
      <c r="B177" s="3227" t="s">
        <v>3076</v>
      </c>
      <c r="C177" s="3227"/>
      <c r="D177" s="3227"/>
      <c r="E177" s="3227"/>
      <c r="F177" s="3227">
        <v>2780</v>
      </c>
      <c r="G177" s="3227"/>
    </row>
    <row r="178" spans="1:7" s="3216" customFormat="1" ht="14.25" customHeight="1">
      <c r="A178" s="3227" t="s">
        <v>29</v>
      </c>
      <c r="B178" s="3227" t="s">
        <v>3077</v>
      </c>
      <c r="C178" s="3227"/>
      <c r="D178" s="3227"/>
      <c r="E178" s="3227"/>
      <c r="F178" s="3227">
        <v>2060</v>
      </c>
      <c r="G178" s="3227"/>
    </row>
    <row r="179" spans="1:7" s="3216" customFormat="1" ht="14.25" customHeight="1">
      <c r="A179" s="3227" t="s">
        <v>29</v>
      </c>
      <c r="B179" s="3227" t="s">
        <v>3078</v>
      </c>
      <c r="C179" s="3227"/>
      <c r="D179" s="3227"/>
      <c r="E179" s="3227"/>
      <c r="F179" s="3227">
        <v>2120</v>
      </c>
      <c r="G179" s="3227"/>
    </row>
    <row r="180" spans="1:7" s="3216" customFormat="1" ht="14.25" customHeight="1">
      <c r="A180" s="3227" t="s">
        <v>29</v>
      </c>
      <c r="B180" s="3227" t="s">
        <v>3050</v>
      </c>
      <c r="C180" s="3227"/>
      <c r="D180" s="3227"/>
      <c r="E180" s="3227"/>
      <c r="F180" s="3227">
        <v>2340</v>
      </c>
      <c r="G180" s="3227"/>
    </row>
    <row r="181" spans="1:7" s="3216" customFormat="1" ht="14.25" customHeight="1">
      <c r="A181" s="3227" t="s">
        <v>29</v>
      </c>
      <c r="B181" s="3227" t="s">
        <v>3051</v>
      </c>
      <c r="C181" s="3227"/>
      <c r="D181" s="3227"/>
      <c r="E181" s="3227"/>
      <c r="F181" s="3227">
        <v>2340</v>
      </c>
      <c r="G181" s="3227"/>
    </row>
    <row r="182" spans="1:7" s="3216" customFormat="1" ht="14.25" customHeight="1">
      <c r="A182" s="3227" t="s">
        <v>29</v>
      </c>
      <c r="B182" s="3227" t="s">
        <v>3052</v>
      </c>
      <c r="C182" s="3227"/>
      <c r="D182" s="3227"/>
      <c r="E182" s="3227"/>
      <c r="F182" s="3227">
        <v>2340</v>
      </c>
      <c r="G182" s="3227"/>
    </row>
    <row r="183" spans="1:7" s="3216" customFormat="1" ht="14.25" customHeight="1">
      <c r="A183" s="3227" t="s">
        <v>29</v>
      </c>
      <c r="B183" s="3227" t="s">
        <v>3053</v>
      </c>
      <c r="C183" s="3227"/>
      <c r="D183" s="3227"/>
      <c r="E183" s="3227"/>
      <c r="F183" s="3227">
        <v>2340</v>
      </c>
      <c r="G183" s="3227"/>
    </row>
    <row r="184" spans="1:7" s="3216" customFormat="1" ht="14.25" customHeight="1">
      <c r="A184" s="3227" t="s">
        <v>29</v>
      </c>
      <c r="B184" s="3227" t="s">
        <v>3054</v>
      </c>
      <c r="C184" s="3227"/>
      <c r="D184" s="3227"/>
      <c r="E184" s="3227"/>
      <c r="F184" s="3227">
        <v>2340</v>
      </c>
      <c r="G184" s="3227"/>
    </row>
    <row r="185" spans="1:7" s="3216" customFormat="1" ht="14.25" customHeight="1">
      <c r="A185" s="3227" t="s">
        <v>29</v>
      </c>
      <c r="B185" s="3227" t="s">
        <v>3055</v>
      </c>
      <c r="C185" s="3227"/>
      <c r="D185" s="3227"/>
      <c r="E185" s="3227"/>
      <c r="F185" s="3227">
        <v>2530</v>
      </c>
      <c r="G185" s="3227"/>
    </row>
    <row r="186" spans="1:7" s="3216" customFormat="1" ht="14.25" customHeight="1">
      <c r="A186" s="3227" t="s">
        <v>29</v>
      </c>
      <c r="B186" s="3227" t="s">
        <v>3056</v>
      </c>
      <c r="C186" s="3227"/>
      <c r="D186" s="3227"/>
      <c r="E186" s="3227"/>
      <c r="F186" s="3227">
        <v>2550</v>
      </c>
      <c r="G186" s="3227"/>
    </row>
    <row r="187" spans="1:7" s="3216" customFormat="1" ht="14.25" customHeight="1">
      <c r="A187" s="3227" t="s">
        <v>29</v>
      </c>
      <c r="B187" s="3227" t="s">
        <v>3057</v>
      </c>
      <c r="C187" s="3227"/>
      <c r="D187" s="3227"/>
      <c r="E187" s="3227"/>
      <c r="F187" s="3227">
        <v>2070</v>
      </c>
      <c r="G187" s="3227"/>
    </row>
    <row r="188" spans="1:7" s="3216" customFormat="1" ht="14.25" customHeight="1">
      <c r="A188" s="3227" t="s">
        <v>29</v>
      </c>
      <c r="B188" s="3227" t="s">
        <v>3058</v>
      </c>
      <c r="C188" s="3227"/>
      <c r="D188" s="3227"/>
      <c r="E188" s="3227"/>
      <c r="F188" s="3227">
        <v>2340</v>
      </c>
      <c r="G188" s="3227"/>
    </row>
    <row r="189" spans="1:7" s="3216" customFormat="1" ht="14.25" customHeight="1" thickBot="1">
      <c r="A189" s="3235" t="s">
        <v>29</v>
      </c>
      <c r="B189" s="3238" t="s">
        <v>3059</v>
      </c>
      <c r="C189" s="3238"/>
      <c r="D189" s="3238"/>
      <c r="E189" s="3238"/>
      <c r="F189" s="3238">
        <v>2050</v>
      </c>
      <c r="G189" s="3238"/>
    </row>
    <row r="190" spans="1:7" s="3216" customFormat="1" ht="14.25" customHeight="1">
      <c r="A190" s="3232" t="s">
        <v>304</v>
      </c>
      <c r="B190" s="3223" t="s">
        <v>3079</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3080</v>
      </c>
      <c r="C199" s="3227">
        <v>8690</v>
      </c>
      <c r="D199" s="3227">
        <v>8630</v>
      </c>
      <c r="E199" s="3227">
        <v>11350</v>
      </c>
      <c r="F199" s="3227">
        <v>1600</v>
      </c>
      <c r="G199" s="3240">
        <v>5450</v>
      </c>
    </row>
    <row r="200" spans="1:7" s="3216" customFormat="1" ht="14.25" customHeight="1">
      <c r="A200" s="3227" t="s">
        <v>304</v>
      </c>
      <c r="B200" s="3227" t="s">
        <v>2891</v>
      </c>
      <c r="C200" s="3227"/>
      <c r="D200" s="3227"/>
      <c r="E200" s="3227"/>
      <c r="F200" s="3227">
        <v>1510</v>
      </c>
      <c r="G200" s="3240"/>
    </row>
    <row r="201" spans="1:7" s="3216" customFormat="1" ht="14.25" customHeight="1">
      <c r="A201" s="3227" t="s">
        <v>304</v>
      </c>
      <c r="B201" s="3227" t="s">
        <v>3081</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3082</v>
      </c>
      <c r="C203" s="3227">
        <v>8130</v>
      </c>
      <c r="D203" s="3227">
        <v>8070</v>
      </c>
      <c r="E203" s="3227">
        <v>10820</v>
      </c>
      <c r="F203" s="3227">
        <v>1690</v>
      </c>
      <c r="G203" s="3240">
        <v>5100</v>
      </c>
    </row>
    <row r="204" spans="1:7" s="3216" customFormat="1" ht="14.25" customHeight="1">
      <c r="A204" s="3227" t="s">
        <v>304</v>
      </c>
      <c r="B204" s="3227" t="s">
        <v>2902</v>
      </c>
      <c r="C204" s="3227">
        <v>8350</v>
      </c>
      <c r="D204" s="3227">
        <v>8290</v>
      </c>
      <c r="E204" s="3227">
        <v>11080</v>
      </c>
      <c r="F204" s="3227">
        <v>1450</v>
      </c>
      <c r="G204" s="3240">
        <v>5240</v>
      </c>
    </row>
    <row r="205" spans="1:7" s="3216" customFormat="1" ht="14.25" customHeight="1">
      <c r="A205" s="3227" t="s">
        <v>304</v>
      </c>
      <c r="B205" s="3227" t="s">
        <v>2904</v>
      </c>
      <c r="C205" s="3227">
        <v>7190</v>
      </c>
      <c r="D205" s="3227">
        <v>7130</v>
      </c>
      <c r="E205" s="3227">
        <v>9490</v>
      </c>
      <c r="F205" s="3227">
        <v>1470</v>
      </c>
      <c r="G205" s="3240">
        <v>4510</v>
      </c>
    </row>
    <row r="206" spans="1:7" s="3216" customFormat="1" ht="14.25" customHeight="1">
      <c r="A206" s="3227" t="s">
        <v>304</v>
      </c>
      <c r="B206" s="3227" t="s">
        <v>2907</v>
      </c>
      <c r="C206" s="3227">
        <v>7000</v>
      </c>
      <c r="D206" s="3227">
        <v>6950</v>
      </c>
      <c r="E206" s="3227">
        <v>9170</v>
      </c>
      <c r="F206" s="3227">
        <v>1400</v>
      </c>
      <c r="G206" s="3240">
        <v>4380</v>
      </c>
    </row>
    <row r="207" spans="1:7" s="3216" customFormat="1" ht="14.25" customHeight="1">
      <c r="A207" s="3227" t="s">
        <v>304</v>
      </c>
      <c r="B207" s="3227" t="s">
        <v>2909</v>
      </c>
      <c r="C207" s="3227">
        <v>6950</v>
      </c>
      <c r="D207" s="3227">
        <v>6900</v>
      </c>
      <c r="E207" s="3227">
        <v>9110</v>
      </c>
      <c r="F207" s="3227">
        <v>1790</v>
      </c>
      <c r="G207" s="3240">
        <v>4360</v>
      </c>
    </row>
    <row r="208" spans="1:7" s="3216" customFormat="1" ht="14.25" customHeight="1">
      <c r="A208" s="3227" t="s">
        <v>304</v>
      </c>
      <c r="B208" s="3227" t="s">
        <v>3083</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2919</v>
      </c>
      <c r="C210" s="3227">
        <v>8710</v>
      </c>
      <c r="D210" s="3227">
        <v>8660</v>
      </c>
      <c r="E210" s="3227">
        <v>11440</v>
      </c>
      <c r="F210" s="3227">
        <v>1740</v>
      </c>
      <c r="G210" s="3240">
        <v>5470</v>
      </c>
    </row>
    <row r="211" spans="1:7" s="3216" customFormat="1" ht="14.25" customHeight="1">
      <c r="A211" s="3227" t="s">
        <v>304</v>
      </c>
      <c r="B211" s="3227" t="s">
        <v>3084</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3085</v>
      </c>
      <c r="C214" s="3227">
        <v>8090</v>
      </c>
      <c r="D214" s="3227">
        <v>8030</v>
      </c>
      <c r="E214" s="3227">
        <v>10780</v>
      </c>
      <c r="F214" s="3227">
        <v>1570</v>
      </c>
      <c r="G214" s="3240">
        <v>5070</v>
      </c>
    </row>
    <row r="215" spans="1:7" s="3216" customFormat="1" ht="14.25" customHeight="1">
      <c r="A215" s="3227" t="s">
        <v>304</v>
      </c>
      <c r="B215" s="3227" t="s">
        <v>3086</v>
      </c>
      <c r="C215" s="3227">
        <v>7950</v>
      </c>
      <c r="D215" s="3227">
        <v>7900</v>
      </c>
      <c r="E215" s="3227">
        <v>10560</v>
      </c>
      <c r="F215" s="3227">
        <v>1630</v>
      </c>
      <c r="G215" s="3240">
        <v>4990</v>
      </c>
    </row>
    <row r="216" spans="1:7" s="3216" customFormat="1" ht="14.25" customHeight="1">
      <c r="A216" s="3227" t="s">
        <v>304</v>
      </c>
      <c r="B216" s="3227" t="s">
        <v>3087</v>
      </c>
      <c r="C216" s="3227">
        <v>8490</v>
      </c>
      <c r="D216" s="3227">
        <v>8440</v>
      </c>
      <c r="E216" s="3227">
        <v>11260</v>
      </c>
      <c r="F216" s="3227">
        <v>1690</v>
      </c>
      <c r="G216" s="3240">
        <v>5330</v>
      </c>
    </row>
    <row r="217" spans="1:7" s="3216" customFormat="1" ht="14.25" customHeight="1">
      <c r="A217" s="3227" t="s">
        <v>304</v>
      </c>
      <c r="B217" s="3227" t="s">
        <v>2952</v>
      </c>
      <c r="C217" s="3227">
        <v>8200</v>
      </c>
      <c r="D217" s="3227">
        <v>8150</v>
      </c>
      <c r="E217" s="3227">
        <v>10910</v>
      </c>
      <c r="F217" s="3227">
        <v>1670</v>
      </c>
      <c r="G217" s="3240">
        <v>5150</v>
      </c>
    </row>
    <row r="218" spans="1:7" s="3216" customFormat="1" ht="14.25" customHeight="1">
      <c r="A218" s="3227" t="s">
        <v>304</v>
      </c>
      <c r="B218" s="3227" t="s">
        <v>3088</v>
      </c>
      <c r="C218" s="3227"/>
      <c r="D218" s="3227"/>
      <c r="E218" s="3227"/>
      <c r="F218" s="3227">
        <v>2040</v>
      </c>
      <c r="G218" s="3240"/>
    </row>
    <row r="219" spans="1:7" s="3216" customFormat="1" ht="14.25" customHeight="1">
      <c r="A219" s="3227" t="s">
        <v>304</v>
      </c>
      <c r="B219" s="3227" t="s">
        <v>3089</v>
      </c>
      <c r="C219" s="3227"/>
      <c r="D219" s="3227"/>
      <c r="E219" s="3227"/>
      <c r="F219" s="3227">
        <v>2040</v>
      </c>
      <c r="G219" s="3240"/>
    </row>
    <row r="220" spans="1:7" s="3216" customFormat="1" ht="14.25" customHeight="1">
      <c r="A220" s="3227" t="s">
        <v>304</v>
      </c>
      <c r="B220" s="3227" t="s">
        <v>3090</v>
      </c>
      <c r="C220" s="3227"/>
      <c r="D220" s="3227"/>
      <c r="E220" s="3227"/>
      <c r="F220" s="3227">
        <v>2040</v>
      </c>
      <c r="G220" s="3240"/>
    </row>
    <row r="221" spans="1:7" s="3216" customFormat="1" ht="14.25" customHeight="1">
      <c r="A221" s="3227" t="s">
        <v>304</v>
      </c>
      <c r="B221" s="3227" t="s">
        <v>3091</v>
      </c>
      <c r="C221" s="3227"/>
      <c r="D221" s="3227"/>
      <c r="E221" s="3227"/>
      <c r="F221" s="3227">
        <v>2040</v>
      </c>
      <c r="G221" s="3240"/>
    </row>
    <row r="222" spans="1:7" s="3216" customFormat="1" ht="14.25" customHeight="1">
      <c r="A222" s="3227" t="s">
        <v>304</v>
      </c>
      <c r="B222" s="3227" t="s">
        <v>3092</v>
      </c>
      <c r="C222" s="3227"/>
      <c r="D222" s="3227"/>
      <c r="E222" s="3227"/>
      <c r="F222" s="3227">
        <v>2040</v>
      </c>
      <c r="G222" s="3240"/>
    </row>
    <row r="223" spans="1:7" s="3216" customFormat="1" ht="14.25" customHeight="1">
      <c r="A223" s="3227" t="s">
        <v>304</v>
      </c>
      <c r="B223" s="3227" t="s">
        <v>3093</v>
      </c>
      <c r="C223" s="3227"/>
      <c r="D223" s="3227"/>
      <c r="E223" s="3227"/>
      <c r="F223" s="3227">
        <v>1930</v>
      </c>
      <c r="G223" s="3240"/>
    </row>
    <row r="224" spans="1:7" s="3216" customFormat="1" ht="14.25" customHeight="1">
      <c r="A224" s="3227" t="s">
        <v>304</v>
      </c>
      <c r="B224" s="3227" t="s">
        <v>3094</v>
      </c>
      <c r="C224" s="3227"/>
      <c r="D224" s="3227"/>
      <c r="E224" s="3227"/>
      <c r="F224" s="3227">
        <v>1930</v>
      </c>
      <c r="G224" s="3240"/>
    </row>
    <row r="225" spans="1:7" s="3216" customFormat="1" ht="14.25" customHeight="1">
      <c r="A225" s="3227" t="s">
        <v>304</v>
      </c>
      <c r="B225" s="3227" t="s">
        <v>3095</v>
      </c>
      <c r="C225" s="3227"/>
      <c r="D225" s="3227"/>
      <c r="E225" s="3227"/>
      <c r="F225" s="3227">
        <v>1930</v>
      </c>
      <c r="G225" s="3240"/>
    </row>
    <row r="226" spans="1:7" s="3216" customFormat="1" ht="14.25" customHeight="1">
      <c r="A226" s="3227" t="s">
        <v>304</v>
      </c>
      <c r="B226" s="3227" t="s">
        <v>3096</v>
      </c>
      <c r="C226" s="3227"/>
      <c r="D226" s="3227"/>
      <c r="E226" s="3227"/>
      <c r="F226" s="3227">
        <v>1700</v>
      </c>
      <c r="G226" s="3240"/>
    </row>
    <row r="227" spans="1:7" s="3216" customFormat="1" ht="14.25" customHeight="1">
      <c r="A227" s="3227" t="s">
        <v>304</v>
      </c>
      <c r="B227" s="3227" t="s">
        <v>3097</v>
      </c>
      <c r="C227" s="3227"/>
      <c r="D227" s="3227"/>
      <c r="E227" s="3227"/>
      <c r="F227" s="3227">
        <v>1520</v>
      </c>
      <c r="G227" s="3240"/>
    </row>
    <row r="228" spans="1:7" s="3216" customFormat="1" ht="14.25" customHeight="1">
      <c r="A228" s="3227" t="s">
        <v>304</v>
      </c>
      <c r="B228" s="3227" t="s">
        <v>3098</v>
      </c>
      <c r="C228" s="3227"/>
      <c r="D228" s="3227"/>
      <c r="E228" s="3227"/>
      <c r="F228" s="3227">
        <v>1520</v>
      </c>
      <c r="G228" s="3240"/>
    </row>
    <row r="229" spans="1:7" s="3216" customFormat="1" ht="14.25" customHeight="1">
      <c r="A229" s="3227" t="s">
        <v>304</v>
      </c>
      <c r="B229" s="3227" t="s">
        <v>3015</v>
      </c>
      <c r="C229" s="3227"/>
      <c r="D229" s="3227"/>
      <c r="E229" s="3227"/>
      <c r="F229" s="3227">
        <v>1520</v>
      </c>
      <c r="G229" s="3240"/>
    </row>
    <row r="230" spans="1:7" s="3216" customFormat="1" ht="14.25" customHeight="1">
      <c r="A230" s="3227" t="s">
        <v>304</v>
      </c>
      <c r="B230" s="3227" t="s">
        <v>3099</v>
      </c>
      <c r="C230" s="3227"/>
      <c r="D230" s="3227"/>
      <c r="E230" s="3227"/>
      <c r="F230" s="3227">
        <v>1820</v>
      </c>
      <c r="G230" s="3240"/>
    </row>
    <row r="231" spans="1:7" s="3216" customFormat="1" ht="14.25" customHeight="1">
      <c r="A231" s="3227" t="s">
        <v>304</v>
      </c>
      <c r="B231" s="3227" t="s">
        <v>3100</v>
      </c>
      <c r="C231" s="3227"/>
      <c r="D231" s="3227"/>
      <c r="E231" s="3227"/>
      <c r="F231" s="3227">
        <v>1760</v>
      </c>
      <c r="G231" s="3240"/>
    </row>
    <row r="232" spans="1:7" s="3216" customFormat="1" ht="14.25" customHeight="1">
      <c r="A232" s="3227" t="s">
        <v>304</v>
      </c>
      <c r="B232" s="3227" t="s">
        <v>3101</v>
      </c>
      <c r="C232" s="3227"/>
      <c r="D232" s="3227"/>
      <c r="E232" s="3227"/>
      <c r="F232" s="3227">
        <v>1840</v>
      </c>
      <c r="G232" s="3240"/>
    </row>
    <row r="233" spans="1:7" s="3216" customFormat="1" ht="14.25" customHeight="1" thickBot="1">
      <c r="A233" s="3241" t="s">
        <v>304</v>
      </c>
      <c r="B233" s="3234" t="s">
        <v>3032</v>
      </c>
      <c r="C233" s="3234"/>
      <c r="D233" s="3234"/>
      <c r="E233" s="3234"/>
      <c r="F233" s="3234">
        <v>1770</v>
      </c>
      <c r="G233" s="3242"/>
    </row>
    <row r="234" spans="1:7" s="3216" customFormat="1" ht="14.25" customHeight="1">
      <c r="A234" s="3232" t="s">
        <v>305</v>
      </c>
      <c r="B234" s="3223" t="s">
        <v>3102</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2873</v>
      </c>
      <c r="C238" s="3227">
        <v>6920</v>
      </c>
      <c r="D238" s="3227">
        <v>6890</v>
      </c>
      <c r="E238" s="3227">
        <v>8640</v>
      </c>
      <c r="F238" s="3227">
        <v>1310</v>
      </c>
      <c r="G238" s="3227">
        <v>4230</v>
      </c>
    </row>
    <row r="239" spans="1:7" s="3216" customFormat="1" ht="14.25" customHeight="1">
      <c r="A239" s="3227" t="s">
        <v>305</v>
      </c>
      <c r="B239" s="3227" t="s">
        <v>3103</v>
      </c>
      <c r="C239" s="3227">
        <v>6780</v>
      </c>
      <c r="D239" s="3227">
        <v>6750</v>
      </c>
      <c r="E239" s="3227">
        <v>8440</v>
      </c>
      <c r="F239" s="3227">
        <v>1160</v>
      </c>
      <c r="G239" s="3227">
        <v>4140</v>
      </c>
    </row>
    <row r="240" spans="1:7" s="3216" customFormat="1" ht="14.25" customHeight="1">
      <c r="A240" s="3227" t="s">
        <v>305</v>
      </c>
      <c r="B240" s="3227" t="s">
        <v>3104</v>
      </c>
      <c r="C240" s="3227">
        <v>5420</v>
      </c>
      <c r="D240" s="3227">
        <v>5380</v>
      </c>
      <c r="E240" s="3227">
        <v>6640</v>
      </c>
      <c r="F240" s="3227">
        <v>1020</v>
      </c>
      <c r="G240" s="3227">
        <v>3300</v>
      </c>
    </row>
    <row r="241" spans="1:7" s="3216" customFormat="1" ht="14.25" customHeight="1">
      <c r="A241" s="3227" t="s">
        <v>305</v>
      </c>
      <c r="B241" s="3227" t="s">
        <v>3105</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3106</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3107</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3108</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3109</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3110</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2935</v>
      </c>
      <c r="C258" s="3227">
        <v>6190</v>
      </c>
      <c r="D258" s="3227">
        <v>6160</v>
      </c>
      <c r="E258" s="3227">
        <v>7680</v>
      </c>
      <c r="F258" s="3227">
        <v>1170</v>
      </c>
      <c r="G258" s="3227">
        <v>3780</v>
      </c>
    </row>
    <row r="259" spans="1:7" s="3216" customFormat="1" ht="14.25" customHeight="1">
      <c r="A259" s="3227" t="s">
        <v>305</v>
      </c>
      <c r="B259" s="3227" t="s">
        <v>3111</v>
      </c>
      <c r="C259" s="3227">
        <v>7610</v>
      </c>
      <c r="D259" s="3227">
        <v>7570</v>
      </c>
      <c r="E259" s="3227">
        <v>9350</v>
      </c>
      <c r="F259" s="3227">
        <v>1350</v>
      </c>
      <c r="G259" s="3227">
        <v>4650</v>
      </c>
    </row>
    <row r="260" spans="1:7" s="3216" customFormat="1" ht="14.25" customHeight="1">
      <c r="A260" s="3227" t="s">
        <v>305</v>
      </c>
      <c r="B260" s="3227" t="s">
        <v>3112</v>
      </c>
      <c r="C260" s="3227">
        <v>6920</v>
      </c>
      <c r="D260" s="3227">
        <v>6880</v>
      </c>
      <c r="E260" s="3227">
        <v>8380</v>
      </c>
      <c r="F260" s="3227">
        <v>1160</v>
      </c>
      <c r="G260" s="3227">
        <v>4220</v>
      </c>
    </row>
    <row r="261" spans="1:7" s="3216" customFormat="1" ht="14.25" customHeight="1">
      <c r="A261" s="3227" t="s">
        <v>305</v>
      </c>
      <c r="B261" s="3227" t="s">
        <v>3113</v>
      </c>
      <c r="C261" s="3227">
        <v>6850</v>
      </c>
      <c r="D261" s="3227">
        <v>6810</v>
      </c>
      <c r="E261" s="3227">
        <v>8290</v>
      </c>
      <c r="F261" s="3227">
        <v>1130</v>
      </c>
      <c r="G261" s="3227">
        <v>4180</v>
      </c>
    </row>
    <row r="262" spans="1:7" s="3216" customFormat="1" ht="14.25" customHeight="1">
      <c r="A262" s="3227" t="s">
        <v>305</v>
      </c>
      <c r="B262" s="3227" t="s">
        <v>3114</v>
      </c>
      <c r="C262" s="3227">
        <v>5860</v>
      </c>
      <c r="D262" s="3227">
        <v>5820</v>
      </c>
      <c r="E262" s="3227">
        <v>7640</v>
      </c>
      <c r="F262" s="3227">
        <v>1070</v>
      </c>
      <c r="G262" s="3227">
        <v>3570</v>
      </c>
    </row>
    <row r="263" spans="1:7" s="3216" customFormat="1" ht="14.25" customHeight="1">
      <c r="A263" s="3227" t="s">
        <v>305</v>
      </c>
      <c r="B263" s="3227" t="s">
        <v>3115</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3116</v>
      </c>
      <c r="C265" s="3227"/>
      <c r="D265" s="3227"/>
      <c r="E265" s="3227"/>
      <c r="F265" s="3227">
        <v>1500</v>
      </c>
      <c r="G265" s="3227"/>
    </row>
    <row r="266" spans="1:7" s="3216" customFormat="1" ht="14.25" customHeight="1">
      <c r="A266" s="3227" t="s">
        <v>305</v>
      </c>
      <c r="B266" s="3227" t="s">
        <v>3117</v>
      </c>
      <c r="C266" s="3227"/>
      <c r="D266" s="3227"/>
      <c r="E266" s="3227"/>
      <c r="F266" s="3227">
        <v>1500</v>
      </c>
      <c r="G266" s="3227"/>
    </row>
    <row r="267" spans="1:7" s="3216" customFormat="1" ht="14.25" customHeight="1">
      <c r="A267" s="3227" t="s">
        <v>305</v>
      </c>
      <c r="B267" s="3227" t="s">
        <v>3118</v>
      </c>
      <c r="C267" s="3227"/>
      <c r="D267" s="3227"/>
      <c r="E267" s="3227"/>
      <c r="F267" s="3227">
        <v>1500</v>
      </c>
      <c r="G267" s="3227"/>
    </row>
    <row r="268" spans="1:7" s="3216" customFormat="1" ht="14.25" customHeight="1">
      <c r="A268" s="3227" t="s">
        <v>305</v>
      </c>
      <c r="B268" s="3227" t="s">
        <v>3119</v>
      </c>
      <c r="C268" s="3227"/>
      <c r="D268" s="3227"/>
      <c r="E268" s="3227"/>
      <c r="F268" s="3227">
        <v>1290</v>
      </c>
      <c r="G268" s="3227"/>
    </row>
    <row r="269" spans="1:7" s="3216" customFormat="1" ht="14.25" customHeight="1">
      <c r="A269" s="3227" t="s">
        <v>305</v>
      </c>
      <c r="B269" s="3227" t="s">
        <v>3120</v>
      </c>
      <c r="C269" s="3227"/>
      <c r="D269" s="3227"/>
      <c r="E269" s="3227"/>
      <c r="F269" s="3227">
        <v>1150</v>
      </c>
      <c r="G269" s="3227"/>
    </row>
    <row r="270" spans="1:7" s="3216" customFormat="1" ht="14.25" customHeight="1">
      <c r="A270" s="3227" t="s">
        <v>305</v>
      </c>
      <c r="B270" s="3227" t="s">
        <v>3121</v>
      </c>
      <c r="C270" s="3227"/>
      <c r="D270" s="3227"/>
      <c r="E270" s="3227"/>
      <c r="F270" s="3227">
        <v>1380</v>
      </c>
      <c r="G270" s="3227"/>
    </row>
    <row r="271" spans="1:7" s="3216" customFormat="1" ht="14.25" customHeight="1">
      <c r="A271" s="3227" t="s">
        <v>305</v>
      </c>
      <c r="B271" s="3227" t="s">
        <v>3122</v>
      </c>
      <c r="C271" s="3227"/>
      <c r="D271" s="3227"/>
      <c r="E271" s="3227"/>
      <c r="F271" s="3227">
        <v>1460</v>
      </c>
      <c r="G271" s="3227"/>
    </row>
    <row r="272" spans="1:7" s="3216" customFormat="1" ht="14.25" customHeight="1">
      <c r="A272" s="3227" t="s">
        <v>305</v>
      </c>
      <c r="B272" s="3227" t="s">
        <v>3123</v>
      </c>
      <c r="C272" s="3227"/>
      <c r="D272" s="3227"/>
      <c r="E272" s="3227"/>
      <c r="F272" s="3227">
        <v>1460</v>
      </c>
      <c r="G272" s="3227"/>
    </row>
    <row r="273" spans="1:7" s="3216" customFormat="1" ht="14.25" customHeight="1">
      <c r="A273" s="3227" t="s">
        <v>305</v>
      </c>
      <c r="B273" s="3227" t="s">
        <v>3016</v>
      </c>
      <c r="C273" s="3227"/>
      <c r="D273" s="3227"/>
      <c r="E273" s="3227"/>
      <c r="F273" s="3227">
        <v>1490</v>
      </c>
      <c r="G273" s="3227"/>
    </row>
    <row r="274" spans="1:7" s="3216" customFormat="1" ht="14.25" customHeight="1">
      <c r="A274" s="3227" t="s">
        <v>305</v>
      </c>
      <c r="B274" s="3227" t="s">
        <v>3124</v>
      </c>
      <c r="C274" s="3227"/>
      <c r="D274" s="3227"/>
      <c r="E274" s="3227"/>
      <c r="F274" s="3227">
        <v>1490</v>
      </c>
      <c r="G274" s="3227"/>
    </row>
    <row r="275" spans="1:7" s="3216" customFormat="1" ht="14.25" customHeight="1">
      <c r="A275" s="3227" t="s">
        <v>305</v>
      </c>
      <c r="B275" s="3227" t="s">
        <v>3125</v>
      </c>
      <c r="C275" s="3227"/>
      <c r="D275" s="3227"/>
      <c r="E275" s="3227"/>
      <c r="F275" s="3227">
        <v>1220</v>
      </c>
      <c r="G275" s="3227"/>
    </row>
    <row r="276" spans="1:7" s="3216" customFormat="1" ht="14.25" customHeight="1" thickBot="1">
      <c r="A276" s="3235" t="s">
        <v>305</v>
      </c>
      <c r="B276" s="3237" t="s">
        <v>3126</v>
      </c>
      <c r="C276" s="3238"/>
      <c r="D276" s="3238"/>
      <c r="E276" s="3238"/>
      <c r="F276" s="3238">
        <v>1380</v>
      </c>
      <c r="G276" s="3238"/>
    </row>
    <row r="277" spans="1:7" s="3216" customFormat="1" ht="14.25" customHeight="1">
      <c r="A277" s="3232" t="s">
        <v>306</v>
      </c>
      <c r="B277" s="3223" t="s">
        <v>3127</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3128</v>
      </c>
      <c r="C279" s="3227">
        <v>4760</v>
      </c>
      <c r="D279" s="3227">
        <v>4720</v>
      </c>
      <c r="E279" s="3227">
        <v>5540</v>
      </c>
      <c r="F279" s="3227">
        <v>810</v>
      </c>
      <c r="G279" s="3240">
        <v>2850</v>
      </c>
    </row>
    <row r="280" spans="1:7" s="3216" customFormat="1" ht="14.25" customHeight="1">
      <c r="A280" s="3227" t="s">
        <v>306</v>
      </c>
      <c r="B280" s="3227" t="s">
        <v>3129</v>
      </c>
      <c r="C280" s="3227">
        <v>4010</v>
      </c>
      <c r="D280" s="3227">
        <v>3950</v>
      </c>
      <c r="E280" s="3227">
        <v>4710</v>
      </c>
      <c r="F280" s="3227">
        <v>800</v>
      </c>
      <c r="G280" s="3240">
        <v>2390</v>
      </c>
    </row>
    <row r="281" spans="1:7" s="3216" customFormat="1" ht="14.25" customHeight="1">
      <c r="A281" s="3227" t="s">
        <v>306</v>
      </c>
      <c r="B281" s="3227" t="s">
        <v>3130</v>
      </c>
      <c r="C281" s="3227">
        <v>4480</v>
      </c>
      <c r="D281" s="3227">
        <v>4420</v>
      </c>
      <c r="E281" s="3227">
        <v>5230</v>
      </c>
      <c r="F281" s="3227">
        <v>870</v>
      </c>
      <c r="G281" s="3240">
        <v>2660</v>
      </c>
    </row>
    <row r="282" spans="1:7" s="3216" customFormat="1" ht="14.25" customHeight="1">
      <c r="A282" s="3227" t="s">
        <v>306</v>
      </c>
      <c r="B282" s="3227" t="s">
        <v>3131</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3132</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3133</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2908</v>
      </c>
      <c r="C293" s="3227">
        <v>5320</v>
      </c>
      <c r="D293" s="3227">
        <v>5270</v>
      </c>
      <c r="E293" s="3227">
        <v>6160</v>
      </c>
      <c r="F293" s="3227">
        <v>990</v>
      </c>
      <c r="G293" s="3240">
        <v>3170</v>
      </c>
    </row>
    <row r="294" spans="1:7" s="3216" customFormat="1" ht="14.25" customHeight="1">
      <c r="A294" s="3227" t="s">
        <v>306</v>
      </c>
      <c r="B294" s="3227" t="s">
        <v>3134</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2927</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3135</v>
      </c>
      <c r="C302" s="3227">
        <v>5520</v>
      </c>
      <c r="D302" s="3227">
        <v>5470</v>
      </c>
      <c r="E302" s="3227">
        <v>6410</v>
      </c>
      <c r="F302" s="3227">
        <v>950</v>
      </c>
      <c r="G302" s="3240">
        <v>3300</v>
      </c>
    </row>
    <row r="303" spans="1:7" s="3216" customFormat="1" ht="14.25" customHeight="1">
      <c r="A303" s="3227" t="s">
        <v>306</v>
      </c>
      <c r="B303" s="3227" t="s">
        <v>2947</v>
      </c>
      <c r="C303" s="3227">
        <v>5630</v>
      </c>
      <c r="D303" s="3227">
        <v>5590</v>
      </c>
      <c r="E303" s="3227">
        <v>6550</v>
      </c>
      <c r="F303" s="3227">
        <v>1010</v>
      </c>
      <c r="G303" s="3240">
        <v>3370</v>
      </c>
    </row>
    <row r="304" spans="1:7" s="3216" customFormat="1" ht="14.25" customHeight="1">
      <c r="A304" s="3227" t="s">
        <v>306</v>
      </c>
      <c r="B304" s="3227" t="s">
        <v>2954</v>
      </c>
      <c r="C304" s="3227">
        <v>5680</v>
      </c>
      <c r="D304" s="3227">
        <v>5620</v>
      </c>
      <c r="E304" s="3227">
        <v>6620</v>
      </c>
      <c r="F304" s="3227">
        <v>1050</v>
      </c>
      <c r="G304" s="3240">
        <v>3390</v>
      </c>
    </row>
    <row r="305" spans="1:7" s="3216" customFormat="1" ht="14.25" customHeight="1">
      <c r="A305" s="3227" t="s">
        <v>306</v>
      </c>
      <c r="B305" s="3227" t="s">
        <v>2960</v>
      </c>
      <c r="C305" s="3227">
        <v>5590</v>
      </c>
      <c r="D305" s="3227">
        <v>5530</v>
      </c>
      <c r="E305" s="3227">
        <v>6460</v>
      </c>
      <c r="F305" s="3227">
        <v>900</v>
      </c>
      <c r="G305" s="3240">
        <v>3340</v>
      </c>
    </row>
    <row r="306" spans="1:7" s="3216" customFormat="1" ht="14.25" customHeight="1">
      <c r="A306" s="3227" t="s">
        <v>306</v>
      </c>
      <c r="B306" s="3227" t="s">
        <v>3136</v>
      </c>
      <c r="C306" s="3227">
        <v>5560</v>
      </c>
      <c r="D306" s="3227">
        <v>5510</v>
      </c>
      <c r="E306" s="3227">
        <v>6440</v>
      </c>
      <c r="F306" s="3227">
        <v>900</v>
      </c>
      <c r="G306" s="3240">
        <v>3320</v>
      </c>
    </row>
    <row r="307" spans="1:7" s="3216" customFormat="1" ht="14.25" customHeight="1">
      <c r="A307" s="3227" t="s">
        <v>306</v>
      </c>
      <c r="B307" s="3227" t="s">
        <v>2972</v>
      </c>
      <c r="C307" s="3227">
        <v>5650</v>
      </c>
      <c r="D307" s="3227">
        <v>5600</v>
      </c>
      <c r="E307" s="3227">
        <v>6590</v>
      </c>
      <c r="F307" s="3227">
        <v>930</v>
      </c>
      <c r="G307" s="3240">
        <v>3380</v>
      </c>
    </row>
    <row r="308" spans="1:7" s="3216" customFormat="1" ht="14.25" customHeight="1">
      <c r="A308" s="3227" t="s">
        <v>306</v>
      </c>
      <c r="B308" s="3227" t="s">
        <v>3137</v>
      </c>
      <c r="C308" s="3227">
        <v>5620</v>
      </c>
      <c r="D308" s="3227">
        <v>5580</v>
      </c>
      <c r="E308" s="3227">
        <v>6540</v>
      </c>
      <c r="F308" s="3227">
        <v>910</v>
      </c>
      <c r="G308" s="3240">
        <v>3370</v>
      </c>
    </row>
    <row r="309" spans="1:7" s="3216" customFormat="1" ht="14.25" customHeight="1">
      <c r="A309" s="3227" t="s">
        <v>306</v>
      </c>
      <c r="B309" s="3227" t="s">
        <v>3138</v>
      </c>
      <c r="C309" s="3227">
        <v>5060</v>
      </c>
      <c r="D309" s="3227">
        <v>5020</v>
      </c>
      <c r="E309" s="3227">
        <v>6370</v>
      </c>
      <c r="F309" s="3227">
        <v>800</v>
      </c>
      <c r="G309" s="3240">
        <v>3020</v>
      </c>
    </row>
    <row r="310" spans="1:7" s="3216" customFormat="1" ht="14.25" customHeight="1">
      <c r="A310" s="3227" t="s">
        <v>306</v>
      </c>
      <c r="B310" s="3227" t="s">
        <v>2987</v>
      </c>
      <c r="C310" s="3227">
        <v>5150</v>
      </c>
      <c r="D310" s="3227">
        <v>5110</v>
      </c>
      <c r="E310" s="3227">
        <v>6500</v>
      </c>
      <c r="F310" s="3227">
        <v>880</v>
      </c>
      <c r="G310" s="3240">
        <v>3080</v>
      </c>
    </row>
    <row r="311" spans="1:7" s="3216" customFormat="1" ht="14.25" customHeight="1">
      <c r="A311" s="3227" t="s">
        <v>306</v>
      </c>
      <c r="B311" s="3227" t="s">
        <v>3139</v>
      </c>
      <c r="C311" s="3227">
        <v>4750</v>
      </c>
      <c r="D311" s="3227">
        <v>4710</v>
      </c>
      <c r="E311" s="3227">
        <v>5510</v>
      </c>
      <c r="F311" s="3227">
        <v>880</v>
      </c>
      <c r="G311" s="3240">
        <v>2840</v>
      </c>
    </row>
    <row r="312" spans="1:7" s="3216" customFormat="1" ht="14.25" customHeight="1">
      <c r="A312" s="3227" t="s">
        <v>306</v>
      </c>
      <c r="B312" s="3227" t="s">
        <v>2997</v>
      </c>
      <c r="C312" s="3227">
        <v>4690</v>
      </c>
      <c r="D312" s="3227">
        <v>4640</v>
      </c>
      <c r="E312" s="3227">
        <v>5420</v>
      </c>
      <c r="F312" s="3227">
        <v>800</v>
      </c>
      <c r="G312" s="3240">
        <v>2800</v>
      </c>
    </row>
    <row r="313" spans="1:7" s="3216" customFormat="1" ht="14.25" customHeight="1">
      <c r="A313" s="3227" t="s">
        <v>306</v>
      </c>
      <c r="B313" s="3227" t="s">
        <v>3002</v>
      </c>
      <c r="C313" s="3227">
        <v>4810</v>
      </c>
      <c r="D313" s="3227">
        <v>4760</v>
      </c>
      <c r="E313" s="3227">
        <v>5550</v>
      </c>
      <c r="F313" s="3227">
        <v>920</v>
      </c>
      <c r="G313" s="3240">
        <v>2870</v>
      </c>
    </row>
    <row r="314" spans="1:7" s="3216" customFormat="1" ht="14.25" customHeight="1">
      <c r="A314" s="3227" t="s">
        <v>306</v>
      </c>
      <c r="B314" s="3227" t="s">
        <v>3140</v>
      </c>
      <c r="C314" s="3227"/>
      <c r="D314" s="3227"/>
      <c r="E314" s="3227"/>
      <c r="F314" s="3227">
        <v>1020</v>
      </c>
      <c r="G314" s="3240"/>
    </row>
    <row r="315" spans="1:7" s="3216" customFormat="1" ht="14.25" customHeight="1">
      <c r="A315" s="3227" t="s">
        <v>306</v>
      </c>
      <c r="B315" s="3227" t="s">
        <v>3141</v>
      </c>
      <c r="C315" s="3227"/>
      <c r="D315" s="3227"/>
      <c r="E315" s="3227"/>
      <c r="F315" s="3227">
        <v>1050</v>
      </c>
      <c r="G315" s="3240"/>
    </row>
    <row r="316" spans="1:7" s="3216" customFormat="1" ht="14.25" customHeight="1">
      <c r="A316" s="3227" t="s">
        <v>306</v>
      </c>
      <c r="B316" s="3227" t="s">
        <v>3017</v>
      </c>
      <c r="C316" s="3227"/>
      <c r="D316" s="3227"/>
      <c r="E316" s="3227"/>
      <c r="F316" s="3227">
        <v>900</v>
      </c>
      <c r="G316" s="3240"/>
    </row>
    <row r="317" spans="1:7" s="3216" customFormat="1" ht="14.25" customHeight="1">
      <c r="A317" s="3227" t="s">
        <v>306</v>
      </c>
      <c r="B317" s="3227" t="s">
        <v>3142</v>
      </c>
      <c r="C317" s="3227"/>
      <c r="D317" s="3227"/>
      <c r="E317" s="3227"/>
      <c r="F317" s="3227">
        <v>920</v>
      </c>
      <c r="G317" s="3240"/>
    </row>
    <row r="318" spans="1:7" s="3216" customFormat="1" ht="14.25" customHeight="1">
      <c r="A318" s="3227" t="s">
        <v>306</v>
      </c>
      <c r="B318" s="3227" t="s">
        <v>3143</v>
      </c>
      <c r="C318" s="3227"/>
      <c r="D318" s="3227"/>
      <c r="E318" s="3227"/>
      <c r="F318" s="3227">
        <v>1080</v>
      </c>
      <c r="G318" s="3240"/>
    </row>
    <row r="319" spans="1:7" s="3216" customFormat="1" ht="14.25" customHeight="1">
      <c r="A319" s="3227" t="s">
        <v>306</v>
      </c>
      <c r="B319" s="3227" t="s">
        <v>3030</v>
      </c>
      <c r="C319" s="3227"/>
      <c r="D319" s="3227"/>
      <c r="E319" s="3227"/>
      <c r="F319" s="3227">
        <v>1020</v>
      </c>
      <c r="G319" s="3240"/>
    </row>
    <row r="320" spans="1:7" s="3216" customFormat="1" ht="14.25" customHeight="1">
      <c r="A320" s="3227" t="s">
        <v>306</v>
      </c>
      <c r="B320" s="3227" t="s">
        <v>3033</v>
      </c>
      <c r="C320" s="3227"/>
      <c r="D320" s="3227"/>
      <c r="E320" s="3227"/>
      <c r="F320" s="3227">
        <v>1050</v>
      </c>
      <c r="G320" s="3240"/>
    </row>
    <row r="321" spans="1:7" s="3216" customFormat="1" ht="14.25" customHeight="1">
      <c r="A321" s="3227" t="s">
        <v>306</v>
      </c>
      <c r="B321" s="3227" t="s">
        <v>3035</v>
      </c>
      <c r="C321" s="3227"/>
      <c r="D321" s="3227"/>
      <c r="E321" s="3227"/>
      <c r="F321" s="3227">
        <v>960</v>
      </c>
      <c r="G321" s="3240"/>
    </row>
    <row r="322" spans="1:7" s="3216" customFormat="1" ht="14.25" customHeight="1">
      <c r="A322" s="3227" t="s">
        <v>306</v>
      </c>
      <c r="B322" s="3227" t="s">
        <v>3037</v>
      </c>
      <c r="C322" s="3227"/>
      <c r="D322" s="3227"/>
      <c r="E322" s="3227"/>
      <c r="F322" s="3227">
        <v>960</v>
      </c>
      <c r="G322" s="3240"/>
    </row>
    <row r="323" spans="1:7" s="3216" customFormat="1" ht="14.25" customHeight="1">
      <c r="A323" s="3227" t="s">
        <v>306</v>
      </c>
      <c r="B323" s="3227" t="s">
        <v>3039</v>
      </c>
      <c r="C323" s="3227"/>
      <c r="D323" s="3227"/>
      <c r="E323" s="3227"/>
      <c r="F323" s="3227">
        <v>880</v>
      </c>
      <c r="G323" s="3240"/>
    </row>
    <row r="324" spans="1:7" s="3216" customFormat="1" ht="14.25" customHeight="1">
      <c r="A324" s="3227" t="s">
        <v>306</v>
      </c>
      <c r="B324" s="3227" t="s">
        <v>3041</v>
      </c>
      <c r="C324" s="3227"/>
      <c r="D324" s="3227"/>
      <c r="E324" s="3227"/>
      <c r="F324" s="3227">
        <v>930</v>
      </c>
      <c r="G324" s="3240"/>
    </row>
    <row r="325" spans="1:7" s="3216" customFormat="1" ht="14.25" customHeight="1">
      <c r="A325" s="3227" t="s">
        <v>306</v>
      </c>
      <c r="B325" s="3228" t="s">
        <v>3043</v>
      </c>
      <c r="C325" s="3227"/>
      <c r="D325" s="3227"/>
      <c r="E325" s="3227"/>
      <c r="F325" s="3227">
        <v>900</v>
      </c>
      <c r="G325" s="3240"/>
    </row>
    <row r="326" spans="1:7" s="3216" customFormat="1" ht="14.25" customHeight="1" thickBot="1">
      <c r="A326" s="3241" t="s">
        <v>306</v>
      </c>
      <c r="B326" s="3234" t="s">
        <v>3045</v>
      </c>
      <c r="C326" s="3234"/>
      <c r="D326" s="3234"/>
      <c r="E326" s="3234"/>
      <c r="F326" s="3234">
        <v>790</v>
      </c>
      <c r="G326" s="3242"/>
    </row>
    <row r="327" spans="1:7" s="3216" customFormat="1" ht="14.25" customHeight="1">
      <c r="A327" s="3232" t="s">
        <v>307</v>
      </c>
      <c r="B327" s="3223" t="s">
        <v>3144</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3145</v>
      </c>
      <c r="C329" s="3227">
        <v>2730</v>
      </c>
      <c r="D329" s="3227">
        <v>2690</v>
      </c>
      <c r="E329" s="3227">
        <v>3100</v>
      </c>
      <c r="F329" s="3227">
        <v>660</v>
      </c>
      <c r="G329" s="3227">
        <v>1610</v>
      </c>
    </row>
    <row r="330" spans="1:7" s="3216" customFormat="1" ht="14.25" customHeight="1">
      <c r="A330" s="3227" t="s">
        <v>307</v>
      </c>
      <c r="B330" s="3227" t="s">
        <v>3146</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2879</v>
      </c>
      <c r="C332" s="3227">
        <v>3520</v>
      </c>
      <c r="D332" s="3227">
        <v>3480</v>
      </c>
      <c r="E332" s="3227">
        <v>3830</v>
      </c>
      <c r="F332" s="3227">
        <v>720</v>
      </c>
      <c r="G332" s="3227">
        <v>2090</v>
      </c>
    </row>
    <row r="333" spans="1:7" s="3216" customFormat="1" ht="14.25" customHeight="1">
      <c r="A333" s="3227" t="s">
        <v>307</v>
      </c>
      <c r="B333" s="3227" t="s">
        <v>3147</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2889</v>
      </c>
      <c r="C336" s="3227">
        <v>3570</v>
      </c>
      <c r="D336" s="3227">
        <v>3530</v>
      </c>
      <c r="E336" s="3227">
        <v>3880</v>
      </c>
      <c r="F336" s="3227">
        <v>770</v>
      </c>
      <c r="G336" s="3227">
        <v>2110</v>
      </c>
    </row>
    <row r="337" spans="1:10" s="3216" customFormat="1" ht="14.25" customHeight="1">
      <c r="A337" s="3227" t="s">
        <v>307</v>
      </c>
      <c r="B337" s="3227" t="s">
        <v>3148</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3149</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3150</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2914</v>
      </c>
      <c r="C345" s="3227">
        <v>3190</v>
      </c>
      <c r="D345" s="3227">
        <v>3140</v>
      </c>
      <c r="E345" s="3227">
        <v>3450</v>
      </c>
      <c r="F345" s="3227">
        <v>720</v>
      </c>
      <c r="G345" s="3227">
        <v>1880</v>
      </c>
      <c r="J345" s="3216"/>
    </row>
    <row r="346" spans="1:10">
      <c r="A346" s="3227" t="s">
        <v>307</v>
      </c>
      <c r="B346" s="3227" t="s">
        <v>3151</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2923</v>
      </c>
      <c r="C348" s="3227">
        <v>4000</v>
      </c>
      <c r="D348" s="3227">
        <v>3950</v>
      </c>
      <c r="E348" s="3227">
        <v>4430</v>
      </c>
      <c r="F348" s="3227">
        <v>760</v>
      </c>
      <c r="G348" s="3227">
        <v>2360</v>
      </c>
      <c r="J348" s="3216"/>
    </row>
    <row r="349" spans="1:10">
      <c r="A349" s="3227" t="s">
        <v>307</v>
      </c>
      <c r="B349" s="3227" t="s">
        <v>2928</v>
      </c>
      <c r="C349" s="3227">
        <v>3820</v>
      </c>
      <c r="D349" s="3227">
        <v>3780</v>
      </c>
      <c r="E349" s="3227">
        <v>4170</v>
      </c>
      <c r="F349" s="3227">
        <v>710</v>
      </c>
      <c r="G349" s="3227">
        <v>2260</v>
      </c>
      <c r="J349" s="3216"/>
    </row>
    <row r="350" spans="1:10">
      <c r="A350" s="3227" t="s">
        <v>307</v>
      </c>
      <c r="B350" s="3227" t="s">
        <v>3152</v>
      </c>
      <c r="C350" s="3227">
        <v>3760</v>
      </c>
      <c r="D350" s="3227">
        <v>3730</v>
      </c>
      <c r="E350" s="3227">
        <v>4100</v>
      </c>
      <c r="F350" s="3227">
        <v>800</v>
      </c>
      <c r="G350" s="3227">
        <v>2230</v>
      </c>
      <c r="J350" s="3216"/>
    </row>
    <row r="351" spans="1:10">
      <c r="A351" s="3227" t="s">
        <v>307</v>
      </c>
      <c r="B351" s="3227" t="s">
        <v>2936</v>
      </c>
      <c r="C351" s="3227">
        <v>3610</v>
      </c>
      <c r="D351" s="3227">
        <v>3580</v>
      </c>
      <c r="E351" s="3227">
        <v>3930</v>
      </c>
      <c r="F351" s="3227">
        <v>700</v>
      </c>
      <c r="G351" s="3227">
        <v>2140</v>
      </c>
      <c r="J351" s="3216"/>
    </row>
    <row r="352" spans="1:10">
      <c r="A352" s="3227" t="s">
        <v>307</v>
      </c>
      <c r="B352" s="3227" t="s">
        <v>2941</v>
      </c>
      <c r="C352" s="3227">
        <v>3670</v>
      </c>
      <c r="D352" s="3227">
        <v>3630</v>
      </c>
      <c r="E352" s="3227">
        <v>4000</v>
      </c>
      <c r="F352" s="3227">
        <v>750</v>
      </c>
      <c r="G352" s="3227">
        <v>2180</v>
      </c>
    </row>
    <row r="353" spans="1:7" s="3220" customFormat="1">
      <c r="A353" s="3227" t="s">
        <v>307</v>
      </c>
      <c r="B353" s="3227" t="s">
        <v>3153</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2961</v>
      </c>
      <c r="C355" s="3227">
        <v>3650</v>
      </c>
      <c r="D355" s="3227">
        <v>3610</v>
      </c>
      <c r="E355" s="3227">
        <v>4200</v>
      </c>
      <c r="F355" s="3227">
        <v>640</v>
      </c>
      <c r="G355" s="3227">
        <v>2160</v>
      </c>
    </row>
    <row r="356" spans="1:7" s="3220" customFormat="1">
      <c r="A356" s="3227" t="s">
        <v>307</v>
      </c>
      <c r="B356" s="3227" t="s">
        <v>2968</v>
      </c>
      <c r="C356" s="3227">
        <v>3260</v>
      </c>
      <c r="D356" s="3227">
        <v>3230</v>
      </c>
      <c r="E356" s="3227">
        <v>3740</v>
      </c>
      <c r="F356" s="3227">
        <v>600</v>
      </c>
      <c r="G356" s="3227">
        <v>1930</v>
      </c>
    </row>
    <row r="357" spans="1:7" s="3220" customFormat="1" ht="12" thickBot="1">
      <c r="A357" s="3235" t="s">
        <v>307</v>
      </c>
      <c r="B357" s="3238" t="s">
        <v>3154</v>
      </c>
      <c r="C357" s="3238">
        <v>3690</v>
      </c>
      <c r="D357" s="3238">
        <v>3650</v>
      </c>
      <c r="E357" s="3238">
        <v>4020</v>
      </c>
      <c r="F357" s="3238">
        <v>700</v>
      </c>
      <c r="G357" s="3238">
        <v>2190</v>
      </c>
    </row>
    <row r="358" spans="1:7" s="3220" customFormat="1">
      <c r="A358" s="3232" t="s">
        <v>3155</v>
      </c>
      <c r="B358" s="3223" t="s">
        <v>3156</v>
      </c>
      <c r="C358" s="3223">
        <v>2080</v>
      </c>
      <c r="D358" s="3223">
        <v>2040</v>
      </c>
      <c r="E358" s="3223">
        <v>2010</v>
      </c>
      <c r="F358" s="3223">
        <v>530</v>
      </c>
      <c r="G358" s="3239">
        <v>1230</v>
      </c>
    </row>
    <row r="359" spans="1:7" s="3220" customFormat="1">
      <c r="A359" s="3227" t="s">
        <v>3155</v>
      </c>
      <c r="B359" s="3227" t="s">
        <v>3157</v>
      </c>
      <c r="C359" s="3227">
        <v>1850</v>
      </c>
      <c r="D359" s="3227">
        <v>1820</v>
      </c>
      <c r="E359" s="3227">
        <v>1780</v>
      </c>
      <c r="F359" s="3227">
        <v>520</v>
      </c>
      <c r="G359" s="3240">
        <v>1100</v>
      </c>
    </row>
    <row r="360" spans="1:7" s="3220" customFormat="1">
      <c r="A360" s="3227" t="s">
        <v>3155</v>
      </c>
      <c r="B360" s="3227" t="s">
        <v>3158</v>
      </c>
      <c r="C360" s="3227">
        <v>2020</v>
      </c>
      <c r="D360" s="3227">
        <v>1990</v>
      </c>
      <c r="E360" s="3227">
        <v>1950</v>
      </c>
      <c r="F360" s="3227">
        <v>500</v>
      </c>
      <c r="G360" s="3240">
        <v>1200</v>
      </c>
    </row>
    <row r="361" spans="1:7" s="3220" customFormat="1">
      <c r="A361" s="3227" t="s">
        <v>3155</v>
      </c>
      <c r="B361" s="3227" t="s">
        <v>153</v>
      </c>
      <c r="C361" s="3227">
        <v>2260</v>
      </c>
      <c r="D361" s="3227">
        <v>2220</v>
      </c>
      <c r="E361" s="3227">
        <v>2180</v>
      </c>
      <c r="F361" s="3227">
        <v>580</v>
      </c>
      <c r="G361" s="3240">
        <v>1340</v>
      </c>
    </row>
    <row r="362" spans="1:7" s="3220" customFormat="1">
      <c r="A362" s="3227" t="s">
        <v>3155</v>
      </c>
      <c r="B362" s="3227" t="s">
        <v>3159</v>
      </c>
      <c r="C362" s="3227">
        <v>2650</v>
      </c>
      <c r="D362" s="3227">
        <v>2610</v>
      </c>
      <c r="E362" s="3227">
        <v>2570</v>
      </c>
      <c r="F362" s="3227">
        <v>630</v>
      </c>
      <c r="G362" s="3240">
        <v>1570</v>
      </c>
    </row>
    <row r="363" spans="1:7" s="3220" customFormat="1">
      <c r="A363" s="3227" t="s">
        <v>3155</v>
      </c>
      <c r="B363" s="3227" t="s">
        <v>2880</v>
      </c>
      <c r="C363" s="3227">
        <v>2390</v>
      </c>
      <c r="D363" s="3227">
        <v>2360</v>
      </c>
      <c r="E363" s="3227">
        <v>2320</v>
      </c>
      <c r="F363" s="3227">
        <v>600</v>
      </c>
      <c r="G363" s="3240">
        <v>1420</v>
      </c>
    </row>
    <row r="364" spans="1:7" s="3220" customFormat="1">
      <c r="A364" s="3227" t="s">
        <v>3155</v>
      </c>
      <c r="B364" s="3227" t="s">
        <v>3160</v>
      </c>
      <c r="C364" s="3227">
        <v>2050</v>
      </c>
      <c r="D364" s="3227">
        <v>2030</v>
      </c>
      <c r="E364" s="3227">
        <v>1990</v>
      </c>
      <c r="F364" s="3227">
        <v>550</v>
      </c>
      <c r="G364" s="3240">
        <v>1220</v>
      </c>
    </row>
    <row r="365" spans="1:7" s="3220" customFormat="1">
      <c r="A365" s="3227" t="s">
        <v>3155</v>
      </c>
      <c r="B365" s="3227" t="s">
        <v>200</v>
      </c>
      <c r="C365" s="3227">
        <v>2140</v>
      </c>
      <c r="D365" s="3227">
        <v>2100</v>
      </c>
      <c r="E365" s="3227">
        <v>2060</v>
      </c>
      <c r="F365" s="3227">
        <v>540</v>
      </c>
      <c r="G365" s="3240">
        <v>1270</v>
      </c>
    </row>
    <row r="366" spans="1:7" s="3220" customFormat="1">
      <c r="A366" s="3227" t="s">
        <v>3155</v>
      </c>
      <c r="B366" s="3227" t="s">
        <v>2887</v>
      </c>
      <c r="C366" s="3227">
        <v>2410</v>
      </c>
      <c r="D366" s="3227">
        <v>2370</v>
      </c>
      <c r="E366" s="3227">
        <v>2330</v>
      </c>
      <c r="F366" s="3227">
        <v>570</v>
      </c>
      <c r="G366" s="3240">
        <v>1440</v>
      </c>
    </row>
    <row r="367" spans="1:7" s="3220" customFormat="1">
      <c r="A367" s="3227" t="s">
        <v>3155</v>
      </c>
      <c r="B367" s="3227" t="s">
        <v>3161</v>
      </c>
      <c r="C367" s="3227">
        <v>2300</v>
      </c>
      <c r="D367" s="3227">
        <v>2260</v>
      </c>
      <c r="E367" s="3227">
        <v>2220</v>
      </c>
      <c r="F367" s="3227">
        <v>560</v>
      </c>
      <c r="G367" s="3240">
        <v>1370</v>
      </c>
    </row>
    <row r="368" spans="1:7" s="3220" customFormat="1">
      <c r="A368" s="3227" t="s">
        <v>3155</v>
      </c>
      <c r="B368" s="3227" t="s">
        <v>3162</v>
      </c>
      <c r="C368" s="3227">
        <v>2430</v>
      </c>
      <c r="D368" s="3227">
        <v>2390</v>
      </c>
      <c r="E368" s="3227">
        <v>2350</v>
      </c>
      <c r="F368" s="3227">
        <v>570</v>
      </c>
      <c r="G368" s="3240">
        <v>1450</v>
      </c>
    </row>
    <row r="369" spans="1:7" s="3220" customFormat="1">
      <c r="A369" s="3227" t="s">
        <v>3155</v>
      </c>
      <c r="B369" s="3227" t="s">
        <v>214</v>
      </c>
      <c r="C369" s="3227">
        <v>2320</v>
      </c>
      <c r="D369" s="3227">
        <v>2290</v>
      </c>
      <c r="E369" s="3227">
        <v>2250</v>
      </c>
      <c r="F369" s="3227">
        <v>550</v>
      </c>
      <c r="G369" s="3240">
        <v>1380</v>
      </c>
    </row>
    <row r="370" spans="1:7" s="3220" customFormat="1">
      <c r="A370" s="3227" t="s">
        <v>3155</v>
      </c>
      <c r="B370" s="3227" t="s">
        <v>221</v>
      </c>
      <c r="C370" s="3227">
        <v>2190</v>
      </c>
      <c r="D370" s="3227">
        <v>2170</v>
      </c>
      <c r="E370" s="3227">
        <v>2130</v>
      </c>
      <c r="F370" s="3227">
        <v>530</v>
      </c>
      <c r="G370" s="3240">
        <v>1310</v>
      </c>
    </row>
    <row r="371" spans="1:7" s="3220" customFormat="1">
      <c r="A371" s="3227" t="s">
        <v>3155</v>
      </c>
      <c r="B371" s="3227" t="s">
        <v>229</v>
      </c>
      <c r="C371" s="3227">
        <v>2460</v>
      </c>
      <c r="D371" s="3227">
        <v>2420</v>
      </c>
      <c r="E371" s="3227">
        <v>2370</v>
      </c>
      <c r="F371" s="3227">
        <v>560</v>
      </c>
      <c r="G371" s="3240">
        <v>1470</v>
      </c>
    </row>
    <row r="372" spans="1:7" s="3220" customFormat="1">
      <c r="A372" s="3227" t="s">
        <v>3155</v>
      </c>
      <c r="B372" s="3227" t="s">
        <v>3163</v>
      </c>
      <c r="C372" s="3227">
        <v>2250</v>
      </c>
      <c r="D372" s="3227">
        <v>2210</v>
      </c>
      <c r="E372" s="3227">
        <v>2180</v>
      </c>
      <c r="F372" s="3227">
        <v>550</v>
      </c>
      <c r="G372" s="3240">
        <v>1340</v>
      </c>
    </row>
    <row r="373" spans="1:7" s="3220" customFormat="1">
      <c r="A373" s="3227" t="s">
        <v>3155</v>
      </c>
      <c r="B373" s="3227" t="s">
        <v>258</v>
      </c>
      <c r="C373" s="3227">
        <v>2210</v>
      </c>
      <c r="D373" s="3227">
        <v>2190</v>
      </c>
      <c r="E373" s="3227">
        <v>2150</v>
      </c>
      <c r="F373" s="3227">
        <v>530</v>
      </c>
      <c r="G373" s="3240">
        <v>1320</v>
      </c>
    </row>
    <row r="374" spans="1:7" s="3220" customFormat="1">
      <c r="A374" s="3227" t="s">
        <v>3155</v>
      </c>
      <c r="B374" s="3227" t="s">
        <v>266</v>
      </c>
      <c r="C374" s="3227">
        <v>2320</v>
      </c>
      <c r="D374" s="3227">
        <v>2280</v>
      </c>
      <c r="E374" s="3227">
        <v>2230</v>
      </c>
      <c r="F374" s="3227">
        <v>580</v>
      </c>
      <c r="G374" s="3240">
        <v>1380</v>
      </c>
    </row>
    <row r="375" spans="1:7" s="3220" customFormat="1">
      <c r="A375" s="3227" t="s">
        <v>3155</v>
      </c>
      <c r="B375" s="3227" t="s">
        <v>3164</v>
      </c>
      <c r="C375" s="3227">
        <v>2090</v>
      </c>
      <c r="D375" s="3227">
        <v>2050</v>
      </c>
      <c r="E375" s="3227">
        <v>2020</v>
      </c>
      <c r="F375" s="3227">
        <v>520</v>
      </c>
      <c r="G375" s="3240">
        <v>1240</v>
      </c>
    </row>
    <row r="376" spans="1:7" s="3220" customFormat="1">
      <c r="A376" s="3227" t="s">
        <v>3155</v>
      </c>
      <c r="B376" s="3227" t="s">
        <v>277</v>
      </c>
      <c r="C376" s="3227">
        <v>2010</v>
      </c>
      <c r="D376" s="3227">
        <v>1980</v>
      </c>
      <c r="E376" s="3227">
        <v>1940</v>
      </c>
      <c r="F376" s="3227">
        <v>540</v>
      </c>
      <c r="G376" s="3240">
        <v>1190</v>
      </c>
    </row>
    <row r="377" spans="1:7" s="3220" customFormat="1" ht="12" thickBot="1">
      <c r="A377" s="3235" t="s">
        <v>3155</v>
      </c>
      <c r="B377" s="3238" t="s">
        <v>2917</v>
      </c>
      <c r="C377" s="3238">
        <v>1930</v>
      </c>
      <c r="D377" s="3238">
        <v>1890</v>
      </c>
      <c r="E377" s="3238">
        <v>1860</v>
      </c>
      <c r="F377" s="3238">
        <v>530</v>
      </c>
      <c r="G377" s="3243">
        <v>1150</v>
      </c>
    </row>
    <row r="378" spans="1:7" s="3220" customFormat="1">
      <c r="A378" s="3244" t="s">
        <v>3165</v>
      </c>
      <c r="B378" s="3223" t="s">
        <v>3166</v>
      </c>
      <c r="C378" s="3223">
        <v>1520</v>
      </c>
      <c r="D378" s="3223">
        <v>1490</v>
      </c>
      <c r="E378" s="3223">
        <v>1460</v>
      </c>
      <c r="F378" s="3223">
        <v>460</v>
      </c>
      <c r="G378" s="3239">
        <v>940</v>
      </c>
    </row>
    <row r="379" spans="1:7" s="3220" customFormat="1">
      <c r="A379" s="3245" t="s">
        <v>3165</v>
      </c>
      <c r="B379" s="3227" t="s">
        <v>3167</v>
      </c>
      <c r="C379" s="3227">
        <v>1500</v>
      </c>
      <c r="D379" s="3227">
        <v>1470</v>
      </c>
      <c r="E379" s="3227">
        <v>1430</v>
      </c>
      <c r="F379" s="3227">
        <v>460</v>
      </c>
      <c r="G379" s="3240">
        <v>920</v>
      </c>
    </row>
    <row r="380" spans="1:7" s="3220" customFormat="1">
      <c r="A380" s="3245" t="s">
        <v>3165</v>
      </c>
      <c r="B380" s="3227" t="s">
        <v>3168</v>
      </c>
      <c r="C380" s="3227">
        <v>1620</v>
      </c>
      <c r="D380" s="3227">
        <v>1590</v>
      </c>
      <c r="E380" s="3227">
        <v>1560</v>
      </c>
      <c r="F380" s="3227">
        <v>480</v>
      </c>
      <c r="G380" s="3240">
        <v>1000</v>
      </c>
    </row>
    <row r="381" spans="1:7" s="3220" customFormat="1">
      <c r="A381" s="3245" t="s">
        <v>3165</v>
      </c>
      <c r="B381" s="3227" t="s">
        <v>3169</v>
      </c>
      <c r="C381" s="3227">
        <v>1460</v>
      </c>
      <c r="D381" s="3227">
        <v>1430</v>
      </c>
      <c r="E381" s="3227">
        <v>1390</v>
      </c>
      <c r="F381" s="3227">
        <v>450</v>
      </c>
      <c r="G381" s="3240">
        <v>900</v>
      </c>
    </row>
    <row r="382" spans="1:7" s="3220" customFormat="1">
      <c r="A382" s="3245" t="s">
        <v>3165</v>
      </c>
      <c r="B382" s="3227" t="s">
        <v>3170</v>
      </c>
      <c r="C382" s="3227">
        <v>1310</v>
      </c>
      <c r="D382" s="3227">
        <v>1280</v>
      </c>
      <c r="E382" s="3227">
        <v>1250</v>
      </c>
      <c r="F382" s="3227">
        <v>440</v>
      </c>
      <c r="G382" s="3240">
        <v>800</v>
      </c>
    </row>
    <row r="383" spans="1:7" s="3220" customFormat="1">
      <c r="A383" s="3245" t="s">
        <v>3165</v>
      </c>
      <c r="B383" s="3227" t="s">
        <v>3171</v>
      </c>
      <c r="C383" s="3227">
        <v>1260</v>
      </c>
      <c r="D383" s="3227">
        <v>1230</v>
      </c>
      <c r="E383" s="3227">
        <v>1200</v>
      </c>
      <c r="F383" s="3227">
        <v>420</v>
      </c>
      <c r="G383" s="3240">
        <v>770</v>
      </c>
    </row>
    <row r="384" spans="1:7" s="3220" customFormat="1" ht="12" thickBot="1">
      <c r="A384" s="3246" t="s">
        <v>3165</v>
      </c>
      <c r="B384" s="3234" t="s">
        <v>3172</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65" t="s">
        <v>3173</v>
      </c>
      <c r="B1" s="3865"/>
    </row>
    <row r="2" spans="1:7" ht="14.25" thickBot="1">
      <c r="A2" s="3249"/>
      <c r="B2" s="3249"/>
    </row>
    <row r="3" spans="1:7" ht="14.25" thickBot="1">
      <c r="A3" s="3249"/>
      <c r="B3" s="3249"/>
      <c r="C3" s="3250" t="s">
        <v>2803</v>
      </c>
      <c r="D3" s="3250" t="s">
        <v>2859</v>
      </c>
      <c r="E3" s="3250" t="s">
        <v>2805</v>
      </c>
      <c r="F3" s="3250" t="s">
        <v>2860</v>
      </c>
      <c r="G3" s="3250" t="s">
        <v>2623</v>
      </c>
    </row>
    <row r="4" spans="1:7" ht="14.25" thickBot="1">
      <c r="A4" s="3251" t="s">
        <v>2858</v>
      </c>
      <c r="B4" s="3252" t="s">
        <v>2864</v>
      </c>
      <c r="C4" s="3250"/>
      <c r="D4" s="3250"/>
      <c r="E4" s="3250"/>
      <c r="F4" s="3250"/>
      <c r="G4" s="3250"/>
    </row>
    <row r="5" spans="1:7">
      <c r="A5" s="3253" t="s">
        <v>2832</v>
      </c>
      <c r="B5" s="3254" t="s">
        <v>2846</v>
      </c>
      <c r="C5" s="3255">
        <v>9.8000000000000004E-2</v>
      </c>
      <c r="D5" s="3255">
        <v>8.6999999999999994E-2</v>
      </c>
      <c r="E5" s="3255">
        <v>8.6999999999999994E-2</v>
      </c>
      <c r="F5" s="3255">
        <v>9.8000000000000004E-2</v>
      </c>
      <c r="G5" s="3256">
        <v>9.5000000000000001E-2</v>
      </c>
    </row>
    <row r="6" spans="1:7">
      <c r="A6" s="3257" t="s">
        <v>144</v>
      </c>
      <c r="B6" s="3258" t="s">
        <v>2861</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2847</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2897</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2915</v>
      </c>
      <c r="C29" s="3267"/>
      <c r="D29" s="3263">
        <v>5.1999999999999998E-2</v>
      </c>
      <c r="E29" s="3263">
        <v>7.0000000000000007E-2</v>
      </c>
      <c r="F29" s="3267"/>
      <c r="G29" s="3265">
        <v>7.0999999999999994E-2</v>
      </c>
    </row>
    <row r="30" spans="1:7">
      <c r="A30" s="3268" t="s">
        <v>296</v>
      </c>
      <c r="B30" s="3254" t="s">
        <v>2848</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2834</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2918</v>
      </c>
      <c r="C50" s="3259">
        <v>9.8000000000000004E-2</v>
      </c>
      <c r="D50" s="3259">
        <v>7.2999999999999995E-2</v>
      </c>
      <c r="E50" s="3259">
        <v>7.0999999999999994E-2</v>
      </c>
      <c r="F50" s="3270"/>
      <c r="G50" s="3260">
        <v>7.2999999999999995E-2</v>
      </c>
    </row>
    <row r="51" spans="1:7">
      <c r="A51" s="3269" t="s">
        <v>296</v>
      </c>
      <c r="B51" s="3258" t="s">
        <v>2920</v>
      </c>
      <c r="C51" s="3259">
        <v>9.9000000000000005E-2</v>
      </c>
      <c r="D51" s="3259">
        <v>8.5000000000000006E-2</v>
      </c>
      <c r="E51" s="3259">
        <v>6.3E-2</v>
      </c>
      <c r="F51" s="3270"/>
      <c r="G51" s="3260">
        <v>9.6000000000000002E-2</v>
      </c>
    </row>
    <row r="52" spans="1:7">
      <c r="A52" s="3269" t="s">
        <v>296</v>
      </c>
      <c r="B52" s="3258" t="s">
        <v>2924</v>
      </c>
      <c r="C52" s="3259">
        <v>7.3999999999999996E-2</v>
      </c>
      <c r="D52" s="3259">
        <v>9.6000000000000002E-2</v>
      </c>
      <c r="E52" s="3259">
        <v>0.05</v>
      </c>
      <c r="F52" s="3270"/>
      <c r="G52" s="3260">
        <v>9.8000000000000004E-2</v>
      </c>
    </row>
    <row r="53" spans="1:7">
      <c r="A53" s="3269" t="s">
        <v>296</v>
      </c>
      <c r="B53" s="3258" t="s">
        <v>2929</v>
      </c>
      <c r="C53" s="3259">
        <v>8.5999999999999993E-2</v>
      </c>
      <c r="D53" s="3270"/>
      <c r="E53" s="3259">
        <v>9.1999999999999998E-2</v>
      </c>
      <c r="F53" s="3270"/>
      <c r="G53" s="3271"/>
    </row>
    <row r="54" spans="1:7" ht="14.25" thickBot="1">
      <c r="A54" s="3272" t="s">
        <v>296</v>
      </c>
      <c r="B54" s="3262" t="s">
        <v>2932</v>
      </c>
      <c r="C54" s="3263">
        <v>9.6000000000000002E-2</v>
      </c>
      <c r="D54" s="3264"/>
      <c r="E54" s="3273"/>
      <c r="F54" s="3264"/>
      <c r="G54" s="3274"/>
    </row>
    <row r="55" spans="1:7">
      <c r="A55" s="3268" t="s">
        <v>110</v>
      </c>
      <c r="B55" s="3254" t="s">
        <v>2849</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2930</v>
      </c>
      <c r="C78" s="3259">
        <v>0.1</v>
      </c>
      <c r="D78" s="3259">
        <v>8.5000000000000006E-2</v>
      </c>
      <c r="E78" s="3259">
        <v>9.6000000000000002E-2</v>
      </c>
      <c r="F78" s="3270"/>
      <c r="G78" s="3260">
        <v>9.6000000000000002E-2</v>
      </c>
    </row>
    <row r="79" spans="1:7">
      <c r="A79" s="3269" t="s">
        <v>110</v>
      </c>
      <c r="B79" s="3258" t="s">
        <v>2933</v>
      </c>
      <c r="C79" s="3259">
        <v>0.05</v>
      </c>
      <c r="D79" s="3259">
        <v>9.6000000000000002E-2</v>
      </c>
      <c r="E79" s="3259">
        <v>9.5000000000000001E-2</v>
      </c>
      <c r="F79" s="3270"/>
      <c r="G79" s="3260">
        <v>9.8000000000000004E-2</v>
      </c>
    </row>
    <row r="80" spans="1:7">
      <c r="A80" s="3269" t="s">
        <v>110</v>
      </c>
      <c r="B80" s="3258" t="s">
        <v>2937</v>
      </c>
      <c r="C80" s="3259">
        <v>8.5999999999999993E-2</v>
      </c>
      <c r="D80" s="3275"/>
      <c r="E80" s="3259">
        <v>0.1</v>
      </c>
      <c r="F80" s="3270"/>
      <c r="G80" s="3271"/>
    </row>
    <row r="81" spans="1:7">
      <c r="A81" s="3269" t="s">
        <v>110</v>
      </c>
      <c r="B81" s="3258" t="s">
        <v>2942</v>
      </c>
      <c r="C81" s="3259">
        <v>9.6000000000000002E-2</v>
      </c>
      <c r="D81" s="3270"/>
      <c r="E81" s="3259">
        <v>9.8000000000000004E-2</v>
      </c>
      <c r="F81" s="3270"/>
      <c r="G81" s="3271"/>
    </row>
    <row r="82" spans="1:7">
      <c r="A82" s="3269" t="s">
        <v>110</v>
      </c>
      <c r="B82" s="3258" t="s">
        <v>2949</v>
      </c>
      <c r="C82" s="3275"/>
      <c r="D82" s="3270"/>
      <c r="E82" s="3259">
        <v>7.6999999999999999E-2</v>
      </c>
      <c r="F82" s="3270"/>
      <c r="G82" s="3271"/>
    </row>
    <row r="83" spans="1:7">
      <c r="A83" s="3269" t="s">
        <v>110</v>
      </c>
      <c r="B83" s="3258" t="s">
        <v>2955</v>
      </c>
      <c r="C83" s="3270"/>
      <c r="D83" s="3270"/>
      <c r="E83" s="3270"/>
      <c r="F83" s="3259">
        <v>0.1</v>
      </c>
      <c r="G83" s="3276"/>
    </row>
    <row r="84" spans="1:7">
      <c r="A84" s="3269" t="s">
        <v>110</v>
      </c>
      <c r="B84" s="3258" t="s">
        <v>2962</v>
      </c>
      <c r="C84" s="3270"/>
      <c r="D84" s="3270"/>
      <c r="E84" s="3270"/>
      <c r="F84" s="3259">
        <v>0.1</v>
      </c>
      <c r="G84" s="3276"/>
    </row>
    <row r="85" spans="1:7">
      <c r="A85" s="3269" t="s">
        <v>110</v>
      </c>
      <c r="B85" s="3258" t="s">
        <v>2969</v>
      </c>
      <c r="C85" s="3270"/>
      <c r="D85" s="3270"/>
      <c r="E85" s="3270"/>
      <c r="F85" s="3259">
        <v>0.1</v>
      </c>
      <c r="G85" s="3276"/>
    </row>
    <row r="86" spans="1:7" ht="14.25" thickBot="1">
      <c r="A86" s="3272" t="s">
        <v>110</v>
      </c>
      <c r="B86" s="3262" t="s">
        <v>2974</v>
      </c>
      <c r="C86" s="3263">
        <v>9.8000000000000004E-2</v>
      </c>
      <c r="D86" s="3263">
        <v>9.8000000000000004E-2</v>
      </c>
      <c r="E86" s="3263">
        <v>9.6000000000000002E-2</v>
      </c>
      <c r="F86" s="3273"/>
      <c r="G86" s="3265">
        <v>0.1</v>
      </c>
    </row>
    <row r="87" spans="1:7">
      <c r="A87" s="3268" t="s">
        <v>303</v>
      </c>
      <c r="B87" s="3254" t="s">
        <v>2850</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2943</v>
      </c>
      <c r="C113" s="3259">
        <v>0.1</v>
      </c>
      <c r="D113" s="3259">
        <v>0.1</v>
      </c>
      <c r="E113" s="3270"/>
      <c r="F113" s="3270"/>
      <c r="G113" s="3260">
        <v>0.1</v>
      </c>
    </row>
    <row r="114" spans="1:7">
      <c r="A114" s="3269" t="s">
        <v>303</v>
      </c>
      <c r="B114" s="3258" t="s">
        <v>2950</v>
      </c>
      <c r="C114" s="3259">
        <v>9.7000000000000003E-2</v>
      </c>
      <c r="D114" s="3259">
        <v>9.7000000000000003E-2</v>
      </c>
      <c r="E114" s="3270"/>
      <c r="F114" s="3270"/>
      <c r="G114" s="3260">
        <v>9.9000000000000005E-2</v>
      </c>
    </row>
    <row r="115" spans="1:7">
      <c r="A115" s="3269" t="s">
        <v>303</v>
      </c>
      <c r="B115" s="3258" t="s">
        <v>2956</v>
      </c>
      <c r="C115" s="3259">
        <v>0.1</v>
      </c>
      <c r="D115" s="3259">
        <v>0.1</v>
      </c>
      <c r="E115" s="3270"/>
      <c r="F115" s="3270"/>
      <c r="G115" s="3260">
        <v>0.1</v>
      </c>
    </row>
    <row r="116" spans="1:7">
      <c r="A116" s="3269" t="s">
        <v>303</v>
      </c>
      <c r="B116" s="3258" t="s">
        <v>2963</v>
      </c>
      <c r="C116" s="3259">
        <v>0.1</v>
      </c>
      <c r="D116" s="3259">
        <v>0.1</v>
      </c>
      <c r="E116" s="3270"/>
      <c r="F116" s="3270"/>
      <c r="G116" s="3260">
        <v>0.1</v>
      </c>
    </row>
    <row r="117" spans="1:7">
      <c r="A117" s="3269" t="s">
        <v>303</v>
      </c>
      <c r="B117" s="3258" t="s">
        <v>2970</v>
      </c>
      <c r="C117" s="3259">
        <v>9.7000000000000003E-2</v>
      </c>
      <c r="D117" s="3259">
        <v>9.7000000000000003E-2</v>
      </c>
      <c r="E117" s="3270"/>
      <c r="F117" s="3270"/>
      <c r="G117" s="3260">
        <v>9.7000000000000003E-2</v>
      </c>
    </row>
    <row r="118" spans="1:7">
      <c r="A118" s="3269" t="s">
        <v>303</v>
      </c>
      <c r="B118" s="3258" t="s">
        <v>2975</v>
      </c>
      <c r="C118" s="3259">
        <v>0.1</v>
      </c>
      <c r="D118" s="3259">
        <v>0.1</v>
      </c>
      <c r="E118" s="3270"/>
      <c r="F118" s="3270"/>
      <c r="G118" s="3260">
        <v>0.1</v>
      </c>
    </row>
    <row r="119" spans="1:7">
      <c r="A119" s="3269" t="s">
        <v>303</v>
      </c>
      <c r="B119" s="3258" t="s">
        <v>2979</v>
      </c>
      <c r="C119" s="3259">
        <v>5.0999999999999997E-2</v>
      </c>
      <c r="D119" s="3259">
        <v>5.1999999999999998E-2</v>
      </c>
      <c r="E119" s="3270"/>
      <c r="F119" s="3275"/>
      <c r="G119" s="3260">
        <v>0.06</v>
      </c>
    </row>
    <row r="120" spans="1:7">
      <c r="A120" s="3269" t="s">
        <v>303</v>
      </c>
      <c r="B120" s="3258" t="s">
        <v>2983</v>
      </c>
      <c r="C120" s="3270"/>
      <c r="D120" s="3270"/>
      <c r="E120" s="3270"/>
      <c r="F120" s="3259">
        <v>0.1</v>
      </c>
      <c r="G120" s="3276"/>
    </row>
    <row r="121" spans="1:7">
      <c r="A121" s="3269" t="s">
        <v>303</v>
      </c>
      <c r="B121" s="3258" t="s">
        <v>2988</v>
      </c>
      <c r="C121" s="3270"/>
      <c r="D121" s="3270"/>
      <c r="E121" s="3270"/>
      <c r="F121" s="3259">
        <v>0.1</v>
      </c>
      <c r="G121" s="3276"/>
    </row>
    <row r="122" spans="1:7">
      <c r="A122" s="3269" t="s">
        <v>303</v>
      </c>
      <c r="B122" s="3258" t="s">
        <v>2993</v>
      </c>
      <c r="C122" s="3259">
        <v>0.1</v>
      </c>
      <c r="D122" s="3259">
        <v>0.1</v>
      </c>
      <c r="E122" s="3259">
        <v>9.8000000000000004E-2</v>
      </c>
      <c r="F122" s="3259">
        <v>0.1</v>
      </c>
      <c r="G122" s="3260">
        <v>0.1</v>
      </c>
    </row>
    <row r="123" spans="1:7">
      <c r="A123" s="3269" t="s">
        <v>303</v>
      </c>
      <c r="B123" s="3258" t="s">
        <v>2998</v>
      </c>
      <c r="C123" s="3259">
        <v>0.1</v>
      </c>
      <c r="D123" s="3259">
        <v>0.1</v>
      </c>
      <c r="E123" s="3259">
        <v>9.8000000000000004E-2</v>
      </c>
      <c r="F123" s="3259">
        <v>0.1</v>
      </c>
      <c r="G123" s="3260">
        <v>0.1</v>
      </c>
    </row>
    <row r="124" spans="1:7">
      <c r="A124" s="3269" t="s">
        <v>303</v>
      </c>
      <c r="B124" s="3258" t="s">
        <v>3003</v>
      </c>
      <c r="C124" s="3259">
        <v>0.1</v>
      </c>
      <c r="D124" s="3259">
        <v>0.1</v>
      </c>
      <c r="E124" s="3259">
        <v>9.8000000000000004E-2</v>
      </c>
      <c r="F124" s="3275"/>
      <c r="G124" s="3260">
        <v>0.1</v>
      </c>
    </row>
    <row r="125" spans="1:7">
      <c r="A125" s="3269" t="s">
        <v>303</v>
      </c>
      <c r="B125" s="3258" t="s">
        <v>3008</v>
      </c>
      <c r="C125" s="3259">
        <v>9.8000000000000004E-2</v>
      </c>
      <c r="D125" s="3259">
        <v>9.8000000000000004E-2</v>
      </c>
      <c r="E125" s="3259">
        <v>9.6000000000000002E-2</v>
      </c>
      <c r="F125" s="3275"/>
      <c r="G125" s="3260">
        <v>0.1</v>
      </c>
    </row>
    <row r="126" spans="1:7" ht="14.25" thickBot="1">
      <c r="A126" s="3272" t="s">
        <v>303</v>
      </c>
      <c r="B126" s="3262" t="s">
        <v>3174</v>
      </c>
      <c r="C126" s="3263">
        <v>0.1</v>
      </c>
      <c r="D126" s="3263">
        <v>0.1</v>
      </c>
      <c r="E126" s="3263">
        <v>9.8000000000000004E-2</v>
      </c>
      <c r="F126" s="3263">
        <v>0.1</v>
      </c>
      <c r="G126" s="3265">
        <v>0.1</v>
      </c>
    </row>
    <row r="127" spans="1:7">
      <c r="A127" s="3268" t="s">
        <v>29</v>
      </c>
      <c r="B127" s="3254" t="s">
        <v>2851</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2921</v>
      </c>
      <c r="C148" s="3259">
        <v>0.13</v>
      </c>
      <c r="D148" s="3259">
        <v>0.13</v>
      </c>
      <c r="E148" s="3259">
        <v>0.13</v>
      </c>
      <c r="F148" s="3270"/>
      <c r="G148" s="3260">
        <v>0.13</v>
      </c>
    </row>
    <row r="149" spans="1:7">
      <c r="A149" s="3269" t="s">
        <v>29</v>
      </c>
      <c r="B149" s="3258" t="s">
        <v>2925</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2944</v>
      </c>
      <c r="C153" s="3259">
        <v>0.13</v>
      </c>
      <c r="D153" s="3259">
        <v>0.13</v>
      </c>
      <c r="E153" s="3259">
        <v>0.13</v>
      </c>
      <c r="F153" s="3259">
        <v>0.13</v>
      </c>
      <c r="G153" s="3260">
        <v>0.13</v>
      </c>
    </row>
    <row r="154" spans="1:7">
      <c r="A154" s="3269" t="s">
        <v>29</v>
      </c>
      <c r="B154" s="3258" t="s">
        <v>2951</v>
      </c>
      <c r="C154" s="3259">
        <v>0.121</v>
      </c>
      <c r="D154" s="3259">
        <v>0.121</v>
      </c>
      <c r="E154" s="3259">
        <v>0.105</v>
      </c>
      <c r="F154" s="3259">
        <v>0.121</v>
      </c>
      <c r="G154" s="3260">
        <v>0.123</v>
      </c>
    </row>
    <row r="155" spans="1:7">
      <c r="A155" s="3269" t="s">
        <v>29</v>
      </c>
      <c r="B155" s="3258" t="s">
        <v>2957</v>
      </c>
      <c r="C155" s="3259">
        <v>0.1</v>
      </c>
      <c r="D155" s="3259">
        <v>0.1</v>
      </c>
      <c r="E155" s="3259">
        <v>0.1</v>
      </c>
      <c r="F155" s="3259">
        <v>0.1</v>
      </c>
      <c r="G155" s="3260">
        <v>0.1</v>
      </c>
    </row>
    <row r="156" spans="1:7">
      <c r="A156" s="3269" t="s">
        <v>29</v>
      </c>
      <c r="B156" s="3258" t="s">
        <v>2964</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2984</v>
      </c>
      <c r="C160" s="3259">
        <v>0.13</v>
      </c>
      <c r="D160" s="3259">
        <v>0.13</v>
      </c>
      <c r="E160" s="3259">
        <v>0.124</v>
      </c>
      <c r="F160" s="3259">
        <v>0.126</v>
      </c>
      <c r="G160" s="3260">
        <v>0.13</v>
      </c>
    </row>
    <row r="161" spans="1:7">
      <c r="A161" s="3269" t="s">
        <v>29</v>
      </c>
      <c r="B161" s="3258" t="s">
        <v>2989</v>
      </c>
      <c r="C161" s="3259">
        <v>0.13</v>
      </c>
      <c r="D161" s="3259">
        <v>0.13</v>
      </c>
      <c r="E161" s="3259">
        <v>0.124</v>
      </c>
      <c r="F161" s="3259">
        <v>0.127</v>
      </c>
      <c r="G161" s="3260">
        <v>0.13</v>
      </c>
    </row>
    <row r="162" spans="1:7">
      <c r="A162" s="3269" t="s">
        <v>29</v>
      </c>
      <c r="B162" s="3258" t="s">
        <v>2994</v>
      </c>
      <c r="C162" s="3259">
        <v>0.1</v>
      </c>
      <c r="D162" s="3259">
        <v>0.1</v>
      </c>
      <c r="E162" s="3259">
        <v>0.1</v>
      </c>
      <c r="F162" s="3259">
        <v>0.121</v>
      </c>
      <c r="G162" s="3260">
        <v>0.105</v>
      </c>
    </row>
    <row r="163" spans="1:7">
      <c r="A163" s="3269" t="s">
        <v>29</v>
      </c>
      <c r="B163" s="3258" t="s">
        <v>2999</v>
      </c>
      <c r="C163" s="3259">
        <v>0.1</v>
      </c>
      <c r="D163" s="3259">
        <v>0.1</v>
      </c>
      <c r="E163" s="3259">
        <v>0.1</v>
      </c>
      <c r="F163" s="3259">
        <v>0.1</v>
      </c>
      <c r="G163" s="3260">
        <v>0.1</v>
      </c>
    </row>
    <row r="164" spans="1:7">
      <c r="A164" s="3269" t="s">
        <v>29</v>
      </c>
      <c r="B164" s="3258" t="s">
        <v>3004</v>
      </c>
      <c r="C164" s="3275"/>
      <c r="D164" s="3275"/>
      <c r="E164" s="3275"/>
      <c r="F164" s="3259">
        <v>0.1</v>
      </c>
      <c r="G164" s="3271"/>
    </row>
    <row r="165" spans="1:7">
      <c r="A165" s="3269" t="s">
        <v>29</v>
      </c>
      <c r="B165" s="3258" t="s">
        <v>3175</v>
      </c>
      <c r="C165" s="3259">
        <v>0.126</v>
      </c>
      <c r="D165" s="3259">
        <v>0.126</v>
      </c>
      <c r="E165" s="3259">
        <v>0.11899999999999999</v>
      </c>
      <c r="F165" s="3259">
        <v>0.13</v>
      </c>
      <c r="G165" s="3260">
        <v>0.128</v>
      </c>
    </row>
    <row r="166" spans="1:7">
      <c r="A166" s="3269" t="s">
        <v>29</v>
      </c>
      <c r="B166" s="3258" t="s">
        <v>3014</v>
      </c>
      <c r="C166" s="3259">
        <v>0.129</v>
      </c>
      <c r="D166" s="3259">
        <v>0.129</v>
      </c>
      <c r="E166" s="3259">
        <v>0.123</v>
      </c>
      <c r="F166" s="3259">
        <v>0.128</v>
      </c>
      <c r="G166" s="3260">
        <v>0.13</v>
      </c>
    </row>
    <row r="167" spans="1:7">
      <c r="A167" s="3269" t="s">
        <v>29</v>
      </c>
      <c r="B167" s="3258" t="s">
        <v>3018</v>
      </c>
      <c r="C167" s="3259">
        <v>0.125</v>
      </c>
      <c r="D167" s="3259">
        <v>0.125</v>
      </c>
      <c r="E167" s="3259">
        <v>0.11700000000000001</v>
      </c>
      <c r="F167" s="3259">
        <v>0.13</v>
      </c>
      <c r="G167" s="3260">
        <v>0.126</v>
      </c>
    </row>
    <row r="168" spans="1:7">
      <c r="A168" s="3269" t="s">
        <v>29</v>
      </c>
      <c r="B168" s="3258" t="s">
        <v>3023</v>
      </c>
      <c r="C168" s="3259">
        <v>0.128</v>
      </c>
      <c r="D168" s="3259">
        <v>0.128</v>
      </c>
      <c r="E168" s="3259">
        <v>0.123</v>
      </c>
      <c r="F168" s="3270"/>
      <c r="G168" s="3260">
        <v>0.13</v>
      </c>
    </row>
    <row r="169" spans="1:7">
      <c r="A169" s="3269" t="s">
        <v>29</v>
      </c>
      <c r="B169" s="3258" t="s">
        <v>3176</v>
      </c>
      <c r="C169" s="3275"/>
      <c r="D169" s="3275"/>
      <c r="E169" s="3275"/>
      <c r="F169" s="3259">
        <v>0.05</v>
      </c>
      <c r="G169" s="3271"/>
    </row>
    <row r="170" spans="1:7">
      <c r="A170" s="3269" t="s">
        <v>29</v>
      </c>
      <c r="B170" s="3258" t="s">
        <v>3177</v>
      </c>
      <c r="C170" s="3275"/>
      <c r="D170" s="3275"/>
      <c r="E170" s="3275"/>
      <c r="F170" s="3259">
        <v>0.05</v>
      </c>
      <c r="G170" s="3271"/>
    </row>
    <row r="171" spans="1:7">
      <c r="A171" s="3269" t="s">
        <v>29</v>
      </c>
      <c r="B171" s="3258" t="s">
        <v>3178</v>
      </c>
      <c r="C171" s="3275"/>
      <c r="D171" s="3275"/>
      <c r="E171" s="3275"/>
      <c r="F171" s="3259">
        <v>0.05</v>
      </c>
      <c r="G171" s="3276"/>
    </row>
    <row r="172" spans="1:7">
      <c r="A172" s="3269" t="s">
        <v>29</v>
      </c>
      <c r="B172" s="3258" t="s">
        <v>3179</v>
      </c>
      <c r="C172" s="3275"/>
      <c r="D172" s="3275"/>
      <c r="E172" s="3275"/>
      <c r="F172" s="3259">
        <v>0.05</v>
      </c>
      <c r="G172" s="3276"/>
    </row>
    <row r="173" spans="1:7">
      <c r="A173" s="3269" t="s">
        <v>29</v>
      </c>
      <c r="B173" s="3258" t="s">
        <v>3180</v>
      </c>
      <c r="C173" s="3275"/>
      <c r="D173" s="3275"/>
      <c r="E173" s="3275"/>
      <c r="F173" s="3259">
        <v>0.05</v>
      </c>
      <c r="G173" s="3271"/>
    </row>
    <row r="174" spans="1:7">
      <c r="A174" s="3269" t="s">
        <v>29</v>
      </c>
      <c r="B174" s="3258" t="s">
        <v>3181</v>
      </c>
      <c r="C174" s="3275"/>
      <c r="D174" s="3275"/>
      <c r="E174" s="3275"/>
      <c r="F174" s="3259">
        <v>0.05</v>
      </c>
      <c r="G174" s="3271"/>
    </row>
    <row r="175" spans="1:7">
      <c r="A175" s="3269" t="s">
        <v>29</v>
      </c>
      <c r="B175" s="3258" t="s">
        <v>3182</v>
      </c>
      <c r="C175" s="3275"/>
      <c r="D175" s="3275"/>
      <c r="E175" s="3275"/>
      <c r="F175" s="3259">
        <v>0.05</v>
      </c>
      <c r="G175" s="3271"/>
    </row>
    <row r="176" spans="1:7">
      <c r="A176" s="3269" t="s">
        <v>29</v>
      </c>
      <c r="B176" s="3258" t="s">
        <v>3183</v>
      </c>
      <c r="C176" s="3275"/>
      <c r="D176" s="3275"/>
      <c r="E176" s="3275"/>
      <c r="F176" s="3259">
        <v>0.05</v>
      </c>
      <c r="G176" s="3271"/>
    </row>
    <row r="177" spans="1:7">
      <c r="A177" s="3269" t="s">
        <v>29</v>
      </c>
      <c r="B177" s="3258" t="s">
        <v>3184</v>
      </c>
      <c r="C177" s="3270"/>
      <c r="D177" s="3270"/>
      <c r="E177" s="3270"/>
      <c r="F177" s="3259">
        <v>0.05</v>
      </c>
      <c r="G177" s="3276"/>
    </row>
    <row r="178" spans="1:7">
      <c r="A178" s="3269" t="s">
        <v>29</v>
      </c>
      <c r="B178" s="3258" t="s">
        <v>3185</v>
      </c>
      <c r="C178" s="3270"/>
      <c r="D178" s="3270"/>
      <c r="E178" s="3270"/>
      <c r="F178" s="3259">
        <v>0.05</v>
      </c>
      <c r="G178" s="3276"/>
    </row>
    <row r="179" spans="1:7">
      <c r="A179" s="3269" t="s">
        <v>29</v>
      </c>
      <c r="B179" s="3258" t="s">
        <v>3186</v>
      </c>
      <c r="C179" s="3270"/>
      <c r="D179" s="3270"/>
      <c r="E179" s="3270"/>
      <c r="F179" s="3259">
        <v>0.05</v>
      </c>
      <c r="G179" s="3276"/>
    </row>
    <row r="180" spans="1:7">
      <c r="A180" s="3269" t="s">
        <v>29</v>
      </c>
      <c r="B180" s="3258" t="s">
        <v>3187</v>
      </c>
      <c r="C180" s="3270"/>
      <c r="D180" s="3270"/>
      <c r="E180" s="3270"/>
      <c r="F180" s="3259">
        <v>0.05</v>
      </c>
      <c r="G180" s="3276"/>
    </row>
    <row r="181" spans="1:7">
      <c r="A181" s="3269" t="s">
        <v>29</v>
      </c>
      <c r="B181" s="3258" t="s">
        <v>3188</v>
      </c>
      <c r="C181" s="3270"/>
      <c r="D181" s="3270"/>
      <c r="E181" s="3270"/>
      <c r="F181" s="3259">
        <v>0.05</v>
      </c>
      <c r="G181" s="3276"/>
    </row>
    <row r="182" spans="1:7">
      <c r="A182" s="3269" t="s">
        <v>29</v>
      </c>
      <c r="B182" s="3258" t="s">
        <v>3189</v>
      </c>
      <c r="C182" s="3270"/>
      <c r="D182" s="3270"/>
      <c r="E182" s="3270"/>
      <c r="F182" s="3259">
        <v>0.05</v>
      </c>
      <c r="G182" s="3276"/>
    </row>
    <row r="183" spans="1:7">
      <c r="A183" s="3269" t="s">
        <v>29</v>
      </c>
      <c r="B183" s="3258" t="s">
        <v>3190</v>
      </c>
      <c r="C183" s="3270"/>
      <c r="D183" s="3270"/>
      <c r="E183" s="3270"/>
      <c r="F183" s="3259">
        <v>0.05</v>
      </c>
      <c r="G183" s="3276"/>
    </row>
    <row r="184" spans="1:7">
      <c r="A184" s="3269" t="s">
        <v>29</v>
      </c>
      <c r="B184" s="3258" t="s">
        <v>3191</v>
      </c>
      <c r="C184" s="3270"/>
      <c r="D184" s="3270"/>
      <c r="E184" s="3270"/>
      <c r="F184" s="3259">
        <v>0.05</v>
      </c>
      <c r="G184" s="3276"/>
    </row>
    <row r="185" spans="1:7">
      <c r="A185" s="3269" t="s">
        <v>29</v>
      </c>
      <c r="B185" s="3258" t="s">
        <v>3192</v>
      </c>
      <c r="C185" s="3270"/>
      <c r="D185" s="3270"/>
      <c r="E185" s="3270"/>
      <c r="F185" s="3259">
        <v>0.05</v>
      </c>
      <c r="G185" s="3276"/>
    </row>
    <row r="186" spans="1:7">
      <c r="A186" s="3269" t="s">
        <v>29</v>
      </c>
      <c r="B186" s="3258" t="s">
        <v>3193</v>
      </c>
      <c r="C186" s="3270"/>
      <c r="D186" s="3270"/>
      <c r="E186" s="3270"/>
      <c r="F186" s="3259">
        <v>0.05</v>
      </c>
      <c r="G186" s="3276"/>
    </row>
    <row r="187" spans="1:7">
      <c r="A187" s="3269" t="s">
        <v>29</v>
      </c>
      <c r="B187" s="3258" t="s">
        <v>3194</v>
      </c>
      <c r="C187" s="3270"/>
      <c r="D187" s="3270"/>
      <c r="E187" s="3270"/>
      <c r="F187" s="3259">
        <v>0.05</v>
      </c>
      <c r="G187" s="3276"/>
    </row>
    <row r="188" spans="1:7">
      <c r="A188" s="3269" t="s">
        <v>29</v>
      </c>
      <c r="B188" s="3258" t="s">
        <v>3195</v>
      </c>
      <c r="C188" s="3270"/>
      <c r="D188" s="3270"/>
      <c r="E188" s="3270"/>
      <c r="F188" s="3259">
        <v>0.05</v>
      </c>
      <c r="G188" s="3276"/>
    </row>
    <row r="189" spans="1:7" ht="14.25" thickBot="1">
      <c r="A189" s="3272" t="s">
        <v>29</v>
      </c>
      <c r="B189" s="3262" t="s">
        <v>3196</v>
      </c>
      <c r="C189" s="3264"/>
      <c r="D189" s="3264"/>
      <c r="E189" s="3264"/>
      <c r="F189" s="3263">
        <v>0.05</v>
      </c>
      <c r="G189" s="3277"/>
    </row>
    <row r="190" spans="1:7">
      <c r="A190" s="3268" t="s">
        <v>304</v>
      </c>
      <c r="B190" s="3254" t="s">
        <v>2852</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2888</v>
      </c>
      <c r="C199" s="3259">
        <v>0.13</v>
      </c>
      <c r="D199" s="3259">
        <v>0.13</v>
      </c>
      <c r="E199" s="3259">
        <v>0.13</v>
      </c>
      <c r="F199" s="3259">
        <v>0.13</v>
      </c>
      <c r="G199" s="3260">
        <v>0.13</v>
      </c>
    </row>
    <row r="200" spans="1:7">
      <c r="A200" s="3269" t="s">
        <v>304</v>
      </c>
      <c r="B200" s="3258" t="s">
        <v>2891</v>
      </c>
      <c r="C200" s="3275"/>
      <c r="D200" s="3275"/>
      <c r="E200" s="3275"/>
      <c r="F200" s="3259">
        <v>0.13</v>
      </c>
      <c r="G200" s="3271"/>
    </row>
    <row r="201" spans="1:7">
      <c r="A201" s="3269" t="s">
        <v>304</v>
      </c>
      <c r="B201" s="3258" t="s">
        <v>2896</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2899</v>
      </c>
      <c r="C203" s="3259">
        <v>0.129</v>
      </c>
      <c r="D203" s="3259">
        <v>0.129</v>
      </c>
      <c r="E203" s="3259">
        <v>0.13</v>
      </c>
      <c r="F203" s="3259">
        <v>0.13</v>
      </c>
      <c r="G203" s="3260">
        <v>0.13</v>
      </c>
    </row>
    <row r="204" spans="1:7">
      <c r="A204" s="3269" t="s">
        <v>304</v>
      </c>
      <c r="B204" s="3258" t="s">
        <v>2902</v>
      </c>
      <c r="C204" s="3259">
        <v>0.129</v>
      </c>
      <c r="D204" s="3259">
        <v>0.129</v>
      </c>
      <c r="E204" s="3259">
        <v>0.123</v>
      </c>
      <c r="F204" s="3259">
        <v>0.13</v>
      </c>
      <c r="G204" s="3260">
        <v>0.13</v>
      </c>
    </row>
    <row r="205" spans="1:7">
      <c r="A205" s="3269" t="s">
        <v>304</v>
      </c>
      <c r="B205" s="3258" t="s">
        <v>2904</v>
      </c>
      <c r="C205" s="3259">
        <v>0.13</v>
      </c>
      <c r="D205" s="3259">
        <v>0.13</v>
      </c>
      <c r="E205" s="3259">
        <v>0.13</v>
      </c>
      <c r="F205" s="3259">
        <v>0.13</v>
      </c>
      <c r="G205" s="3260">
        <v>0.13</v>
      </c>
    </row>
    <row r="206" spans="1:7">
      <c r="A206" s="3269" t="s">
        <v>304</v>
      </c>
      <c r="B206" s="3258" t="s">
        <v>2907</v>
      </c>
      <c r="C206" s="3259">
        <v>0.13</v>
      </c>
      <c r="D206" s="3259">
        <v>0.13</v>
      </c>
      <c r="E206" s="3259">
        <v>0.13</v>
      </c>
      <c r="F206" s="3259">
        <v>0.128</v>
      </c>
      <c r="G206" s="3260">
        <v>0.13</v>
      </c>
    </row>
    <row r="207" spans="1:7">
      <c r="A207" s="3269" t="s">
        <v>304</v>
      </c>
      <c r="B207" s="3258" t="s">
        <v>2909</v>
      </c>
      <c r="C207" s="3259">
        <v>0.13</v>
      </c>
      <c r="D207" s="3259">
        <v>0.13</v>
      </c>
      <c r="E207" s="3259">
        <v>0.13</v>
      </c>
      <c r="F207" s="3259">
        <v>0.13</v>
      </c>
      <c r="G207" s="3260">
        <v>0.13</v>
      </c>
    </row>
    <row r="208" spans="1:7">
      <c r="A208" s="3269" t="s">
        <v>304</v>
      </c>
      <c r="B208" s="3258" t="s">
        <v>2912</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2919</v>
      </c>
      <c r="C210" s="3259">
        <v>0.121</v>
      </c>
      <c r="D210" s="3259">
        <v>0.121</v>
      </c>
      <c r="E210" s="3259">
        <v>0.125</v>
      </c>
      <c r="F210" s="3259">
        <v>0.13</v>
      </c>
      <c r="G210" s="3260">
        <v>0.123</v>
      </c>
    </row>
    <row r="211" spans="1:7">
      <c r="A211" s="3269" t="s">
        <v>304</v>
      </c>
      <c r="B211" s="3258" t="s">
        <v>2922</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2934</v>
      </c>
      <c r="C214" s="3259">
        <v>0.128</v>
      </c>
      <c r="D214" s="3259">
        <v>0.128</v>
      </c>
      <c r="E214" s="3259">
        <v>0.13</v>
      </c>
      <c r="F214" s="3259">
        <v>0.13</v>
      </c>
      <c r="G214" s="3260">
        <v>0.13</v>
      </c>
    </row>
    <row r="215" spans="1:7">
      <c r="A215" s="3269" t="s">
        <v>304</v>
      </c>
      <c r="B215" s="3258" t="s">
        <v>2938</v>
      </c>
      <c r="C215" s="3259">
        <v>0.13</v>
      </c>
      <c r="D215" s="3259">
        <v>0.13</v>
      </c>
      <c r="E215" s="3259">
        <v>0.13</v>
      </c>
      <c r="F215" s="3259">
        <v>0.129</v>
      </c>
      <c r="G215" s="3260">
        <v>0.13</v>
      </c>
    </row>
    <row r="216" spans="1:7">
      <c r="A216" s="3269" t="s">
        <v>304</v>
      </c>
      <c r="B216" s="3258" t="s">
        <v>2945</v>
      </c>
      <c r="C216" s="3259">
        <v>0.13</v>
      </c>
      <c r="D216" s="3259">
        <v>0.13</v>
      </c>
      <c r="E216" s="3259">
        <v>0.13</v>
      </c>
      <c r="F216" s="3259">
        <v>0.13</v>
      </c>
      <c r="G216" s="3260">
        <v>0.13</v>
      </c>
    </row>
    <row r="217" spans="1:7">
      <c r="A217" s="3269" t="s">
        <v>304</v>
      </c>
      <c r="B217" s="3258" t="s">
        <v>2952</v>
      </c>
      <c r="C217" s="3259">
        <v>0.129</v>
      </c>
      <c r="D217" s="3259">
        <v>0.129</v>
      </c>
      <c r="E217" s="3259">
        <v>0.13</v>
      </c>
      <c r="F217" s="3259">
        <v>0.13</v>
      </c>
      <c r="G217" s="3260">
        <v>0.13</v>
      </c>
    </row>
    <row r="218" spans="1:7">
      <c r="A218" s="3269" t="s">
        <v>304</v>
      </c>
      <c r="B218" s="3258" t="s">
        <v>2958</v>
      </c>
      <c r="C218" s="3270"/>
      <c r="D218" s="3270"/>
      <c r="E218" s="3270"/>
      <c r="F218" s="3259">
        <v>0.05</v>
      </c>
      <c r="G218" s="3276"/>
    </row>
    <row r="219" spans="1:7">
      <c r="A219" s="3269" t="s">
        <v>304</v>
      </c>
      <c r="B219" s="3258" t="s">
        <v>2965</v>
      </c>
      <c r="C219" s="3270"/>
      <c r="D219" s="3270"/>
      <c r="E219" s="3270"/>
      <c r="F219" s="3259">
        <v>0.05</v>
      </c>
      <c r="G219" s="3276"/>
    </row>
    <row r="220" spans="1:7">
      <c r="A220" s="3269" t="s">
        <v>304</v>
      </c>
      <c r="B220" s="3258" t="s">
        <v>2971</v>
      </c>
      <c r="C220" s="3270"/>
      <c r="D220" s="3270"/>
      <c r="E220" s="3270"/>
      <c r="F220" s="3259">
        <v>0.05</v>
      </c>
      <c r="G220" s="3276"/>
    </row>
    <row r="221" spans="1:7">
      <c r="A221" s="3269" t="s">
        <v>304</v>
      </c>
      <c r="B221" s="3258" t="s">
        <v>2976</v>
      </c>
      <c r="C221" s="3270"/>
      <c r="D221" s="3270"/>
      <c r="E221" s="3270"/>
      <c r="F221" s="3259">
        <v>0.05</v>
      </c>
      <c r="G221" s="3276"/>
    </row>
    <row r="222" spans="1:7">
      <c r="A222" s="3269" t="s">
        <v>304</v>
      </c>
      <c r="B222" s="3258" t="s">
        <v>2980</v>
      </c>
      <c r="C222" s="3270"/>
      <c r="D222" s="3270"/>
      <c r="E222" s="3270"/>
      <c r="F222" s="3259">
        <v>0.05</v>
      </c>
      <c r="G222" s="3276"/>
    </row>
    <row r="223" spans="1:7">
      <c r="A223" s="3269" t="s">
        <v>304</v>
      </c>
      <c r="B223" s="3258" t="s">
        <v>2985</v>
      </c>
      <c r="C223" s="3270"/>
      <c r="D223" s="3270"/>
      <c r="E223" s="3270"/>
      <c r="F223" s="3259">
        <v>0.05</v>
      </c>
      <c r="G223" s="3276"/>
    </row>
    <row r="224" spans="1:7">
      <c r="A224" s="3269" t="s">
        <v>304</v>
      </c>
      <c r="B224" s="3258" t="s">
        <v>2990</v>
      </c>
      <c r="C224" s="3270"/>
      <c r="D224" s="3270"/>
      <c r="E224" s="3270"/>
      <c r="F224" s="3259">
        <v>0.05</v>
      </c>
      <c r="G224" s="3276"/>
    </row>
    <row r="225" spans="1:7">
      <c r="A225" s="3269" t="s">
        <v>304</v>
      </c>
      <c r="B225" s="3258" t="s">
        <v>2995</v>
      </c>
      <c r="C225" s="3270"/>
      <c r="D225" s="3270"/>
      <c r="E225" s="3270"/>
      <c r="F225" s="3259">
        <v>0.05</v>
      </c>
      <c r="G225" s="3276"/>
    </row>
    <row r="226" spans="1:7">
      <c r="A226" s="3269" t="s">
        <v>304</v>
      </c>
      <c r="B226" s="3258" t="s">
        <v>3197</v>
      </c>
      <c r="C226" s="3270"/>
      <c r="D226" s="3270"/>
      <c r="E226" s="3270"/>
      <c r="F226" s="3259">
        <v>0.05</v>
      </c>
      <c r="G226" s="3276"/>
    </row>
    <row r="227" spans="1:7">
      <c r="A227" s="3269" t="s">
        <v>304</v>
      </c>
      <c r="B227" s="3258" t="s">
        <v>3198</v>
      </c>
      <c r="C227" s="3270"/>
      <c r="D227" s="3270"/>
      <c r="E227" s="3270"/>
      <c r="F227" s="3259">
        <v>0.05</v>
      </c>
      <c r="G227" s="3276"/>
    </row>
    <row r="228" spans="1:7">
      <c r="A228" s="3269" t="s">
        <v>304</v>
      </c>
      <c r="B228" s="3258" t="s">
        <v>3199</v>
      </c>
      <c r="C228" s="3270"/>
      <c r="D228" s="3270"/>
      <c r="E228" s="3270"/>
      <c r="F228" s="3259">
        <v>0.05</v>
      </c>
      <c r="G228" s="3276"/>
    </row>
    <row r="229" spans="1:7">
      <c r="A229" s="3269" t="s">
        <v>304</v>
      </c>
      <c r="B229" s="3258" t="s">
        <v>3200</v>
      </c>
      <c r="C229" s="3270"/>
      <c r="D229" s="3270"/>
      <c r="E229" s="3270"/>
      <c r="F229" s="3259">
        <v>0.05</v>
      </c>
      <c r="G229" s="3276"/>
    </row>
    <row r="230" spans="1:7">
      <c r="A230" s="3269" t="s">
        <v>304</v>
      </c>
      <c r="B230" s="3258" t="s">
        <v>3201</v>
      </c>
      <c r="C230" s="3270"/>
      <c r="D230" s="3270"/>
      <c r="E230" s="3270"/>
      <c r="F230" s="3259">
        <v>0.05</v>
      </c>
      <c r="G230" s="3276"/>
    </row>
    <row r="231" spans="1:7">
      <c r="A231" s="3269" t="s">
        <v>304</v>
      </c>
      <c r="B231" s="3258" t="s">
        <v>3202</v>
      </c>
      <c r="C231" s="3270"/>
      <c r="D231" s="3270"/>
      <c r="E231" s="3270"/>
      <c r="F231" s="3259">
        <v>0.05</v>
      </c>
      <c r="G231" s="3276"/>
    </row>
    <row r="232" spans="1:7">
      <c r="A232" s="3269" t="s">
        <v>304</v>
      </c>
      <c r="B232" s="3258" t="s">
        <v>3203</v>
      </c>
      <c r="C232" s="3270"/>
      <c r="D232" s="3270"/>
      <c r="E232" s="3270"/>
      <c r="F232" s="3259">
        <v>0.05</v>
      </c>
      <c r="G232" s="3276"/>
    </row>
    <row r="233" spans="1:7" ht="14.25" thickBot="1">
      <c r="A233" s="3272" t="s">
        <v>304</v>
      </c>
      <c r="B233" s="3262" t="s">
        <v>3204</v>
      </c>
      <c r="C233" s="3264"/>
      <c r="D233" s="3264"/>
      <c r="E233" s="3264"/>
      <c r="F233" s="3263">
        <v>0.05</v>
      </c>
      <c r="G233" s="3277"/>
    </row>
    <row r="234" spans="1:7">
      <c r="A234" s="3268" t="s">
        <v>305</v>
      </c>
      <c r="B234" s="3254" t="s">
        <v>2853</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2873</v>
      </c>
      <c r="C238" s="3259">
        <v>0.14899999999999999</v>
      </c>
      <c r="D238" s="3259">
        <v>0.14899999999999999</v>
      </c>
      <c r="E238" s="3259">
        <v>0.15</v>
      </c>
      <c r="F238" s="3259">
        <v>0.15</v>
      </c>
      <c r="G238" s="3260">
        <v>0.15</v>
      </c>
    </row>
    <row r="239" spans="1:7">
      <c r="A239" s="3269" t="s">
        <v>305</v>
      </c>
      <c r="B239" s="3258" t="s">
        <v>2877</v>
      </c>
      <c r="C239" s="3259">
        <v>0.15</v>
      </c>
      <c r="D239" s="3259">
        <v>0.15</v>
      </c>
      <c r="E239" s="3259">
        <v>0.15</v>
      </c>
      <c r="F239" s="3259">
        <v>0.15</v>
      </c>
      <c r="G239" s="3260">
        <v>0.15</v>
      </c>
    </row>
    <row r="240" spans="1:7">
      <c r="A240" s="3269" t="s">
        <v>305</v>
      </c>
      <c r="B240" s="3258" t="s">
        <v>2882</v>
      </c>
      <c r="C240" s="3259">
        <v>0.15</v>
      </c>
      <c r="D240" s="3259">
        <v>0.15</v>
      </c>
      <c r="E240" s="3259">
        <v>0.15</v>
      </c>
      <c r="F240" s="3259">
        <v>0.15</v>
      </c>
      <c r="G240" s="3260">
        <v>0.15</v>
      </c>
    </row>
    <row r="241" spans="1:7">
      <c r="A241" s="3269" t="s">
        <v>305</v>
      </c>
      <c r="B241" s="3258" t="s">
        <v>2886</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2892</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2900</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2905</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2913</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2926</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2935</v>
      </c>
      <c r="C258" s="3259">
        <v>0.14299999999999999</v>
      </c>
      <c r="D258" s="3259">
        <v>0.14299999999999999</v>
      </c>
      <c r="E258" s="3259">
        <v>0.15</v>
      </c>
      <c r="F258" s="3259">
        <v>0.14799999999999999</v>
      </c>
      <c r="G258" s="3260">
        <v>0.14599999999999999</v>
      </c>
    </row>
    <row r="259" spans="1:7">
      <c r="A259" s="3269" t="s">
        <v>305</v>
      </c>
      <c r="B259" s="3258" t="s">
        <v>2939</v>
      </c>
      <c r="C259" s="3259">
        <v>0.14399999999999999</v>
      </c>
      <c r="D259" s="3259">
        <v>0.14399999999999999</v>
      </c>
      <c r="E259" s="3259">
        <v>0.14899999999999999</v>
      </c>
      <c r="F259" s="3259">
        <v>0.14699999999999999</v>
      </c>
      <c r="G259" s="3260">
        <v>0.14599999999999999</v>
      </c>
    </row>
    <row r="260" spans="1:7">
      <c r="A260" s="3269" t="s">
        <v>305</v>
      </c>
      <c r="B260" s="3258" t="s">
        <v>2946</v>
      </c>
      <c r="C260" s="3259">
        <v>0.109</v>
      </c>
      <c r="D260" s="3259">
        <v>0.111</v>
      </c>
      <c r="E260" s="3259">
        <v>0.13100000000000001</v>
      </c>
      <c r="F260" s="3259">
        <v>0.126</v>
      </c>
      <c r="G260" s="3260">
        <v>0.11899999999999999</v>
      </c>
    </row>
    <row r="261" spans="1:7">
      <c r="A261" s="3269" t="s">
        <v>305</v>
      </c>
      <c r="B261" s="3258" t="s">
        <v>2953</v>
      </c>
      <c r="C261" s="3259">
        <v>0.1</v>
      </c>
      <c r="D261" s="3259">
        <v>0.1</v>
      </c>
      <c r="E261" s="3259">
        <v>0.11799999999999999</v>
      </c>
      <c r="F261" s="3259">
        <v>0.108</v>
      </c>
      <c r="G261" s="3260">
        <v>0.107</v>
      </c>
    </row>
    <row r="262" spans="1:7">
      <c r="A262" s="3269" t="s">
        <v>305</v>
      </c>
      <c r="B262" s="3258" t="s">
        <v>2959</v>
      </c>
      <c r="C262" s="3259">
        <v>0.1</v>
      </c>
      <c r="D262" s="3259">
        <v>0.1</v>
      </c>
      <c r="E262" s="3259">
        <v>0.1</v>
      </c>
      <c r="F262" s="3259">
        <v>0.14099999999999999</v>
      </c>
      <c r="G262" s="3260">
        <v>0.1</v>
      </c>
    </row>
    <row r="263" spans="1:7">
      <c r="A263" s="3269" t="s">
        <v>305</v>
      </c>
      <c r="B263" s="3258" t="s">
        <v>2966</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2977</v>
      </c>
      <c r="C265" s="3270"/>
      <c r="D265" s="3270"/>
      <c r="E265" s="3270"/>
      <c r="F265" s="3259">
        <v>0.05</v>
      </c>
      <c r="G265" s="3276"/>
    </row>
    <row r="266" spans="1:7">
      <c r="A266" s="3269" t="s">
        <v>305</v>
      </c>
      <c r="B266" s="3258" t="s">
        <v>2981</v>
      </c>
      <c r="C266" s="3270"/>
      <c r="D266" s="3270"/>
      <c r="E266" s="3270"/>
      <c r="F266" s="3259">
        <v>0.05</v>
      </c>
      <c r="G266" s="3276"/>
    </row>
    <row r="267" spans="1:7">
      <c r="A267" s="3269" t="s">
        <v>305</v>
      </c>
      <c r="B267" s="3258" t="s">
        <v>2986</v>
      </c>
      <c r="C267" s="3270"/>
      <c r="D267" s="3270"/>
      <c r="E267" s="3270"/>
      <c r="F267" s="3259">
        <v>0.05</v>
      </c>
      <c r="G267" s="3276"/>
    </row>
    <row r="268" spans="1:7">
      <c r="A268" s="3269" t="s">
        <v>305</v>
      </c>
      <c r="B268" s="3258" t="s">
        <v>2991</v>
      </c>
      <c r="C268" s="3270"/>
      <c r="D268" s="3270"/>
      <c r="E268" s="3270"/>
      <c r="F268" s="3259">
        <v>0.05</v>
      </c>
      <c r="G268" s="3276"/>
    </row>
    <row r="269" spans="1:7">
      <c r="A269" s="3269" t="s">
        <v>305</v>
      </c>
      <c r="B269" s="3258" t="s">
        <v>2996</v>
      </c>
      <c r="C269" s="3270"/>
      <c r="D269" s="3270"/>
      <c r="E269" s="3270"/>
      <c r="F269" s="3259">
        <v>0.05</v>
      </c>
      <c r="G269" s="3276"/>
    </row>
    <row r="270" spans="1:7">
      <c r="A270" s="3269" t="s">
        <v>305</v>
      </c>
      <c r="B270" s="3258" t="s">
        <v>3001</v>
      </c>
      <c r="C270" s="3270"/>
      <c r="D270" s="3270"/>
      <c r="E270" s="3270"/>
      <c r="F270" s="3259">
        <v>0.05</v>
      </c>
      <c r="G270" s="3276"/>
    </row>
    <row r="271" spans="1:7">
      <c r="A271" s="3269" t="s">
        <v>305</v>
      </c>
      <c r="B271" s="3258" t="s">
        <v>3205</v>
      </c>
      <c r="C271" s="3270"/>
      <c r="D271" s="3270"/>
      <c r="E271" s="3270"/>
      <c r="F271" s="3259">
        <v>0.05</v>
      </c>
      <c r="G271" s="3276"/>
    </row>
    <row r="272" spans="1:7">
      <c r="A272" s="3269" t="s">
        <v>305</v>
      </c>
      <c r="B272" s="3258" t="s">
        <v>3206</v>
      </c>
      <c r="C272" s="3270"/>
      <c r="D272" s="3270"/>
      <c r="E272" s="3270"/>
      <c r="F272" s="3259">
        <v>0.05</v>
      </c>
      <c r="G272" s="3276"/>
    </row>
    <row r="273" spans="1:7">
      <c r="A273" s="3269" t="s">
        <v>305</v>
      </c>
      <c r="B273" s="3258" t="s">
        <v>3207</v>
      </c>
      <c r="C273" s="3270"/>
      <c r="D273" s="3270"/>
      <c r="E273" s="3270"/>
      <c r="F273" s="3259">
        <v>0.05</v>
      </c>
      <c r="G273" s="3276"/>
    </row>
    <row r="274" spans="1:7">
      <c r="A274" s="3269" t="s">
        <v>305</v>
      </c>
      <c r="B274" s="3258" t="s">
        <v>3208</v>
      </c>
      <c r="C274" s="3270"/>
      <c r="D274" s="3270"/>
      <c r="E274" s="3270"/>
      <c r="F274" s="3259">
        <v>0.05</v>
      </c>
      <c r="G274" s="3276"/>
    </row>
    <row r="275" spans="1:7">
      <c r="A275" s="3269" t="s">
        <v>305</v>
      </c>
      <c r="B275" s="3258" t="s">
        <v>3209</v>
      </c>
      <c r="C275" s="3270"/>
      <c r="D275" s="3270"/>
      <c r="E275" s="3270"/>
      <c r="F275" s="3259">
        <v>0.05</v>
      </c>
      <c r="G275" s="3276"/>
    </row>
    <row r="276" spans="1:7" ht="14.25" thickBot="1">
      <c r="A276" s="3272" t="s">
        <v>305</v>
      </c>
      <c r="B276" s="3262" t="s">
        <v>3210</v>
      </c>
      <c r="C276" s="3264"/>
      <c r="D276" s="3264"/>
      <c r="E276" s="3264"/>
      <c r="F276" s="3263">
        <v>0.05</v>
      </c>
      <c r="G276" s="3277"/>
    </row>
    <row r="277" spans="1:7">
      <c r="A277" s="3268" t="s">
        <v>306</v>
      </c>
      <c r="B277" s="3254" t="s">
        <v>2854</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2866</v>
      </c>
      <c r="C279" s="3259">
        <v>0.15</v>
      </c>
      <c r="D279" s="3259">
        <v>0.15</v>
      </c>
      <c r="E279" s="3259">
        <v>0.15</v>
      </c>
      <c r="F279" s="3259">
        <v>0.15</v>
      </c>
      <c r="G279" s="3260">
        <v>0.15</v>
      </c>
    </row>
    <row r="280" spans="1:7">
      <c r="A280" s="3269" t="s">
        <v>306</v>
      </c>
      <c r="B280" s="3258" t="s">
        <v>2870</v>
      </c>
      <c r="C280" s="3259">
        <v>0.15</v>
      </c>
      <c r="D280" s="3259">
        <v>0.15</v>
      </c>
      <c r="E280" s="3259">
        <v>0.15</v>
      </c>
      <c r="F280" s="3259">
        <v>0.15</v>
      </c>
      <c r="G280" s="3260">
        <v>0.15</v>
      </c>
    </row>
    <row r="281" spans="1:7">
      <c r="A281" s="3269" t="s">
        <v>306</v>
      </c>
      <c r="B281" s="3258" t="s">
        <v>2874</v>
      </c>
      <c r="C281" s="3259">
        <v>0.15</v>
      </c>
      <c r="D281" s="3259">
        <v>0.15</v>
      </c>
      <c r="E281" s="3259">
        <v>0.15</v>
      </c>
      <c r="F281" s="3259">
        <v>0.15</v>
      </c>
      <c r="G281" s="3260">
        <v>0.15</v>
      </c>
    </row>
    <row r="282" spans="1:7">
      <c r="A282" s="3269" t="s">
        <v>306</v>
      </c>
      <c r="B282" s="3258" t="s">
        <v>2878</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2893</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2898</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2908</v>
      </c>
      <c r="C293" s="3259">
        <v>0.15</v>
      </c>
      <c r="D293" s="3259">
        <v>0.15</v>
      </c>
      <c r="E293" s="3259">
        <v>0.15</v>
      </c>
      <c r="F293" s="3259">
        <v>0.14499999999999999</v>
      </c>
      <c r="G293" s="3260">
        <v>0.15</v>
      </c>
    </row>
    <row r="294" spans="1:7">
      <c r="A294" s="3269" t="s">
        <v>306</v>
      </c>
      <c r="B294" s="3258" t="s">
        <v>2910</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2927</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2940</v>
      </c>
      <c r="C302" s="3259">
        <v>0.15</v>
      </c>
      <c r="D302" s="3259">
        <v>0.15</v>
      </c>
      <c r="E302" s="3259">
        <v>0.15</v>
      </c>
      <c r="F302" s="3259">
        <v>0.14699999999999999</v>
      </c>
      <c r="G302" s="3260">
        <v>0.15</v>
      </c>
    </row>
    <row r="303" spans="1:7">
      <c r="A303" s="3269" t="s">
        <v>306</v>
      </c>
      <c r="B303" s="3258" t="s">
        <v>2947</v>
      </c>
      <c r="C303" s="3259">
        <v>0.15</v>
      </c>
      <c r="D303" s="3259">
        <v>0.15</v>
      </c>
      <c r="E303" s="3259">
        <v>0.15</v>
      </c>
      <c r="F303" s="3259">
        <v>0.14199999999999999</v>
      </c>
      <c r="G303" s="3260">
        <v>0.15</v>
      </c>
    </row>
    <row r="304" spans="1:7">
      <c r="A304" s="3269" t="s">
        <v>306</v>
      </c>
      <c r="B304" s="3258" t="s">
        <v>2954</v>
      </c>
      <c r="C304" s="3259">
        <v>0.15</v>
      </c>
      <c r="D304" s="3259">
        <v>0.15</v>
      </c>
      <c r="E304" s="3259">
        <v>0.15</v>
      </c>
      <c r="F304" s="3259">
        <v>0.14499999999999999</v>
      </c>
      <c r="G304" s="3260">
        <v>0.15</v>
      </c>
    </row>
    <row r="305" spans="1:7">
      <c r="A305" s="3269" t="s">
        <v>306</v>
      </c>
      <c r="B305" s="3258" t="s">
        <v>2960</v>
      </c>
      <c r="C305" s="3259">
        <v>0.15</v>
      </c>
      <c r="D305" s="3259">
        <v>0.15</v>
      </c>
      <c r="E305" s="3259">
        <v>0.15</v>
      </c>
      <c r="F305" s="3259">
        <v>0.111</v>
      </c>
      <c r="G305" s="3260">
        <v>0.15</v>
      </c>
    </row>
    <row r="306" spans="1:7">
      <c r="A306" s="3269" t="s">
        <v>306</v>
      </c>
      <c r="B306" s="3258" t="s">
        <v>2967</v>
      </c>
      <c r="C306" s="3259">
        <v>0.15</v>
      </c>
      <c r="D306" s="3259">
        <v>0.15</v>
      </c>
      <c r="E306" s="3259">
        <v>0.15</v>
      </c>
      <c r="F306" s="3259">
        <v>0.126</v>
      </c>
      <c r="G306" s="3260">
        <v>0.15</v>
      </c>
    </row>
    <row r="307" spans="1:7">
      <c r="A307" s="3269" t="s">
        <v>306</v>
      </c>
      <c r="B307" s="3258" t="s">
        <v>2972</v>
      </c>
      <c r="C307" s="3259">
        <v>0.15</v>
      </c>
      <c r="D307" s="3259">
        <v>0.15</v>
      </c>
      <c r="E307" s="3259">
        <v>0.15</v>
      </c>
      <c r="F307" s="3259">
        <v>0.12</v>
      </c>
      <c r="G307" s="3260">
        <v>0.15</v>
      </c>
    </row>
    <row r="308" spans="1:7">
      <c r="A308" s="3269" t="s">
        <v>306</v>
      </c>
      <c r="B308" s="3258" t="s">
        <v>2978</v>
      </c>
      <c r="C308" s="3259">
        <v>0.15</v>
      </c>
      <c r="D308" s="3259">
        <v>0.15</v>
      </c>
      <c r="E308" s="3259">
        <v>0.15</v>
      </c>
      <c r="F308" s="3259">
        <v>0.13</v>
      </c>
      <c r="G308" s="3260">
        <v>0.15</v>
      </c>
    </row>
    <row r="309" spans="1:7">
      <c r="A309" s="3269" t="s">
        <v>306</v>
      </c>
      <c r="B309" s="3258" t="s">
        <v>2982</v>
      </c>
      <c r="C309" s="3259">
        <v>0.15</v>
      </c>
      <c r="D309" s="3259">
        <v>0.15</v>
      </c>
      <c r="E309" s="3259">
        <v>0.15</v>
      </c>
      <c r="F309" s="3259">
        <v>0.14099999999999999</v>
      </c>
      <c r="G309" s="3260">
        <v>0.15</v>
      </c>
    </row>
    <row r="310" spans="1:7">
      <c r="A310" s="3269" t="s">
        <v>306</v>
      </c>
      <c r="B310" s="3258" t="s">
        <v>2987</v>
      </c>
      <c r="C310" s="3259">
        <v>0.15</v>
      </c>
      <c r="D310" s="3259">
        <v>0.15</v>
      </c>
      <c r="E310" s="3259">
        <v>0.15</v>
      </c>
      <c r="F310" s="3259">
        <v>0.15</v>
      </c>
      <c r="G310" s="3260">
        <v>0.15</v>
      </c>
    </row>
    <row r="311" spans="1:7">
      <c r="A311" s="3269" t="s">
        <v>306</v>
      </c>
      <c r="B311" s="3258" t="s">
        <v>2992</v>
      </c>
      <c r="C311" s="3259">
        <v>0.13200000000000001</v>
      </c>
      <c r="D311" s="3259">
        <v>0.13300000000000001</v>
      </c>
      <c r="E311" s="3259">
        <v>0.14499999999999999</v>
      </c>
      <c r="F311" s="3259">
        <v>0.14199999999999999</v>
      </c>
      <c r="G311" s="3260">
        <v>0.14000000000000001</v>
      </c>
    </row>
    <row r="312" spans="1:7">
      <c r="A312" s="3269" t="s">
        <v>306</v>
      </c>
      <c r="B312" s="3258" t="s">
        <v>2997</v>
      </c>
      <c r="C312" s="3259">
        <v>0.13800000000000001</v>
      </c>
      <c r="D312" s="3259">
        <v>0.14000000000000001</v>
      </c>
      <c r="E312" s="3259">
        <v>0.14599999999999999</v>
      </c>
      <c r="F312" s="3259">
        <v>0.14899999999999999</v>
      </c>
      <c r="G312" s="3260">
        <v>0.14199999999999999</v>
      </c>
    </row>
    <row r="313" spans="1:7">
      <c r="A313" s="3269" t="s">
        <v>306</v>
      </c>
      <c r="B313" s="3258" t="s">
        <v>3002</v>
      </c>
      <c r="C313" s="3259">
        <v>0.125</v>
      </c>
      <c r="D313" s="3259">
        <v>0.127</v>
      </c>
      <c r="E313" s="3259">
        <v>0.14399999999999999</v>
      </c>
      <c r="F313" s="3259">
        <v>0.115</v>
      </c>
      <c r="G313" s="3260">
        <v>0.13600000000000001</v>
      </c>
    </row>
    <row r="314" spans="1:7">
      <c r="A314" s="3269" t="s">
        <v>306</v>
      </c>
      <c r="B314" s="3258" t="s">
        <v>3211</v>
      </c>
      <c r="C314" s="3275"/>
      <c r="D314" s="3275"/>
      <c r="E314" s="3275"/>
      <c r="F314" s="3259">
        <v>0.05</v>
      </c>
      <c r="G314" s="3276"/>
    </row>
    <row r="315" spans="1:7">
      <c r="A315" s="3269" t="s">
        <v>306</v>
      </c>
      <c r="B315" s="3258" t="s">
        <v>3212</v>
      </c>
      <c r="C315" s="3275"/>
      <c r="D315" s="3275"/>
      <c r="E315" s="3275"/>
      <c r="F315" s="3259">
        <v>0.05</v>
      </c>
      <c r="G315" s="3276"/>
    </row>
    <row r="316" spans="1:7">
      <c r="A316" s="3269" t="s">
        <v>306</v>
      </c>
      <c r="B316" s="3258" t="s">
        <v>3213</v>
      </c>
      <c r="C316" s="3270"/>
      <c r="D316" s="3270"/>
      <c r="E316" s="3270"/>
      <c r="F316" s="3259">
        <v>0.05</v>
      </c>
      <c r="G316" s="3276"/>
    </row>
    <row r="317" spans="1:7">
      <c r="A317" s="3269" t="s">
        <v>306</v>
      </c>
      <c r="B317" s="3258" t="s">
        <v>3214</v>
      </c>
      <c r="C317" s="3270"/>
      <c r="D317" s="3270"/>
      <c r="E317" s="3270"/>
      <c r="F317" s="3259">
        <v>0.05</v>
      </c>
      <c r="G317" s="3276"/>
    </row>
    <row r="318" spans="1:7">
      <c r="A318" s="3269" t="s">
        <v>306</v>
      </c>
      <c r="B318" s="3258" t="s">
        <v>3215</v>
      </c>
      <c r="C318" s="3270"/>
      <c r="D318" s="3270"/>
      <c r="E318" s="3270"/>
      <c r="F318" s="3259">
        <v>0.05</v>
      </c>
      <c r="G318" s="3276"/>
    </row>
    <row r="319" spans="1:7">
      <c r="A319" s="3269" t="s">
        <v>306</v>
      </c>
      <c r="B319" s="3258" t="s">
        <v>3216</v>
      </c>
      <c r="C319" s="3270"/>
      <c r="D319" s="3270"/>
      <c r="E319" s="3270"/>
      <c r="F319" s="3259">
        <v>0.05</v>
      </c>
      <c r="G319" s="3276"/>
    </row>
    <row r="320" spans="1:7">
      <c r="A320" s="3269" t="s">
        <v>306</v>
      </c>
      <c r="B320" s="3258" t="s">
        <v>3217</v>
      </c>
      <c r="C320" s="3270"/>
      <c r="D320" s="3270"/>
      <c r="E320" s="3270"/>
      <c r="F320" s="3259">
        <v>0.05</v>
      </c>
      <c r="G320" s="3276"/>
    </row>
    <row r="321" spans="1:7">
      <c r="A321" s="3269" t="s">
        <v>306</v>
      </c>
      <c r="B321" s="3258" t="s">
        <v>3218</v>
      </c>
      <c r="C321" s="3270"/>
      <c r="D321" s="3270"/>
      <c r="E321" s="3270"/>
      <c r="F321" s="3259">
        <v>0.05</v>
      </c>
      <c r="G321" s="3276"/>
    </row>
    <row r="322" spans="1:7">
      <c r="A322" s="3269" t="s">
        <v>306</v>
      </c>
      <c r="B322" s="3258" t="s">
        <v>3219</v>
      </c>
      <c r="C322" s="3270"/>
      <c r="D322" s="3270"/>
      <c r="E322" s="3270"/>
      <c r="F322" s="3259">
        <v>0.05</v>
      </c>
      <c r="G322" s="3276"/>
    </row>
    <row r="323" spans="1:7">
      <c r="A323" s="3269" t="s">
        <v>306</v>
      </c>
      <c r="B323" s="3258" t="s">
        <v>3220</v>
      </c>
      <c r="C323" s="3270"/>
      <c r="D323" s="3270"/>
      <c r="E323" s="3270"/>
      <c r="F323" s="3259">
        <v>0.05</v>
      </c>
      <c r="G323" s="3276"/>
    </row>
    <row r="324" spans="1:7">
      <c r="A324" s="3269" t="s">
        <v>306</v>
      </c>
      <c r="B324" s="3258" t="s">
        <v>3221</v>
      </c>
      <c r="C324" s="3270"/>
      <c r="D324" s="3270"/>
      <c r="E324" s="3270"/>
      <c r="F324" s="3259">
        <v>0.05</v>
      </c>
      <c r="G324" s="3276"/>
    </row>
    <row r="325" spans="1:7">
      <c r="A325" s="3269" t="s">
        <v>306</v>
      </c>
      <c r="B325" s="3258" t="s">
        <v>3222</v>
      </c>
      <c r="C325" s="3270"/>
      <c r="D325" s="3270"/>
      <c r="E325" s="3270"/>
      <c r="F325" s="3259">
        <v>0.05</v>
      </c>
      <c r="G325" s="3276"/>
    </row>
    <row r="326" spans="1:7" ht="14.25" thickBot="1">
      <c r="A326" s="3272" t="s">
        <v>306</v>
      </c>
      <c r="B326" s="3262" t="s">
        <v>3223</v>
      </c>
      <c r="C326" s="3264"/>
      <c r="D326" s="3264"/>
      <c r="E326" s="3264"/>
      <c r="F326" s="3263">
        <v>0.05</v>
      </c>
      <c r="G326" s="3277"/>
    </row>
    <row r="327" spans="1:7">
      <c r="A327" s="3268" t="s">
        <v>307</v>
      </c>
      <c r="B327" s="3254" t="s">
        <v>2855</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2867</v>
      </c>
      <c r="C329" s="3259">
        <v>0.15</v>
      </c>
      <c r="D329" s="3259">
        <v>0.15</v>
      </c>
      <c r="E329" s="3259">
        <v>0.15</v>
      </c>
      <c r="F329" s="3259">
        <v>0.15</v>
      </c>
      <c r="G329" s="3260">
        <v>0.15</v>
      </c>
    </row>
    <row r="330" spans="1:7">
      <c r="A330" s="3269" t="s">
        <v>307</v>
      </c>
      <c r="B330" s="3258" t="s">
        <v>2871</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2879</v>
      </c>
      <c r="C332" s="3259">
        <v>0.15</v>
      </c>
      <c r="D332" s="3259">
        <v>0.15</v>
      </c>
      <c r="E332" s="3259">
        <v>0.15</v>
      </c>
      <c r="F332" s="3259">
        <v>0.15</v>
      </c>
      <c r="G332" s="3260">
        <v>0.15</v>
      </c>
    </row>
    <row r="333" spans="1:7">
      <c r="A333" s="3269" t="s">
        <v>307</v>
      </c>
      <c r="B333" s="3258" t="s">
        <v>2883</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2889</v>
      </c>
      <c r="C336" s="3259">
        <v>0.15</v>
      </c>
      <c r="D336" s="3259">
        <v>0.15</v>
      </c>
      <c r="E336" s="3259">
        <v>0.15</v>
      </c>
      <c r="F336" s="3259">
        <v>0.14199999999999999</v>
      </c>
      <c r="G336" s="3260">
        <v>0.15</v>
      </c>
    </row>
    <row r="337" spans="1:7">
      <c r="A337" s="3269" t="s">
        <v>307</v>
      </c>
      <c r="B337" s="3258" t="s">
        <v>2894</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2901</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2906</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2914</v>
      </c>
      <c r="C345" s="3259">
        <v>0.15</v>
      </c>
      <c r="D345" s="3259">
        <v>0.15</v>
      </c>
      <c r="E345" s="3259">
        <v>0.15</v>
      </c>
      <c r="F345" s="3259">
        <v>0.13800000000000001</v>
      </c>
      <c r="G345" s="3260">
        <v>0.15</v>
      </c>
    </row>
    <row r="346" spans="1:7">
      <c r="A346" s="3269" t="s">
        <v>307</v>
      </c>
      <c r="B346" s="3258" t="s">
        <v>2916</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2923</v>
      </c>
      <c r="C348" s="3259">
        <v>0.15</v>
      </c>
      <c r="D348" s="3259">
        <v>0.15</v>
      </c>
      <c r="E348" s="3259">
        <v>0.15</v>
      </c>
      <c r="F348" s="3259">
        <v>0.14399999999999999</v>
      </c>
      <c r="G348" s="3260">
        <v>0.15</v>
      </c>
    </row>
    <row r="349" spans="1:7">
      <c r="A349" s="3269" t="s">
        <v>307</v>
      </c>
      <c r="B349" s="3258" t="s">
        <v>2928</v>
      </c>
      <c r="C349" s="3259">
        <v>0.15</v>
      </c>
      <c r="D349" s="3259">
        <v>0.15</v>
      </c>
      <c r="E349" s="3259">
        <v>0.15</v>
      </c>
      <c r="F349" s="3259">
        <v>0.15</v>
      </c>
      <c r="G349" s="3260">
        <v>0.15</v>
      </c>
    </row>
    <row r="350" spans="1:7">
      <c r="A350" s="3269" t="s">
        <v>307</v>
      </c>
      <c r="B350" s="3258" t="s">
        <v>2931</v>
      </c>
      <c r="C350" s="3259">
        <v>0.15</v>
      </c>
      <c r="D350" s="3259">
        <v>0.15</v>
      </c>
      <c r="E350" s="3259">
        <v>0.15</v>
      </c>
      <c r="F350" s="3259">
        <v>0.14699999999999999</v>
      </c>
      <c r="G350" s="3260">
        <v>0.15</v>
      </c>
    </row>
    <row r="351" spans="1:7">
      <c r="A351" s="3269" t="s">
        <v>307</v>
      </c>
      <c r="B351" s="3258" t="s">
        <v>2936</v>
      </c>
      <c r="C351" s="3259">
        <v>0.15</v>
      </c>
      <c r="D351" s="3259">
        <v>0.15</v>
      </c>
      <c r="E351" s="3259">
        <v>0.15</v>
      </c>
      <c r="F351" s="3259">
        <v>0.13</v>
      </c>
      <c r="G351" s="3260">
        <v>0.15</v>
      </c>
    </row>
    <row r="352" spans="1:7">
      <c r="A352" s="3269" t="s">
        <v>307</v>
      </c>
      <c r="B352" s="3258" t="s">
        <v>2941</v>
      </c>
      <c r="C352" s="3259">
        <v>0.15</v>
      </c>
      <c r="D352" s="3259">
        <v>0.15</v>
      </c>
      <c r="E352" s="3259">
        <v>0.15</v>
      </c>
      <c r="F352" s="3259">
        <v>0.14599999999999999</v>
      </c>
      <c r="G352" s="3260">
        <v>0.15</v>
      </c>
    </row>
    <row r="353" spans="1:7">
      <c r="A353" s="3269" t="s">
        <v>307</v>
      </c>
      <c r="B353" s="3258" t="s">
        <v>2948</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2961</v>
      </c>
      <c r="C355" s="3259">
        <v>0.15</v>
      </c>
      <c r="D355" s="3259">
        <v>0.15</v>
      </c>
      <c r="E355" s="3259">
        <v>0.15</v>
      </c>
      <c r="F355" s="3259">
        <v>0.15</v>
      </c>
      <c r="G355" s="3260">
        <v>0.15</v>
      </c>
    </row>
    <row r="356" spans="1:7">
      <c r="A356" s="3269" t="s">
        <v>307</v>
      </c>
      <c r="B356" s="3258" t="s">
        <v>2968</v>
      </c>
      <c r="C356" s="3259">
        <v>0.15</v>
      </c>
      <c r="D356" s="3259">
        <v>0.15</v>
      </c>
      <c r="E356" s="3259">
        <v>0.15</v>
      </c>
      <c r="F356" s="3259">
        <v>0.15</v>
      </c>
      <c r="G356" s="3260">
        <v>0.15</v>
      </c>
    </row>
    <row r="357" spans="1:7" ht="14.25" thickBot="1">
      <c r="A357" s="3272" t="s">
        <v>307</v>
      </c>
      <c r="B357" s="3262" t="s">
        <v>2973</v>
      </c>
      <c r="C357" s="3263">
        <v>0.126</v>
      </c>
      <c r="D357" s="3263">
        <v>0.127</v>
      </c>
      <c r="E357" s="3263">
        <v>0.14299999999999999</v>
      </c>
      <c r="F357" s="3263">
        <v>0.125</v>
      </c>
      <c r="G357" s="3265">
        <v>0.129</v>
      </c>
    </row>
    <row r="358" spans="1:7">
      <c r="A358" s="3268" t="s">
        <v>2842</v>
      </c>
      <c r="B358" s="3254" t="s">
        <v>2856</v>
      </c>
      <c r="C358" s="3255">
        <v>0.15</v>
      </c>
      <c r="D358" s="3255">
        <v>0.15</v>
      </c>
      <c r="E358" s="3255">
        <v>0.15</v>
      </c>
      <c r="F358" s="3255">
        <v>0.15</v>
      </c>
      <c r="G358" s="3256">
        <v>0.15</v>
      </c>
    </row>
    <row r="359" spans="1:7">
      <c r="A359" s="3269" t="s">
        <v>2842</v>
      </c>
      <c r="B359" s="3258" t="s">
        <v>2862</v>
      </c>
      <c r="C359" s="3259">
        <v>0.1</v>
      </c>
      <c r="D359" s="3259">
        <v>0.1</v>
      </c>
      <c r="E359" s="3259">
        <v>0.1</v>
      </c>
      <c r="F359" s="3259">
        <v>0.1</v>
      </c>
      <c r="G359" s="3260">
        <v>0.1</v>
      </c>
    </row>
    <row r="360" spans="1:7">
      <c r="A360" s="3269" t="s">
        <v>2842</v>
      </c>
      <c r="B360" s="3258" t="s">
        <v>2868</v>
      </c>
      <c r="C360" s="3259">
        <v>0.15</v>
      </c>
      <c r="D360" s="3259">
        <v>0.15</v>
      </c>
      <c r="E360" s="3259">
        <v>0.15</v>
      </c>
      <c r="F360" s="3259">
        <v>0.14899999999999999</v>
      </c>
      <c r="G360" s="3260">
        <v>0.15</v>
      </c>
    </row>
    <row r="361" spans="1:7">
      <c r="A361" s="3269" t="s">
        <v>2842</v>
      </c>
      <c r="B361" s="3258" t="s">
        <v>153</v>
      </c>
      <c r="C361" s="3259">
        <v>0.15</v>
      </c>
      <c r="D361" s="3259">
        <v>0.15</v>
      </c>
      <c r="E361" s="3259">
        <v>0.15</v>
      </c>
      <c r="F361" s="3259">
        <v>0.115</v>
      </c>
      <c r="G361" s="3260">
        <v>0.15</v>
      </c>
    </row>
    <row r="362" spans="1:7">
      <c r="A362" s="3269" t="s">
        <v>2842</v>
      </c>
      <c r="B362" s="3258" t="s">
        <v>2875</v>
      </c>
      <c r="C362" s="3259">
        <v>0.15</v>
      </c>
      <c r="D362" s="3259">
        <v>0.15</v>
      </c>
      <c r="E362" s="3259">
        <v>0.15</v>
      </c>
      <c r="F362" s="3259">
        <v>0.106</v>
      </c>
      <c r="G362" s="3260">
        <v>0.15</v>
      </c>
    </row>
    <row r="363" spans="1:7">
      <c r="A363" s="3269" t="s">
        <v>2842</v>
      </c>
      <c r="B363" s="3258" t="s">
        <v>2880</v>
      </c>
      <c r="C363" s="3259">
        <v>0.15</v>
      </c>
      <c r="D363" s="3259">
        <v>0.15</v>
      </c>
      <c r="E363" s="3259">
        <v>0.15</v>
      </c>
      <c r="F363" s="3259">
        <v>0.14699999999999999</v>
      </c>
      <c r="G363" s="3260">
        <v>0.15</v>
      </c>
    </row>
    <row r="364" spans="1:7">
      <c r="A364" s="3269" t="s">
        <v>2842</v>
      </c>
      <c r="B364" s="3258" t="s">
        <v>2884</v>
      </c>
      <c r="C364" s="3259">
        <v>0.15</v>
      </c>
      <c r="D364" s="3259">
        <v>0.15</v>
      </c>
      <c r="E364" s="3259">
        <v>0.15</v>
      </c>
      <c r="F364" s="3259">
        <v>0.14799999999999999</v>
      </c>
      <c r="G364" s="3260">
        <v>0.15</v>
      </c>
    </row>
    <row r="365" spans="1:7">
      <c r="A365" s="3269" t="s">
        <v>2842</v>
      </c>
      <c r="B365" s="3258" t="s">
        <v>200</v>
      </c>
      <c r="C365" s="3259">
        <v>0.15</v>
      </c>
      <c r="D365" s="3259">
        <v>0.15</v>
      </c>
      <c r="E365" s="3259">
        <v>0.15</v>
      </c>
      <c r="F365" s="3259">
        <v>0.15</v>
      </c>
      <c r="G365" s="3260">
        <v>0.15</v>
      </c>
    </row>
    <row r="366" spans="1:7">
      <c r="A366" s="3269" t="s">
        <v>2842</v>
      </c>
      <c r="B366" s="3258" t="s">
        <v>2887</v>
      </c>
      <c r="C366" s="3259">
        <v>0.15</v>
      </c>
      <c r="D366" s="3259">
        <v>0.15</v>
      </c>
      <c r="E366" s="3259">
        <v>0.15</v>
      </c>
      <c r="F366" s="3259">
        <v>0.15</v>
      </c>
      <c r="G366" s="3260">
        <v>0.15</v>
      </c>
    </row>
    <row r="367" spans="1:7">
      <c r="A367" s="3269" t="s">
        <v>2842</v>
      </c>
      <c r="B367" s="3258" t="s">
        <v>2890</v>
      </c>
      <c r="C367" s="3259">
        <v>0.15</v>
      </c>
      <c r="D367" s="3259">
        <v>0.15</v>
      </c>
      <c r="E367" s="3259">
        <v>0.15</v>
      </c>
      <c r="F367" s="3259">
        <v>0.14699999999999999</v>
      </c>
      <c r="G367" s="3260">
        <v>0.15</v>
      </c>
    </row>
    <row r="368" spans="1:7">
      <c r="A368" s="3269" t="s">
        <v>2842</v>
      </c>
      <c r="B368" s="3258" t="s">
        <v>2895</v>
      </c>
      <c r="C368" s="3259">
        <v>0.15</v>
      </c>
      <c r="D368" s="3259">
        <v>0.15</v>
      </c>
      <c r="E368" s="3259">
        <v>0.15</v>
      </c>
      <c r="F368" s="3259">
        <v>0.13600000000000001</v>
      </c>
      <c r="G368" s="3260">
        <v>0.15</v>
      </c>
    </row>
    <row r="369" spans="1:7">
      <c r="A369" s="3269" t="s">
        <v>2842</v>
      </c>
      <c r="B369" s="3258" t="s">
        <v>214</v>
      </c>
      <c r="C369" s="3259">
        <v>0.15</v>
      </c>
      <c r="D369" s="3259">
        <v>0.15</v>
      </c>
      <c r="E369" s="3259">
        <v>0.15</v>
      </c>
      <c r="F369" s="3259">
        <v>0.14399999999999999</v>
      </c>
      <c r="G369" s="3260">
        <v>0.15</v>
      </c>
    </row>
    <row r="370" spans="1:7">
      <c r="A370" s="3269" t="s">
        <v>2842</v>
      </c>
      <c r="B370" s="3258" t="s">
        <v>221</v>
      </c>
      <c r="C370" s="3259">
        <v>0.15</v>
      </c>
      <c r="D370" s="3259">
        <v>0.15</v>
      </c>
      <c r="E370" s="3259">
        <v>0.15</v>
      </c>
      <c r="F370" s="3259">
        <v>0.14599999999999999</v>
      </c>
      <c r="G370" s="3260">
        <v>0.15</v>
      </c>
    </row>
    <row r="371" spans="1:7">
      <c r="A371" s="3269" t="s">
        <v>2842</v>
      </c>
      <c r="B371" s="3258" t="s">
        <v>229</v>
      </c>
      <c r="C371" s="3259">
        <v>0.15</v>
      </c>
      <c r="D371" s="3259">
        <v>0.15</v>
      </c>
      <c r="E371" s="3259">
        <v>0.15</v>
      </c>
      <c r="F371" s="3259">
        <v>0.12</v>
      </c>
      <c r="G371" s="3260">
        <v>0.15</v>
      </c>
    </row>
    <row r="372" spans="1:7">
      <c r="A372" s="3269" t="s">
        <v>2842</v>
      </c>
      <c r="B372" s="3258" t="s">
        <v>2903</v>
      </c>
      <c r="C372" s="3259">
        <v>0.15</v>
      </c>
      <c r="D372" s="3259">
        <v>0.15</v>
      </c>
      <c r="E372" s="3259">
        <v>0.15</v>
      </c>
      <c r="F372" s="3259">
        <v>0.14299999999999999</v>
      </c>
      <c r="G372" s="3260">
        <v>0.15</v>
      </c>
    </row>
    <row r="373" spans="1:7">
      <c r="A373" s="3269" t="s">
        <v>2842</v>
      </c>
      <c r="B373" s="3258" t="s">
        <v>258</v>
      </c>
      <c r="C373" s="3259">
        <v>0.15</v>
      </c>
      <c r="D373" s="3259">
        <v>0.15</v>
      </c>
      <c r="E373" s="3259">
        <v>0.15</v>
      </c>
      <c r="F373" s="3259">
        <v>0.14599999999999999</v>
      </c>
      <c r="G373" s="3260">
        <v>0.15</v>
      </c>
    </row>
    <row r="374" spans="1:7">
      <c r="A374" s="3269" t="s">
        <v>2842</v>
      </c>
      <c r="B374" s="3258" t="s">
        <v>266</v>
      </c>
      <c r="C374" s="3259">
        <v>0.15</v>
      </c>
      <c r="D374" s="3259">
        <v>0.15</v>
      </c>
      <c r="E374" s="3259">
        <v>0.15</v>
      </c>
      <c r="F374" s="3259">
        <v>0.14399999999999999</v>
      </c>
      <c r="G374" s="3260">
        <v>0.15</v>
      </c>
    </row>
    <row r="375" spans="1:7">
      <c r="A375" s="3269" t="s">
        <v>2842</v>
      </c>
      <c r="B375" s="3258" t="s">
        <v>2911</v>
      </c>
      <c r="C375" s="3259">
        <v>0.15</v>
      </c>
      <c r="D375" s="3259">
        <v>0.15</v>
      </c>
      <c r="E375" s="3259">
        <v>0.15</v>
      </c>
      <c r="F375" s="3259">
        <v>0.13</v>
      </c>
      <c r="G375" s="3260">
        <v>0.15</v>
      </c>
    </row>
    <row r="376" spans="1:7">
      <c r="A376" s="3269" t="s">
        <v>2842</v>
      </c>
      <c r="B376" s="3258" t="s">
        <v>277</v>
      </c>
      <c r="C376" s="3259">
        <v>0.15</v>
      </c>
      <c r="D376" s="3259">
        <v>0.15</v>
      </c>
      <c r="E376" s="3259">
        <v>0.15</v>
      </c>
      <c r="F376" s="3259">
        <v>0.14199999999999999</v>
      </c>
      <c r="G376" s="3260">
        <v>0.15</v>
      </c>
    </row>
    <row r="377" spans="1:7" ht="14.25" thickBot="1">
      <c r="A377" s="3272" t="s">
        <v>2842</v>
      </c>
      <c r="B377" s="3262" t="s">
        <v>2917</v>
      </c>
      <c r="C377" s="3263">
        <v>0.15</v>
      </c>
      <c r="D377" s="3263">
        <v>0.15</v>
      </c>
      <c r="E377" s="3263">
        <v>0.15</v>
      </c>
      <c r="F377" s="3263">
        <v>0.14000000000000001</v>
      </c>
      <c r="G377" s="3265">
        <v>0.15</v>
      </c>
    </row>
    <row r="378" spans="1:7">
      <c r="A378" s="3268" t="s">
        <v>2843</v>
      </c>
      <c r="B378" s="3254" t="s">
        <v>2857</v>
      </c>
      <c r="C378" s="3255">
        <v>0.15</v>
      </c>
      <c r="D378" s="3255">
        <v>0.15</v>
      </c>
      <c r="E378" s="3255">
        <v>0.15</v>
      </c>
      <c r="F378" s="3255">
        <v>0.107</v>
      </c>
      <c r="G378" s="3256">
        <v>0.15</v>
      </c>
    </row>
    <row r="379" spans="1:7">
      <c r="A379" s="3269" t="s">
        <v>2843</v>
      </c>
      <c r="B379" s="3258" t="s">
        <v>2863</v>
      </c>
      <c r="C379" s="3259">
        <v>0.15</v>
      </c>
      <c r="D379" s="3259">
        <v>0.15</v>
      </c>
      <c r="E379" s="3259">
        <v>0.15</v>
      </c>
      <c r="F379" s="3259">
        <v>0.115</v>
      </c>
      <c r="G379" s="3260">
        <v>0.14899999999999999</v>
      </c>
    </row>
    <row r="380" spans="1:7">
      <c r="A380" s="3269" t="s">
        <v>2843</v>
      </c>
      <c r="B380" s="3258" t="s">
        <v>2869</v>
      </c>
      <c r="C380" s="3259">
        <v>0.15</v>
      </c>
      <c r="D380" s="3259">
        <v>0.15</v>
      </c>
      <c r="E380" s="3259">
        <v>0.15</v>
      </c>
      <c r="F380" s="3259">
        <v>0.1</v>
      </c>
      <c r="G380" s="3260">
        <v>0.14799999999999999</v>
      </c>
    </row>
    <row r="381" spans="1:7">
      <c r="A381" s="3269" t="s">
        <v>2843</v>
      </c>
      <c r="B381" s="3258" t="s">
        <v>2872</v>
      </c>
      <c r="C381" s="3259">
        <v>0.15</v>
      </c>
      <c r="D381" s="3259">
        <v>0.15</v>
      </c>
      <c r="E381" s="3259">
        <v>0.15</v>
      </c>
      <c r="F381" s="3259">
        <v>0.126</v>
      </c>
      <c r="G381" s="3260">
        <v>0.15</v>
      </c>
    </row>
    <row r="382" spans="1:7">
      <c r="A382" s="3269" t="s">
        <v>2843</v>
      </c>
      <c r="B382" s="3258" t="s">
        <v>2876</v>
      </c>
      <c r="C382" s="3259">
        <v>0.15</v>
      </c>
      <c r="D382" s="3259">
        <v>0.15</v>
      </c>
      <c r="E382" s="3259">
        <v>0.15</v>
      </c>
      <c r="F382" s="3259">
        <v>0.15</v>
      </c>
      <c r="G382" s="3260">
        <v>0.15</v>
      </c>
    </row>
    <row r="383" spans="1:7">
      <c r="A383" s="3269" t="s">
        <v>2843</v>
      </c>
      <c r="B383" s="3258" t="s">
        <v>2881</v>
      </c>
      <c r="C383" s="3259">
        <v>0.15</v>
      </c>
      <c r="D383" s="3259">
        <v>0.15</v>
      </c>
      <c r="E383" s="3259">
        <v>0.15</v>
      </c>
      <c r="F383" s="3259">
        <v>0.14699999999999999</v>
      </c>
      <c r="G383" s="3260">
        <v>0.15</v>
      </c>
    </row>
    <row r="384" spans="1:7" ht="14.25" thickBot="1">
      <c r="A384" s="3279" t="s">
        <v>2843</v>
      </c>
      <c r="B384" s="3280" t="s">
        <v>2885</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66" t="s">
        <v>3224</v>
      </c>
      <c r="B1" s="3866"/>
      <c r="C1" s="3866"/>
      <c r="D1" s="3866"/>
      <c r="E1" s="3866"/>
      <c r="F1" s="3867"/>
    </row>
    <row r="2" spans="1:6">
      <c r="A2" s="3285" t="s">
        <v>3225</v>
      </c>
      <c r="B2" s="3286"/>
      <c r="C2" s="3286"/>
      <c r="D2" s="3286"/>
      <c r="E2" s="3286"/>
      <c r="F2" s="3286"/>
    </row>
    <row r="3" spans="1:6">
      <c r="A3" s="3285" t="s">
        <v>3226</v>
      </c>
      <c r="B3" s="3286"/>
      <c r="C3" s="3286"/>
      <c r="D3" s="3286"/>
      <c r="E3" s="3286"/>
      <c r="F3" s="3287" t="s">
        <v>3227</v>
      </c>
    </row>
    <row r="4" spans="1:6">
      <c r="A4" s="3288" t="s">
        <v>672</v>
      </c>
      <c r="B4" s="3288" t="s">
        <v>673</v>
      </c>
      <c r="C4" s="3288" t="s">
        <v>21</v>
      </c>
      <c r="D4" s="3288" t="s">
        <v>674</v>
      </c>
      <c r="E4" s="3288" t="s">
        <v>3</v>
      </c>
      <c r="F4" s="3288" t="s">
        <v>3228</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'基准地价修正-商业'!G23</f>
        <v>45587</v>
      </c>
      <c r="B1" s="3204" t="s">
        <v>3373</v>
      </c>
      <c r="C1" s="3205"/>
      <c r="D1" s="3205"/>
      <c r="E1" s="3205"/>
      <c r="F1" s="3205"/>
      <c r="G1" s="3205"/>
      <c r="H1" s="3205"/>
      <c r="I1" s="3205"/>
      <c r="J1" s="3159"/>
      <c r="K1" s="3205" t="s">
        <v>454</v>
      </c>
      <c r="L1" s="3205"/>
      <c r="M1" s="3205"/>
      <c r="N1" s="3205"/>
      <c r="O1" s="3205"/>
      <c r="P1" s="3205"/>
      <c r="Q1" s="3159"/>
      <c r="R1" s="3868" t="s">
        <v>456</v>
      </c>
      <c r="S1" s="3869"/>
      <c r="T1" s="3869"/>
      <c r="U1" s="3869"/>
      <c r="V1" s="3869"/>
      <c r="W1" s="3869"/>
      <c r="X1" s="3159"/>
      <c r="Y1" s="3868" t="s">
        <v>457</v>
      </c>
      <c r="Z1" s="3869"/>
      <c r="AA1" s="3869"/>
      <c r="AB1" s="3869"/>
      <c r="AC1" s="3869"/>
      <c r="AD1" s="3869"/>
    </row>
    <row r="2" spans="1:30" s="3137" customFormat="1" ht="14.25" thickBot="1">
      <c r="B2" s="3138"/>
      <c r="C2" s="3139"/>
      <c r="D2" s="3140" t="s">
        <v>2802</v>
      </c>
      <c r="E2" s="3141" t="s">
        <v>2803</v>
      </c>
      <c r="F2" s="3141" t="s">
        <v>2804</v>
      </c>
      <c r="G2" s="3141" t="s">
        <v>2805</v>
      </c>
      <c r="H2" s="3141" t="s">
        <v>2806</v>
      </c>
      <c r="I2" s="3141" t="s">
        <v>2623</v>
      </c>
      <c r="J2" s="3142"/>
      <c r="K2" s="3140" t="s">
        <v>2802</v>
      </c>
      <c r="L2" s="3141" t="s">
        <v>2803</v>
      </c>
      <c r="M2" s="3141" t="s">
        <v>2804</v>
      </c>
      <c r="N2" s="3141" t="s">
        <v>2805</v>
      </c>
      <c r="O2" s="3141" t="s">
        <v>2807</v>
      </c>
      <c r="P2" s="3141" t="s">
        <v>2623</v>
      </c>
      <c r="Q2" s="3142"/>
      <c r="R2" s="3140" t="s">
        <v>2802</v>
      </c>
      <c r="S2" s="3141" t="s">
        <v>2803</v>
      </c>
      <c r="T2" s="3141" t="s">
        <v>2804</v>
      </c>
      <c r="U2" s="3141" t="s">
        <v>2808</v>
      </c>
      <c r="V2" s="3141" t="s">
        <v>2809</v>
      </c>
      <c r="W2" s="3141" t="s">
        <v>2623</v>
      </c>
      <c r="X2" s="3142"/>
      <c r="Y2" s="3140" t="s">
        <v>2802</v>
      </c>
      <c r="Z2" s="3141" t="s">
        <v>2803</v>
      </c>
      <c r="AA2" s="3141" t="s">
        <v>2804</v>
      </c>
      <c r="AB2" s="3141" t="s">
        <v>2810</v>
      </c>
      <c r="AC2" s="3141" t="s">
        <v>2809</v>
      </c>
      <c r="AD2" s="3141" t="s">
        <v>2623</v>
      </c>
    </row>
    <row r="3" spans="1:30" s="3155" customFormat="1" ht="12.75">
      <c r="A3" s="3143" t="s">
        <v>2811</v>
      </c>
      <c r="B3" s="3144"/>
      <c r="C3" s="3145"/>
      <c r="D3" s="3145">
        <f>ROUND(AVERAGEIF(D4:D21,"&lt;&gt;0"),2)</f>
        <v>0.47</v>
      </c>
      <c r="E3" s="3145">
        <f t="shared" ref="E3:H3" si="0">ROUND(AVERAGEIF(E4:E21,"&lt;&gt;0"),2)</f>
        <v>0.3</v>
      </c>
      <c r="F3" s="3145">
        <f t="shared" si="0"/>
        <v>0.04</v>
      </c>
      <c r="G3" s="3145">
        <f t="shared" si="0"/>
        <v>0.51</v>
      </c>
      <c r="H3" s="3145">
        <f t="shared" si="0"/>
        <v>0.55000000000000004</v>
      </c>
      <c r="I3" s="3145">
        <f>F3</f>
        <v>0.04</v>
      </c>
      <c r="J3" s="3146"/>
      <c r="K3" s="3147">
        <f>ROUND(AVERAGEIF(K4:K21,"&lt;&gt;0"),4)</f>
        <v>4.7000000000000002E-3</v>
      </c>
      <c r="L3" s="3148">
        <f t="shared" ref="L3:O3" si="1">ROUND(AVERAGEIF(L4:L21,"&lt;&gt;0"),4)</f>
        <v>3.0000000000000001E-3</v>
      </c>
      <c r="M3" s="3148">
        <f t="shared" si="1"/>
        <v>4.0000000000000002E-4</v>
      </c>
      <c r="N3" s="3148">
        <f t="shared" si="1"/>
        <v>5.1000000000000004E-3</v>
      </c>
      <c r="O3" s="3148">
        <f t="shared" si="1"/>
        <v>5.4999999999999997E-3</v>
      </c>
      <c r="P3" s="3148">
        <f>M3</f>
        <v>4.0000000000000002E-4</v>
      </c>
      <c r="Q3" s="3146"/>
      <c r="R3" s="3149">
        <f>ROUND(SUMPRODUCT(PRODUCT(1+K4:K21)),4)</f>
        <v>1.0723</v>
      </c>
      <c r="S3" s="3150">
        <f t="shared" ref="S3:V3" si="2">ROUND(SUMPRODUCT(PRODUCT(1+L4:L21)),4)</f>
        <v>1.0465</v>
      </c>
      <c r="T3" s="3150">
        <f t="shared" si="2"/>
        <v>1.0054000000000001</v>
      </c>
      <c r="U3" s="3150">
        <f t="shared" si="2"/>
        <v>1.0790999999999999</v>
      </c>
      <c r="V3" s="3150">
        <f t="shared" si="2"/>
        <v>1.0857000000000001</v>
      </c>
      <c r="W3" s="3149">
        <f>T3</f>
        <v>1.0054000000000001</v>
      </c>
      <c r="X3" s="3146"/>
      <c r="Y3" s="3151">
        <f>ROUND(AVERAGEIF(Y8:Y21,"&lt;&gt;0"),4)</f>
        <v>8.3999999999999995E-3</v>
      </c>
      <c r="Z3" s="3152">
        <f t="shared" ref="Z3:AC3" si="3">ROUND(AVERAGEIF(Z8:Z21,"&lt;&gt;0"),4)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2025</v>
      </c>
      <c r="C5" s="3172">
        <v>1</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ROUND(IF(项目基本情况!$B$8="出让",SUMPRODUCT(PRODUCT(1+K5:$K$21)),SUMPRODUCT(PRODUCT(1+K5:$K$20))),4)</f>
        <v>1.0620000000000001</v>
      </c>
      <c r="S5" s="3177">
        <f>ROUND(IF(项目基本情况!$B$8="出让",SUMPRODUCT(PRODUCT(1+L5:$L$21)),SUMPRODUCT(PRODUCT(1+L5:$L$20))),4)</f>
        <v>1.0448</v>
      </c>
      <c r="T5" s="3177">
        <f>ROUND(IF(项目基本情况!$B$8="出让",SUMPRODUCT(PRODUCT(1+M5:$M$21)),SUMPRODUCT(PRODUCT(1+M5:$M$20))),4)</f>
        <v>1.0079</v>
      </c>
      <c r="U5" s="3177">
        <f>ROUND(IF(项目基本情况!$B$8="出让",SUMPRODUCT(PRODUCT(1+N5:$N$21)),SUMPRODUCT(PRODUCT(1+N5:$N$20))),4)</f>
        <v>1.0672999999999999</v>
      </c>
      <c r="V5" s="3177">
        <f>ROUND(IF(项目基本情况!$B$8="出让",SUMPRODUCT(PRODUCT(1+O5:$O$21)),SUMPRODUCT(PRODUCT(1+O5:$O$20))),4)</f>
        <v>1.0818000000000001</v>
      </c>
      <c r="W5" s="3177">
        <f>T5</f>
        <v>1.0079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3378</v>
      </c>
      <c r="B6" s="3181">
        <v>2024</v>
      </c>
      <c r="C6" s="3182">
        <v>4</v>
      </c>
      <c r="D6" s="3183">
        <v>0</v>
      </c>
      <c r="E6" s="3183">
        <v>0</v>
      </c>
      <c r="F6" s="3183">
        <v>0</v>
      </c>
      <c r="G6" s="3183">
        <v>0</v>
      </c>
      <c r="H6" s="3184">
        <v>0</v>
      </c>
      <c r="I6" s="3185">
        <f t="shared" ref="I6" si="15">F6</f>
        <v>0</v>
      </c>
      <c r="J6" s="3186"/>
      <c r="K6" s="3187">
        <f t="shared" ref="K6" si="16">D6/100</f>
        <v>0</v>
      </c>
      <c r="L6" s="3188">
        <f t="shared" ref="L6" si="17">E6/100</f>
        <v>0</v>
      </c>
      <c r="M6" s="3188">
        <f t="shared" ref="M6" si="18">F6/100</f>
        <v>0</v>
      </c>
      <c r="N6" s="3188">
        <f t="shared" ref="N6" si="19">G6/100</f>
        <v>0</v>
      </c>
      <c r="O6" s="3188">
        <f t="shared" ref="O6" si="20">H6/100</f>
        <v>0</v>
      </c>
      <c r="P6" s="3188">
        <f>M6</f>
        <v>0</v>
      </c>
      <c r="Q6" s="3186"/>
      <c r="R6" s="3186">
        <f>ROUND(IF(项目基本情况!$B$8="出让",SUMPRODUCT(PRODUCT(1+K6:$K$21)),SUMPRODUCT(PRODUCT(1+K6:$K$20))),4)</f>
        <v>1.0620000000000001</v>
      </c>
      <c r="S6" s="3186">
        <f>ROUND(IF(项目基本情况!$B$8="出让",SUMPRODUCT(PRODUCT(1+L6:$L$21)),SUMPRODUCT(PRODUCT(1+L6:$L$20))),4)</f>
        <v>1.0448</v>
      </c>
      <c r="T6" s="3186">
        <f>ROUND(IF(项目基本情况!$B$8="出让",SUMPRODUCT(PRODUCT(1+M6:$M$21)),SUMPRODUCT(PRODUCT(1+M6:$M$20))),4)</f>
        <v>1.0079</v>
      </c>
      <c r="U6" s="3186">
        <f>ROUND(IF(项目基本情况!$B$8="出让",SUMPRODUCT(PRODUCT(1+N6:$N$21)),SUMPRODUCT(PRODUCT(1+N6:$N$20))),4)</f>
        <v>1.0672999999999999</v>
      </c>
      <c r="V6" s="3186">
        <f>ROUND(IF(项目基本情况!$B$8="出让",SUMPRODUCT(PRODUCT(1+O6:$O$21)),SUMPRODUCT(PRODUCT(1+O6:$O$20))),4)</f>
        <v>1.0818000000000001</v>
      </c>
      <c r="W6" s="3186">
        <f>T6</f>
        <v>1.0079</v>
      </c>
      <c r="X6" s="3186"/>
      <c r="Y6" s="3188">
        <f>IF(D6=0,0,ROUND(AVERAGE(D6:D19)/100,4))</f>
        <v>0</v>
      </c>
      <c r="Z6" s="3188">
        <f t="shared" ref="Z6" si="21">IF(E6=0,0,ROUND(AVERAGE(E6:E19)/100,4))</f>
        <v>0</v>
      </c>
      <c r="AA6" s="3188">
        <f t="shared" ref="AA6" si="22">IF(F6=0,0,ROUND(AVERAGE(F6:F19)/100,4))</f>
        <v>0</v>
      </c>
      <c r="AB6" s="3188">
        <f t="shared" ref="AB6" si="23">IF(G6=0,0,ROUND(AVERAGE(G6:G19)/100,4))</f>
        <v>0</v>
      </c>
      <c r="AC6" s="3188">
        <f t="shared" ref="AC6" si="24">IF(H6=0,0,ROUND(AVERAGE(H6:H19)/100,4))</f>
        <v>0</v>
      </c>
      <c r="AD6" s="3188">
        <f t="shared" ref="AD6" si="25">AA6</f>
        <v>0</v>
      </c>
    </row>
    <row r="7" spans="1:30" s="3179" customFormat="1" ht="12.75">
      <c r="A7" s="2203" t="s">
        <v>3377</v>
      </c>
      <c r="B7" s="3171">
        <v>2024</v>
      </c>
      <c r="C7" s="3172">
        <v>3</v>
      </c>
      <c r="D7" s="3173">
        <v>-1.19</v>
      </c>
      <c r="E7" s="3173">
        <v>-0.47</v>
      </c>
      <c r="F7" s="3173">
        <v>-0.28999999999999998</v>
      </c>
      <c r="G7" s="3173">
        <v>-0.74</v>
      </c>
      <c r="H7" s="3173">
        <v>-0.21</v>
      </c>
      <c r="I7" s="3174">
        <f t="shared" ref="I7" si="26">F7</f>
        <v>-0.28999999999999998</v>
      </c>
      <c r="J7" s="3175"/>
      <c r="K7" s="3176">
        <f t="shared" ref="K7" si="27">D7/100</f>
        <v>-1.1899999999999999E-2</v>
      </c>
      <c r="L7" s="3166">
        <f t="shared" ref="L7" si="28">E7/100</f>
        <v>-4.6999999999999993E-3</v>
      </c>
      <c r="M7" s="3166">
        <f t="shared" ref="M7" si="29">F7/100</f>
        <v>-2.8999999999999998E-3</v>
      </c>
      <c r="N7" s="3166">
        <f t="shared" ref="N7" si="30">G7/100</f>
        <v>-7.4000000000000003E-3</v>
      </c>
      <c r="O7" s="3166">
        <f t="shared" ref="O7" si="31">H7/100</f>
        <v>-2.0999999999999999E-3</v>
      </c>
      <c r="P7" s="3166">
        <f>M7</f>
        <v>-2.8999999999999998E-3</v>
      </c>
      <c r="Q7" s="3175"/>
      <c r="R7" s="3177">
        <f>ROUND(IF(项目基本情况!$B$8="出让",SUMPRODUCT(PRODUCT(1+K7:$K$21)),SUMPRODUCT(PRODUCT(1+K7:$K$20))),4)</f>
        <v>1.0620000000000001</v>
      </c>
      <c r="S7" s="3177">
        <f>ROUND(IF(项目基本情况!$B$8="出让",SUMPRODUCT(PRODUCT(1+L7:$L$21)),SUMPRODUCT(PRODUCT(1+L7:$L$20))),4)</f>
        <v>1.0448</v>
      </c>
      <c r="T7" s="3177">
        <f>ROUND(IF(项目基本情况!$B$8="出让",SUMPRODUCT(PRODUCT(1+M7:$M$21)),SUMPRODUCT(PRODUCT(1+M7:$M$20))),4)</f>
        <v>1.0079</v>
      </c>
      <c r="U7" s="3177">
        <f>ROUND(IF(项目基本情况!$B$8="出让",SUMPRODUCT(PRODUCT(1+N7:$N$21)),SUMPRODUCT(PRODUCT(1+N7:$N$20))),4)</f>
        <v>1.0672999999999999</v>
      </c>
      <c r="V7" s="3177">
        <f>ROUND(IF(项目基本情况!$B$8="出让",SUMPRODUCT(PRODUCT(1+O7:$O$21)),SUMPRODUCT(PRODUCT(1+O7:$O$20))),4)</f>
        <v>1.0818000000000001</v>
      </c>
      <c r="W7" s="3177">
        <f>T7</f>
        <v>1.0079</v>
      </c>
      <c r="X7" s="3175"/>
      <c r="Y7" s="3178">
        <f>IF(D7=0,0,ROUND(AVERAGE(D7:D20)/100,4))</f>
        <v>4.3E-3</v>
      </c>
      <c r="Z7" s="3178">
        <f t="shared" ref="Z7" si="32">IF(E7=0,0,ROUND(AVERAGE(E7:E20)/100,4))</f>
        <v>3.0999999999999999E-3</v>
      </c>
      <c r="AA7" s="3178">
        <f t="shared" ref="AA7" si="33">IF(F7=0,0,ROUND(AVERAGE(F7:F20)/100,4))</f>
        <v>5.9999999999999995E-4</v>
      </c>
      <c r="AB7" s="3178">
        <f t="shared" ref="AB7" si="34">IF(G7=0,0,ROUND(AVERAGE(G7:G20)/100,4))</f>
        <v>4.7000000000000002E-3</v>
      </c>
      <c r="AC7" s="3178">
        <f t="shared" ref="AC7" si="35">IF(H7=0,0,ROUND(AVERAGE(H7:H20)/100,4))</f>
        <v>5.5999999999999999E-3</v>
      </c>
      <c r="AD7" s="3178">
        <f t="shared" ref="AD7" si="36">AA7</f>
        <v>5.9999999999999995E-4</v>
      </c>
    </row>
    <row r="8" spans="1:30" s="3179" customFormat="1" ht="12.75">
      <c r="A8" s="3170" t="s">
        <v>3370</v>
      </c>
      <c r="B8" s="3171">
        <v>2024</v>
      </c>
      <c r="C8" s="3172">
        <v>2</v>
      </c>
      <c r="D8" s="3173">
        <v>-0.59</v>
      </c>
      <c r="E8" s="3173">
        <v>-0.21</v>
      </c>
      <c r="F8" s="3173">
        <v>-1.38</v>
      </c>
      <c r="G8" s="3173">
        <v>-1.24</v>
      </c>
      <c r="H8" s="3190">
        <v>0.34</v>
      </c>
      <c r="I8" s="3174">
        <f t="shared" ref="I8:I21" si="37">F8</f>
        <v>-1.38</v>
      </c>
      <c r="J8" s="3175"/>
      <c r="K8" s="3176">
        <f t="shared" ref="K8:O21" si="38">D8/100</f>
        <v>-5.8999999999999999E-3</v>
      </c>
      <c r="L8" s="3166">
        <f t="shared" si="38"/>
        <v>-2.0999999999999999E-3</v>
      </c>
      <c r="M8" s="3166">
        <f t="shared" si="38"/>
        <v>-1.38E-2</v>
      </c>
      <c r="N8" s="3166">
        <f t="shared" si="38"/>
        <v>-1.24E-2</v>
      </c>
      <c r="O8" s="3166">
        <f t="shared" si="38"/>
        <v>3.4000000000000002E-3</v>
      </c>
      <c r="P8" s="3166">
        <f>M8</f>
        <v>-1.38E-2</v>
      </c>
      <c r="Q8" s="3175"/>
      <c r="R8" s="3177">
        <f>ROUND(IF(项目基本情况!$B$8="出让",SUMPRODUCT(PRODUCT(1+K8:$K$21)),SUMPRODUCT(PRODUCT(1+K8:$K$20))),4)</f>
        <v>1.0748</v>
      </c>
      <c r="S8" s="3177">
        <f>ROUND(IF(项目基本情况!$B$8="出让",SUMPRODUCT(PRODUCT(1+L8:$L$21)),SUMPRODUCT(PRODUCT(1+L8:$L$20))),4)</f>
        <v>1.0498000000000001</v>
      </c>
      <c r="T8" s="3177">
        <f>ROUND(IF(项目基本情况!$B$8="出让",SUMPRODUCT(PRODUCT(1+M8:$M$21)),SUMPRODUCT(PRODUCT(1+M8:$M$20))),4)</f>
        <v>1.0107999999999999</v>
      </c>
      <c r="U8" s="3177">
        <f>ROUND(IF(项目基本情况!$B$8="出让",SUMPRODUCT(PRODUCT(1+N8:$N$21)),SUMPRODUCT(PRODUCT(1+N8:$N$20))),4)</f>
        <v>1.0752999999999999</v>
      </c>
      <c r="V8" s="3177">
        <f>ROUND(IF(项目基本情况!$B$8="出让",SUMPRODUCT(PRODUCT(1+O8:$O$21)),SUMPRODUCT(PRODUCT(1+O8:$O$20))),4)</f>
        <v>1.0841000000000001</v>
      </c>
      <c r="W8" s="3177">
        <f>T8</f>
        <v>1.0107999999999999</v>
      </c>
      <c r="X8" s="3175"/>
      <c r="Y8" s="3178">
        <f>IF(D8=0,0,ROUND(AVERAGE(D8:D21)/100,4))</f>
        <v>5.8999999999999999E-3</v>
      </c>
      <c r="Z8" s="3178">
        <f t="shared" ref="Z8:AC8" si="39">IF(E8=0,0,ROUND(AVERAGE(E8:E21)/100,4))</f>
        <v>3.5999999999999999E-3</v>
      </c>
      <c r="AA8" s="3178">
        <f t="shared" si="39"/>
        <v>5.9999999999999995E-4</v>
      </c>
      <c r="AB8" s="3178">
        <f t="shared" si="39"/>
        <v>6.0000000000000001E-3</v>
      </c>
      <c r="AC8" s="3178">
        <f t="shared" si="39"/>
        <v>6.0000000000000001E-3</v>
      </c>
      <c r="AD8" s="3178">
        <f t="shared" ref="AD8:AD20" si="40">AA8</f>
        <v>5.9999999999999995E-4</v>
      </c>
    </row>
    <row r="9" spans="1:30" s="3179" customFormat="1" ht="12.75">
      <c r="A9" s="3170" t="s">
        <v>3366</v>
      </c>
      <c r="B9" s="3171">
        <v>2024</v>
      </c>
      <c r="C9" s="3172">
        <v>1</v>
      </c>
      <c r="D9" s="3173">
        <v>0.08</v>
      </c>
      <c r="E9" s="3173">
        <v>0.46</v>
      </c>
      <c r="F9" s="3173">
        <v>-0.16</v>
      </c>
      <c r="G9" s="3173">
        <v>0.26</v>
      </c>
      <c r="H9" s="3190">
        <v>0.59</v>
      </c>
      <c r="I9" s="3174">
        <v>0</v>
      </c>
      <c r="J9" s="3175"/>
      <c r="K9" s="3176">
        <f t="shared" ref="K9" si="41">D9/100</f>
        <v>8.0000000000000004E-4</v>
      </c>
      <c r="L9" s="3166">
        <f t="shared" ref="L9" si="42">E9/100</f>
        <v>4.5999999999999999E-3</v>
      </c>
      <c r="M9" s="3166">
        <f t="shared" ref="M9" si="43">F9/100</f>
        <v>-1.6000000000000001E-3</v>
      </c>
      <c r="N9" s="3166">
        <f t="shared" ref="N9" si="44">G9/100</f>
        <v>2.5999999999999999E-3</v>
      </c>
      <c r="O9" s="3166">
        <f t="shared" ref="O9" si="45">H9/100</f>
        <v>5.8999999999999999E-3</v>
      </c>
      <c r="P9" s="3166">
        <f t="shared" ref="P9" si="46">M9</f>
        <v>-1.6000000000000001E-3</v>
      </c>
      <c r="Q9" s="3175"/>
      <c r="R9" s="3177">
        <f>ROUND(IF(项目基本情况!$B$8="出让",SUMPRODUCT(PRODUCT(1+K9:$K$21)),SUMPRODUCT(PRODUCT(1+K9:$K$20))),4)</f>
        <v>1.0811999999999999</v>
      </c>
      <c r="S9" s="3177">
        <f>ROUND(IF(项目基本情况!$B$8="出让",SUMPRODUCT(PRODUCT(1+L9:$L$21)),SUMPRODUCT(PRODUCT(1+L9:$L$20))),4)</f>
        <v>1.052</v>
      </c>
      <c r="T9" s="3177">
        <f>ROUND(IF(项目基本情况!$B$8="出让",SUMPRODUCT(PRODUCT(1+M9:$M$21)),SUMPRODUCT(PRODUCT(1+M9:$M$20))),4)</f>
        <v>1.0249999999999999</v>
      </c>
      <c r="U9" s="3177">
        <f>ROUND(IF(项目基本情况!$B$8="出让",SUMPRODUCT(PRODUCT(1+N9:$N$21)),SUMPRODUCT(PRODUCT(1+N9:$N$20))),4)</f>
        <v>1.0888</v>
      </c>
      <c r="V9" s="3177">
        <f>ROUND(IF(项目基本情况!$B$8="出让",SUMPRODUCT(PRODUCT(1+O9:$O$21)),SUMPRODUCT(PRODUCT(1+O9:$O$20))),4)</f>
        <v>1.0804</v>
      </c>
      <c r="W9" s="3177">
        <f t="shared" ref="W9" si="47">T9</f>
        <v>1.0249999999999999</v>
      </c>
      <c r="X9" s="3175"/>
      <c r="Y9" s="3178"/>
      <c r="Z9" s="3178"/>
      <c r="AA9" s="3178"/>
      <c r="AB9" s="3178"/>
      <c r="AC9" s="3178"/>
      <c r="AD9" s="3178"/>
    </row>
    <row r="10" spans="1:30" s="3179" customFormat="1" ht="12.75">
      <c r="A10" s="3170" t="s">
        <v>3362</v>
      </c>
      <c r="B10" s="3171">
        <v>2023</v>
      </c>
      <c r="C10" s="3172">
        <v>4</v>
      </c>
      <c r="D10" s="3173">
        <v>0.19</v>
      </c>
      <c r="E10" s="3173">
        <v>0.24</v>
      </c>
      <c r="F10" s="3173">
        <v>-0.16</v>
      </c>
      <c r="G10" s="3173">
        <v>0.17</v>
      </c>
      <c r="H10" s="3190">
        <v>0.61</v>
      </c>
      <c r="I10" s="3174">
        <f>F10</f>
        <v>-0.16</v>
      </c>
      <c r="J10" s="3175"/>
      <c r="K10" s="3176">
        <f t="shared" si="38"/>
        <v>1.9E-3</v>
      </c>
      <c r="L10" s="3166">
        <f t="shared" si="38"/>
        <v>2.3999999999999998E-3</v>
      </c>
      <c r="M10" s="3166">
        <f t="shared" si="38"/>
        <v>-1.6000000000000001E-3</v>
      </c>
      <c r="N10" s="3166">
        <f t="shared" si="38"/>
        <v>1.7000000000000001E-3</v>
      </c>
      <c r="O10" s="3166">
        <f t="shared" si="38"/>
        <v>6.0999999999999995E-3</v>
      </c>
      <c r="P10" s="3166">
        <f t="shared" ref="P10" si="48">M10</f>
        <v>-1.6000000000000001E-3</v>
      </c>
      <c r="Q10" s="3175"/>
      <c r="R10" s="3177">
        <f>ROUND(IF(项目基本情况!$B$8="出让",SUMPRODUCT(PRODUCT(1+K10:$K$21)),SUMPRODUCT(PRODUCT(1+K10:$K$20))),4)</f>
        <v>1.0804</v>
      </c>
      <c r="S10" s="3177">
        <f>ROUND(IF(项目基本情况!$B$8="出让",SUMPRODUCT(PRODUCT(1+L10:$L$21)),SUMPRODUCT(PRODUCT(1+L10:$L$20))),4)</f>
        <v>1.0471999999999999</v>
      </c>
      <c r="T10" s="3177">
        <f>ROUND(IF(项目基本情况!$B$8="出让",SUMPRODUCT(PRODUCT(1+M10:$M$21)),SUMPRODUCT(PRODUCT(1+M10:$M$20))),4)</f>
        <v>1.0266</v>
      </c>
      <c r="U10" s="3177">
        <f>ROUND(IF(项目基本情况!$B$8="出让",SUMPRODUCT(PRODUCT(1+N10:$N$21)),SUMPRODUCT(PRODUCT(1+N10:$N$20))),4)</f>
        <v>1.0859000000000001</v>
      </c>
      <c r="V10" s="3177">
        <f>ROUND(IF(项目基本情况!$B$8="出让",SUMPRODUCT(PRODUCT(1+O10:$O$21)),SUMPRODUCT(PRODUCT(1+O10:$O$20))),4)</f>
        <v>1.0741000000000001</v>
      </c>
      <c r="W10" s="3177">
        <f t="shared" ref="W10" si="49">T10</f>
        <v>1.0266</v>
      </c>
      <c r="X10" s="3175"/>
      <c r="Y10" s="3178"/>
      <c r="Z10" s="3178"/>
      <c r="AA10" s="3178"/>
      <c r="AB10" s="3178"/>
      <c r="AC10" s="3178"/>
      <c r="AD10" s="3178"/>
    </row>
    <row r="11" spans="1:30" s="3179" customFormat="1" ht="12.75">
      <c r="A11" s="3170" t="s">
        <v>3361</v>
      </c>
      <c r="B11" s="3171">
        <v>2023</v>
      </c>
      <c r="C11" s="3172">
        <v>3</v>
      </c>
      <c r="D11" s="3173">
        <v>0.25</v>
      </c>
      <c r="E11" s="3173">
        <v>0.5</v>
      </c>
      <c r="F11" s="3173">
        <v>0.31</v>
      </c>
      <c r="G11" s="3173">
        <v>0.21</v>
      </c>
      <c r="H11" s="3190">
        <v>0.43</v>
      </c>
      <c r="I11" s="3174">
        <f t="shared" si="37"/>
        <v>0.31</v>
      </c>
      <c r="J11" s="3175"/>
      <c r="K11" s="3176">
        <f t="shared" ref="K11:K13" si="50">D11/100</f>
        <v>2.5000000000000001E-3</v>
      </c>
      <c r="L11" s="3166">
        <f t="shared" ref="L11:L13" si="51">E11/100</f>
        <v>5.0000000000000001E-3</v>
      </c>
      <c r="M11" s="3166">
        <f t="shared" ref="M11:M13" si="52">F11/100</f>
        <v>3.0999999999999999E-3</v>
      </c>
      <c r="N11" s="3166">
        <f t="shared" ref="N11:N13" si="53">G11/100</f>
        <v>2.0999999999999999E-3</v>
      </c>
      <c r="O11" s="3166">
        <f t="shared" ref="O11:O13" si="54">H11/100</f>
        <v>4.3E-3</v>
      </c>
      <c r="P11" s="3166">
        <f t="shared" ref="P11:P13" si="55">M11</f>
        <v>3.0999999999999999E-3</v>
      </c>
      <c r="Q11" s="3175"/>
      <c r="R11" s="3177">
        <f>ROUND(IF(项目基本情况!$B$8="出让",SUMPRODUCT(PRODUCT(1+K11:$K$21)),SUMPRODUCT(PRODUCT(1+K11:$K$20))),4)</f>
        <v>1.0783</v>
      </c>
      <c r="S11" s="3177">
        <f>ROUND(IF(项目基本情况!$B$8="出让",SUMPRODUCT(PRODUCT(1+L11:$L$21)),SUMPRODUCT(PRODUCT(1+L11:$L$20))),4)</f>
        <v>1.0447</v>
      </c>
      <c r="T11" s="3177">
        <f>ROUND(IF(项目基本情况!$B$8="出让",SUMPRODUCT(PRODUCT(1+M11:$M$21)),SUMPRODUCT(PRODUCT(1+M11:$M$20))),4)</f>
        <v>1.0282</v>
      </c>
      <c r="U11" s="3177">
        <f>ROUND(IF(项目基本情况!$B$8="出让",SUMPRODUCT(PRODUCT(1+N11:$N$21)),SUMPRODUCT(PRODUCT(1+N11:$N$20))),4)</f>
        <v>1.0841000000000001</v>
      </c>
      <c r="V11" s="3177">
        <f>ROUND(IF(项目基本情况!$B$8="出让",SUMPRODUCT(PRODUCT(1+O11:$O$21)),SUMPRODUCT(PRODUCT(1+O11:$O$20))),4)</f>
        <v>1.0674999999999999</v>
      </c>
      <c r="W11" s="3177">
        <f t="shared" ref="W11:W12" si="56">T11</f>
        <v>1.0282</v>
      </c>
      <c r="X11" s="3175"/>
      <c r="Y11" s="3178"/>
      <c r="Z11" s="3178"/>
      <c r="AA11" s="3178"/>
      <c r="AB11" s="3178"/>
      <c r="AC11" s="3178"/>
      <c r="AD11" s="3178"/>
    </row>
    <row r="12" spans="1:30" s="3179" customFormat="1" ht="12.75">
      <c r="A12" s="3170" t="s">
        <v>3359</v>
      </c>
      <c r="B12" s="3171">
        <v>2023</v>
      </c>
      <c r="C12" s="3172">
        <v>2</v>
      </c>
      <c r="D12" s="3173">
        <v>0.91</v>
      </c>
      <c r="E12" s="3173">
        <v>0.66</v>
      </c>
      <c r="F12" s="3173">
        <v>0.47</v>
      </c>
      <c r="G12" s="3173">
        <v>0.96</v>
      </c>
      <c r="H12" s="3190">
        <v>0.71</v>
      </c>
      <c r="I12" s="3174">
        <f t="shared" si="37"/>
        <v>0.47</v>
      </c>
      <c r="J12" s="3175"/>
      <c r="K12" s="3176">
        <f t="shared" si="50"/>
        <v>9.1000000000000004E-3</v>
      </c>
      <c r="L12" s="3166">
        <f t="shared" si="51"/>
        <v>6.6E-3</v>
      </c>
      <c r="M12" s="3166">
        <f t="shared" si="52"/>
        <v>4.6999999999999993E-3</v>
      </c>
      <c r="N12" s="3166">
        <f t="shared" si="53"/>
        <v>9.5999999999999992E-3</v>
      </c>
      <c r="O12" s="3166">
        <f t="shared" si="54"/>
        <v>7.0999999999999995E-3</v>
      </c>
      <c r="P12" s="3166">
        <f t="shared" si="55"/>
        <v>4.6999999999999993E-3</v>
      </c>
      <c r="Q12" s="3175"/>
      <c r="R12" s="3177">
        <f>ROUND(IF(项目基本情况!$B$8="出让",SUMPRODUCT(PRODUCT(1+K12:$K$21)),SUMPRODUCT(PRODUCT(1+K12:$K$20))),4)</f>
        <v>1.0755999999999999</v>
      </c>
      <c r="S12" s="3177">
        <f>ROUND(IF(项目基本情况!$B$8="出让",SUMPRODUCT(PRODUCT(1+L12:$L$21)),SUMPRODUCT(PRODUCT(1+L12:$L$20))),4)</f>
        <v>1.0395000000000001</v>
      </c>
      <c r="T12" s="3177">
        <f>ROUND(IF(项目基本情况!$B$8="出让",SUMPRODUCT(PRODUCT(1+M12:$M$21)),SUMPRODUCT(PRODUCT(1+M12:$M$20))),4)</f>
        <v>1.0250999999999999</v>
      </c>
      <c r="U12" s="3177">
        <f>ROUND(IF(项目基本情况!$B$8="出让",SUMPRODUCT(PRODUCT(1+N12:$N$21)),SUMPRODUCT(PRODUCT(1+N12:$N$20))),4)</f>
        <v>1.0818000000000001</v>
      </c>
      <c r="V12" s="3177">
        <f>ROUND(IF(项目基本情况!$B$8="出让",SUMPRODUCT(PRODUCT(1+O12:$O$21)),SUMPRODUCT(PRODUCT(1+O12:$O$20))),4)</f>
        <v>1.0629999999999999</v>
      </c>
      <c r="W12" s="3177">
        <f t="shared" si="56"/>
        <v>1.0250999999999999</v>
      </c>
      <c r="X12" s="3175"/>
      <c r="Y12" s="3178"/>
      <c r="Z12" s="3178"/>
      <c r="AA12" s="3178"/>
      <c r="AB12" s="3178"/>
      <c r="AC12" s="3178"/>
      <c r="AD12" s="3178"/>
    </row>
    <row r="13" spans="1:30" s="3179" customFormat="1" ht="12.75">
      <c r="A13" s="3170" t="s">
        <v>3358</v>
      </c>
      <c r="B13" s="3171">
        <v>2023</v>
      </c>
      <c r="C13" s="3172">
        <v>1</v>
      </c>
      <c r="D13" s="3173">
        <v>0.89</v>
      </c>
      <c r="E13" s="3173">
        <v>0.74</v>
      </c>
      <c r="F13" s="3173">
        <v>0.56999999999999995</v>
      </c>
      <c r="G13" s="3173">
        <v>0.92</v>
      </c>
      <c r="H13" s="3190">
        <v>0.5</v>
      </c>
      <c r="I13" s="3174">
        <f t="shared" si="37"/>
        <v>0.56999999999999995</v>
      </c>
      <c r="J13" s="3175"/>
      <c r="K13" s="3176">
        <f t="shared" si="50"/>
        <v>8.8999999999999999E-3</v>
      </c>
      <c r="L13" s="3166">
        <f t="shared" si="51"/>
        <v>7.4000000000000003E-3</v>
      </c>
      <c r="M13" s="3166">
        <f t="shared" si="52"/>
        <v>5.6999999999999993E-3</v>
      </c>
      <c r="N13" s="3166">
        <f t="shared" si="53"/>
        <v>9.1999999999999998E-3</v>
      </c>
      <c r="O13" s="3166">
        <f t="shared" si="54"/>
        <v>5.0000000000000001E-3</v>
      </c>
      <c r="P13" s="3166">
        <f t="shared" si="55"/>
        <v>5.6999999999999993E-3</v>
      </c>
      <c r="Q13" s="3175"/>
      <c r="R13" s="3177">
        <f>ROUND(IF(项目基本情况!$B$8="出让",SUMPRODUCT(PRODUCT(1+K13:$K$21)),SUMPRODUCT(PRODUCT(1+K13:$K$20))),4)</f>
        <v>1.0659000000000001</v>
      </c>
      <c r="S13" s="3177">
        <f>ROUND(IF(项目基本情况!$B$8="出让",SUMPRODUCT(PRODUCT(1+L13:$L$21)),SUMPRODUCT(PRODUCT(1+L13:$L$20))),4)</f>
        <v>1.0326</v>
      </c>
      <c r="T13" s="3177">
        <f>ROUND(IF(项目基本情况!$B$8="出让",SUMPRODUCT(PRODUCT(1+M13:$M$21)),SUMPRODUCT(PRODUCT(1+M13:$M$20))),4)</f>
        <v>1.0203</v>
      </c>
      <c r="U13" s="3177">
        <f>ROUND(IF(项目基本情况!$B$8="出让",SUMPRODUCT(PRODUCT(1+N13:$N$21)),SUMPRODUCT(PRODUCT(1+N13:$N$20))),4)</f>
        <v>1.0714999999999999</v>
      </c>
      <c r="V13" s="3177">
        <f>ROUND(IF(项目基本情况!$B$8="出让",SUMPRODUCT(PRODUCT(1+O13:$O$21)),SUMPRODUCT(PRODUCT(1+O13:$O$20))),4)</f>
        <v>1.0555000000000001</v>
      </c>
      <c r="W13" s="3177">
        <f t="shared" ref="W13:W20" si="57">T13</f>
        <v>1.0203</v>
      </c>
      <c r="X13" s="3175"/>
      <c r="Y13" s="3178"/>
      <c r="Z13" s="3178"/>
      <c r="AA13" s="3178"/>
      <c r="AB13" s="3178"/>
      <c r="AC13" s="3178"/>
      <c r="AD13" s="3178"/>
    </row>
    <row r="14" spans="1:30" s="3179" customFormat="1" ht="12.75">
      <c r="A14" s="3170" t="s">
        <v>3357</v>
      </c>
      <c r="B14" s="3171">
        <v>2022</v>
      </c>
      <c r="C14" s="3172">
        <v>4</v>
      </c>
      <c r="D14" s="3173">
        <v>0.62</v>
      </c>
      <c r="E14" s="3173">
        <v>0.2</v>
      </c>
      <c r="F14" s="3173">
        <v>0.11</v>
      </c>
      <c r="G14" s="3173">
        <v>0.69</v>
      </c>
      <c r="H14" s="3190">
        <v>0.53</v>
      </c>
      <c r="I14" s="3174">
        <f t="shared" si="37"/>
        <v>0.11</v>
      </c>
      <c r="J14" s="3175"/>
      <c r="K14" s="3176">
        <f t="shared" si="38"/>
        <v>6.1999999999999998E-3</v>
      </c>
      <c r="L14" s="3166">
        <f t="shared" si="38"/>
        <v>2E-3</v>
      </c>
      <c r="M14" s="3166">
        <f t="shared" si="38"/>
        <v>1.1000000000000001E-3</v>
      </c>
      <c r="N14" s="3166">
        <f t="shared" si="38"/>
        <v>6.8999999999999999E-3</v>
      </c>
      <c r="O14" s="3166">
        <f t="shared" si="38"/>
        <v>5.3E-3</v>
      </c>
      <c r="P14" s="3166">
        <f t="shared" ref="P14:P21" si="58">M14</f>
        <v>1.1000000000000001E-3</v>
      </c>
      <c r="Q14" s="3175"/>
      <c r="R14" s="3177">
        <f>ROUND(IF(项目基本情况!$B$8="出让",SUMPRODUCT(PRODUCT(1+K14:$K$21)),SUMPRODUCT(PRODUCT(1+K14:$K$20))),4)</f>
        <v>1.0565</v>
      </c>
      <c r="S14" s="3177">
        <f>ROUND(IF(项目基本情况!$B$8="出让",SUMPRODUCT(PRODUCT(1+L14:$L$21)),SUMPRODUCT(PRODUCT(1+L14:$L$20))),4)</f>
        <v>1.0250999999999999</v>
      </c>
      <c r="T14" s="3177">
        <f>ROUND(IF(项目基本情况!$B$8="出让",SUMPRODUCT(PRODUCT(1+M14:$M$21)),SUMPRODUCT(PRODUCT(1+M14:$M$20))),4)</f>
        <v>1.0145</v>
      </c>
      <c r="U14" s="3177">
        <f>ROUND(IF(项目基本情况!$B$8="出让",SUMPRODUCT(PRODUCT(1+N14:$N$21)),SUMPRODUCT(PRODUCT(1+N14:$N$20))),4)</f>
        <v>1.0618000000000001</v>
      </c>
      <c r="V14" s="3177">
        <f>ROUND(IF(项目基本情况!$B$8="出让",SUMPRODUCT(PRODUCT(1+O14:$O$21)),SUMPRODUCT(PRODUCT(1+O14:$O$20))),4)</f>
        <v>1.0502</v>
      </c>
      <c r="W14" s="3177">
        <f t="shared" si="57"/>
        <v>1.0145</v>
      </c>
      <c r="X14" s="3175"/>
      <c r="Y14" s="3178">
        <f>IF(D14=0,0,ROUND(AVERAGE(D14:D22)/100,4))</f>
        <v>8.0999999999999996E-3</v>
      </c>
      <c r="Z14" s="3178">
        <f t="shared" ref="Z14:AC14" si="59">IF(E14=0,0,ROUND(AVERAGE(E14:E21)/100,4))</f>
        <v>3.3E-3</v>
      </c>
      <c r="AA14" s="3178">
        <f t="shared" si="59"/>
        <v>1.5E-3</v>
      </c>
      <c r="AB14" s="3178">
        <f t="shared" si="59"/>
        <v>8.8999999999999999E-3</v>
      </c>
      <c r="AC14" s="3178">
        <f t="shared" si="59"/>
        <v>6.6E-3</v>
      </c>
      <c r="AD14" s="3178">
        <f t="shared" si="40"/>
        <v>1.5E-3</v>
      </c>
    </row>
    <row r="15" spans="1:30" s="3179" customFormat="1" ht="12.75">
      <c r="A15" s="3170" t="s">
        <v>3355</v>
      </c>
      <c r="B15" s="3171">
        <v>2022</v>
      </c>
      <c r="C15" s="3172">
        <v>3</v>
      </c>
      <c r="D15" s="3173">
        <v>0.66</v>
      </c>
      <c r="E15" s="3173">
        <v>0.32</v>
      </c>
      <c r="F15" s="3173">
        <v>0.23</v>
      </c>
      <c r="G15" s="3173">
        <v>0.72</v>
      </c>
      <c r="H15" s="3190">
        <v>0.63</v>
      </c>
      <c r="I15" s="3174">
        <f t="shared" si="37"/>
        <v>0.23</v>
      </c>
      <c r="J15" s="3175"/>
      <c r="K15" s="3176">
        <f t="shared" si="38"/>
        <v>6.6E-3</v>
      </c>
      <c r="L15" s="3166">
        <f t="shared" si="38"/>
        <v>3.2000000000000002E-3</v>
      </c>
      <c r="M15" s="3166">
        <f t="shared" si="38"/>
        <v>2.3E-3</v>
      </c>
      <c r="N15" s="3166">
        <f t="shared" si="38"/>
        <v>7.1999999999999998E-3</v>
      </c>
      <c r="O15" s="3166">
        <f t="shared" si="38"/>
        <v>6.3E-3</v>
      </c>
      <c r="P15" s="3166">
        <f t="shared" si="58"/>
        <v>2.3E-3</v>
      </c>
      <c r="Q15" s="3175"/>
      <c r="R15" s="3177">
        <f>ROUND(IF(项目基本情况!$B$8="出让",SUMPRODUCT(PRODUCT(1+K15:$K$21)),SUMPRODUCT(PRODUCT(1+K15:$K$20))),4)</f>
        <v>1.05</v>
      </c>
      <c r="S15" s="3177">
        <f>ROUND(IF(项目基本情况!$B$8="出让",SUMPRODUCT(PRODUCT(1+L15:$L$21)),SUMPRODUCT(PRODUCT(1+L15:$L$20))),4)</f>
        <v>1.0229999999999999</v>
      </c>
      <c r="T15" s="3177">
        <f>ROUND(IF(项目基本情况!$B$8="出让",SUMPRODUCT(PRODUCT(1+M15:$M$21)),SUMPRODUCT(PRODUCT(1+M15:$M$20))),4)</f>
        <v>1.0134000000000001</v>
      </c>
      <c r="U15" s="3177">
        <f>ROUND(IF(项目基本情况!$B$8="出让",SUMPRODUCT(PRODUCT(1+N15:$N$21)),SUMPRODUCT(PRODUCT(1+N15:$N$20))),4)</f>
        <v>1.0545</v>
      </c>
      <c r="V15" s="3177">
        <f>ROUND(IF(项目基本情况!$B$8="出让",SUMPRODUCT(PRODUCT(1+O15:$O$21)),SUMPRODUCT(PRODUCT(1+O15:$O$20))),4)</f>
        <v>1.0447</v>
      </c>
      <c r="W15" s="3177">
        <f t="shared" si="57"/>
        <v>1.0134000000000001</v>
      </c>
      <c r="X15" s="3175"/>
      <c r="Y15" s="3178">
        <f>IF(D15=0,0,ROUND(AVERAGE(D15:D21)/100,4))</f>
        <v>8.3999999999999995E-3</v>
      </c>
      <c r="Z15" s="3178">
        <f t="shared" ref="Z15:AC15" si="60">IF(E15=0,0,ROUND(AVERAGE(E15:E21)/100,4))</f>
        <v>3.5000000000000001E-3</v>
      </c>
      <c r="AA15" s="3178">
        <f t="shared" si="60"/>
        <v>1.5E-3</v>
      </c>
      <c r="AB15" s="3178">
        <f t="shared" si="60"/>
        <v>9.1999999999999998E-3</v>
      </c>
      <c r="AC15" s="3178">
        <f t="shared" si="60"/>
        <v>6.7999999999999996E-3</v>
      </c>
      <c r="AD15" s="3178">
        <f t="shared" si="40"/>
        <v>1.5E-3</v>
      </c>
    </row>
    <row r="16" spans="1:30" s="3179" customFormat="1" ht="12.75">
      <c r="A16" s="3170" t="s">
        <v>3346</v>
      </c>
      <c r="B16" s="3171">
        <v>2022</v>
      </c>
      <c r="C16" s="3172">
        <v>2</v>
      </c>
      <c r="D16" s="3173">
        <v>0.93</v>
      </c>
      <c r="E16" s="3173">
        <v>0.15</v>
      </c>
      <c r="F16" s="3173">
        <v>0.01</v>
      </c>
      <c r="G16" s="3173">
        <v>1.05</v>
      </c>
      <c r="H16" s="3190">
        <v>1.08</v>
      </c>
      <c r="I16" s="3174">
        <f t="shared" si="37"/>
        <v>0.01</v>
      </c>
      <c r="J16" s="3175"/>
      <c r="K16" s="3176">
        <f t="shared" si="38"/>
        <v>9.300000000000001E-3</v>
      </c>
      <c r="L16" s="3166">
        <f t="shared" si="38"/>
        <v>1.5E-3</v>
      </c>
      <c r="M16" s="3166">
        <f t="shared" si="38"/>
        <v>1E-4</v>
      </c>
      <c r="N16" s="3166">
        <f t="shared" si="38"/>
        <v>1.0500000000000001E-2</v>
      </c>
      <c r="O16" s="3166">
        <f t="shared" si="38"/>
        <v>1.0800000000000001E-2</v>
      </c>
      <c r="P16" s="3166">
        <f t="shared" si="58"/>
        <v>1E-4</v>
      </c>
      <c r="Q16" s="3175"/>
      <c r="R16" s="3177">
        <f>ROUND(IF(项目基本情况!$B$8="出让",SUMPRODUCT(PRODUCT(1+K16:$K$21)),SUMPRODUCT(PRODUCT(1+K16:$K$20))),4)</f>
        <v>1.0430999999999999</v>
      </c>
      <c r="S16" s="3177">
        <f>ROUND(IF(项目基本情况!$B$8="出让",SUMPRODUCT(PRODUCT(1+L16:$L$21)),SUMPRODUCT(PRODUCT(1+L16:$L$20))),4)</f>
        <v>1.0197000000000001</v>
      </c>
      <c r="T16" s="3177">
        <f>ROUND(IF(项目基本情况!$B$8="出让",SUMPRODUCT(PRODUCT(1+M16:$M$21)),SUMPRODUCT(PRODUCT(1+M16:$M$20))),4)</f>
        <v>1.0109999999999999</v>
      </c>
      <c r="U16" s="3177">
        <f>ROUND(IF(项目基本情况!$B$8="出让",SUMPRODUCT(PRODUCT(1+N16:$N$21)),SUMPRODUCT(PRODUCT(1+N16:$N$20))),4)</f>
        <v>1.0468999999999999</v>
      </c>
      <c r="V16" s="3177">
        <f>ROUND(IF(项目基本情况!$B$8="出让",SUMPRODUCT(PRODUCT(1+O16:$O$21)),SUMPRODUCT(PRODUCT(1+O16:$O$20))),4)</f>
        <v>1.0382</v>
      </c>
      <c r="W16" s="3177">
        <f t="shared" si="57"/>
        <v>1.0109999999999999</v>
      </c>
      <c r="X16" s="3175"/>
      <c r="Y16" s="3178">
        <f>IF(D16=0,0,ROUND(AVERAGE(D16:D21)/100,4))</f>
        <v>8.6999999999999994E-3</v>
      </c>
      <c r="Z16" s="3178">
        <f t="shared" ref="Z16:AC16" si="61">IF(E16=0,0,ROUND(AVERAGE(E16:E21)/100,4))</f>
        <v>3.5000000000000001E-3</v>
      </c>
      <c r="AA16" s="3178">
        <f t="shared" si="61"/>
        <v>1.4E-3</v>
      </c>
      <c r="AB16" s="3178">
        <f t="shared" si="61"/>
        <v>9.4999999999999998E-3</v>
      </c>
      <c r="AC16" s="3178">
        <f t="shared" si="61"/>
        <v>6.8999999999999999E-3</v>
      </c>
      <c r="AD16" s="3178">
        <f t="shared" si="40"/>
        <v>1.4E-3</v>
      </c>
    </row>
    <row r="17" spans="1:30" s="3179" customFormat="1" ht="12.75">
      <c r="A17" s="3170" t="s">
        <v>2812</v>
      </c>
      <c r="B17" s="3171">
        <v>2022</v>
      </c>
      <c r="C17" s="3172">
        <v>1</v>
      </c>
      <c r="D17" s="3173">
        <v>0.89</v>
      </c>
      <c r="E17" s="3173">
        <v>0.44</v>
      </c>
      <c r="F17" s="3173">
        <v>0.37</v>
      </c>
      <c r="G17" s="3173">
        <v>0.96</v>
      </c>
      <c r="H17" s="3190">
        <v>0.64</v>
      </c>
      <c r="I17" s="3174">
        <f t="shared" si="37"/>
        <v>0.37</v>
      </c>
      <c r="J17" s="3175"/>
      <c r="K17" s="3176">
        <f t="shared" si="38"/>
        <v>8.8999999999999999E-3</v>
      </c>
      <c r="L17" s="3166">
        <f t="shared" si="38"/>
        <v>4.4000000000000003E-3</v>
      </c>
      <c r="M17" s="3166">
        <f t="shared" si="38"/>
        <v>3.7000000000000002E-3</v>
      </c>
      <c r="N17" s="3166">
        <f t="shared" si="38"/>
        <v>9.5999999999999992E-3</v>
      </c>
      <c r="O17" s="3166">
        <f t="shared" si="38"/>
        <v>6.4000000000000003E-3</v>
      </c>
      <c r="P17" s="3166">
        <f t="shared" si="58"/>
        <v>3.7000000000000002E-3</v>
      </c>
      <c r="Q17" s="3175"/>
      <c r="R17" s="3177">
        <f>ROUND(IF(项目基本情况!$B$8="出让",SUMPRODUCT(PRODUCT(1+K17:$K$21)),SUMPRODUCT(PRODUCT(1+K17:$K$20))),4)</f>
        <v>1.0335000000000001</v>
      </c>
      <c r="S17" s="3177">
        <f>ROUND(IF(项目基本情况!$B$8="出让",SUMPRODUCT(PRODUCT(1+L17:$L$21)),SUMPRODUCT(PRODUCT(1+L17:$L$20))),4)</f>
        <v>1.0182</v>
      </c>
      <c r="T17" s="3177">
        <f>ROUND(IF(项目基本情况!$B$8="出让",SUMPRODUCT(PRODUCT(1+M17:$M$21)),SUMPRODUCT(PRODUCT(1+M17:$M$20))),4)</f>
        <v>1.0108999999999999</v>
      </c>
      <c r="U17" s="3177">
        <f>ROUND(IF(项目基本情况!$B$8="出让",SUMPRODUCT(PRODUCT(1+N17:$N$21)),SUMPRODUCT(PRODUCT(1+N17:$N$20))),4)</f>
        <v>1.0361</v>
      </c>
      <c r="V17" s="3177">
        <f>ROUND(IF(项目基本情况!$B$8="出让",SUMPRODUCT(PRODUCT(1+O17:$O$21)),SUMPRODUCT(PRODUCT(1+O17:$O$20))),4)</f>
        <v>1.0270999999999999</v>
      </c>
      <c r="W17" s="3177">
        <f t="shared" si="57"/>
        <v>1.0108999999999999</v>
      </c>
      <c r="X17" s="3175"/>
      <c r="Y17" s="3178">
        <f>IF(D17=0,0,ROUND(AVERAGE(D17:D21)/100,4))</f>
        <v>8.6E-3</v>
      </c>
      <c r="Z17" s="3178">
        <f t="shared" ref="Z17:AC17" si="62">IF(E17=0,0,ROUND(AVERAGE(E17:E21)/100,4))</f>
        <v>3.8999999999999998E-3</v>
      </c>
      <c r="AA17" s="3178">
        <f t="shared" si="62"/>
        <v>1.6999999999999999E-3</v>
      </c>
      <c r="AB17" s="3178">
        <f t="shared" si="62"/>
        <v>9.2999999999999992E-3</v>
      </c>
      <c r="AC17" s="3178">
        <f t="shared" si="62"/>
        <v>6.1000000000000004E-3</v>
      </c>
      <c r="AD17" s="3178">
        <f t="shared" si="40"/>
        <v>1.6999999999999999E-3</v>
      </c>
    </row>
    <row r="18" spans="1:30" s="3179" customFormat="1" ht="12.75">
      <c r="A18" s="3170" t="s">
        <v>2813</v>
      </c>
      <c r="B18" s="3171">
        <v>2021</v>
      </c>
      <c r="C18" s="3172">
        <v>4</v>
      </c>
      <c r="D18" s="3173">
        <v>1.03</v>
      </c>
      <c r="E18" s="3173">
        <v>0.24</v>
      </c>
      <c r="F18" s="3173">
        <v>7.0000000000000007E-2</v>
      </c>
      <c r="G18" s="3173">
        <v>1.17</v>
      </c>
      <c r="H18" s="3190">
        <v>0.55000000000000004</v>
      </c>
      <c r="I18" s="3174">
        <f t="shared" si="37"/>
        <v>7.0000000000000007E-2</v>
      </c>
      <c r="J18" s="3175"/>
      <c r="K18" s="3176">
        <f t="shared" si="38"/>
        <v>1.03E-2</v>
      </c>
      <c r="L18" s="3166">
        <f t="shared" si="38"/>
        <v>2.3999999999999998E-3</v>
      </c>
      <c r="M18" s="3166">
        <f t="shared" si="38"/>
        <v>7.000000000000001E-4</v>
      </c>
      <c r="N18" s="3166">
        <f t="shared" si="38"/>
        <v>1.1699999999999999E-2</v>
      </c>
      <c r="O18" s="3166">
        <f t="shared" si="38"/>
        <v>5.5000000000000005E-3</v>
      </c>
      <c r="P18" s="3166">
        <f t="shared" si="58"/>
        <v>7.000000000000001E-4</v>
      </c>
      <c r="Q18" s="3175"/>
      <c r="R18" s="3177">
        <f>ROUND(IF(项目基本情况!$B$8="出让",SUMPRODUCT(PRODUCT(1+K18:$K$21)),SUMPRODUCT(PRODUCT(1+K18:$K$20))),4)</f>
        <v>1.0244</v>
      </c>
      <c r="S18" s="3177">
        <f>ROUND(IF(项目基本情况!$B$8="出让",SUMPRODUCT(PRODUCT(1+L18:$L$21)),SUMPRODUCT(PRODUCT(1+L18:$L$20))),4)</f>
        <v>1.0138</v>
      </c>
      <c r="T18" s="3177">
        <f>ROUND(IF(项目基本情况!$B$8="出让",SUMPRODUCT(PRODUCT(1+M18:$M$21)),SUMPRODUCT(PRODUCT(1+M18:$M$20))),4)</f>
        <v>1.0072000000000001</v>
      </c>
      <c r="U18" s="3177">
        <f>ROUND(IF(项目基本情况!$B$8="出让",SUMPRODUCT(PRODUCT(1+N18:$N$21)),SUMPRODUCT(PRODUCT(1+N18:$N$20))),4)</f>
        <v>1.0262</v>
      </c>
      <c r="V18" s="3177">
        <f>ROUND(IF(项目基本情况!$B$8="出让",SUMPRODUCT(PRODUCT(1+O18:$O$21)),SUMPRODUCT(PRODUCT(1+O18:$O$20))),4)</f>
        <v>1.0205</v>
      </c>
      <c r="W18" s="3177">
        <f t="shared" si="57"/>
        <v>1.0072000000000001</v>
      </c>
      <c r="X18" s="3175"/>
      <c r="Y18" s="3178">
        <f>IF(D18=0,0,ROUND(AVERAGE(D18:D21)/100,4))</f>
        <v>8.5000000000000006E-3</v>
      </c>
      <c r="Z18" s="3178">
        <f t="shared" ref="Z18:AC18" si="63">IF(E18=0,0,ROUND(AVERAGE(E18:E21)/100,4))</f>
        <v>3.8E-3</v>
      </c>
      <c r="AA18" s="3178">
        <f t="shared" si="63"/>
        <v>1.1999999999999999E-3</v>
      </c>
      <c r="AB18" s="3178">
        <f t="shared" si="63"/>
        <v>9.2999999999999992E-3</v>
      </c>
      <c r="AC18" s="3178">
        <f t="shared" si="63"/>
        <v>6.0000000000000001E-3</v>
      </c>
      <c r="AD18" s="3178">
        <f t="shared" si="40"/>
        <v>1.1999999999999999E-3</v>
      </c>
    </row>
    <row r="19" spans="1:30" s="3179" customFormat="1" ht="12.75">
      <c r="A19" s="3170" t="s">
        <v>2814</v>
      </c>
      <c r="B19" s="3171">
        <v>2021</v>
      </c>
      <c r="C19" s="3172">
        <v>3</v>
      </c>
      <c r="D19" s="3173">
        <v>0.47</v>
      </c>
      <c r="E19" s="3173">
        <v>0.41</v>
      </c>
      <c r="F19" s="3173">
        <v>0.24</v>
      </c>
      <c r="G19" s="3173">
        <v>0.48</v>
      </c>
      <c r="H19" s="3190">
        <v>0.48</v>
      </c>
      <c r="I19" s="3174">
        <f t="shared" si="37"/>
        <v>0.24</v>
      </c>
      <c r="J19" s="3175"/>
      <c r="K19" s="3176">
        <f t="shared" si="38"/>
        <v>4.6999999999999993E-3</v>
      </c>
      <c r="L19" s="3166">
        <f t="shared" si="38"/>
        <v>4.0999999999999995E-3</v>
      </c>
      <c r="M19" s="3166">
        <f t="shared" si="38"/>
        <v>2.3999999999999998E-3</v>
      </c>
      <c r="N19" s="3166">
        <f t="shared" si="38"/>
        <v>4.7999999999999996E-3</v>
      </c>
      <c r="O19" s="3166">
        <f t="shared" si="38"/>
        <v>4.7999999999999996E-3</v>
      </c>
      <c r="P19" s="3166">
        <f t="shared" si="58"/>
        <v>2.3999999999999998E-3</v>
      </c>
      <c r="Q19" s="3175"/>
      <c r="R19" s="3177">
        <f>ROUND(IF(项目基本情况!$B$8="出让",SUMPRODUCT(PRODUCT(1+K19:$K$21)),SUMPRODUCT(PRODUCT(1+K19:$K$20))),4)</f>
        <v>1.0139</v>
      </c>
      <c r="S19" s="3177">
        <f>ROUND(IF(项目基本情况!$B$8="出让",SUMPRODUCT(PRODUCT(1+L19:$L$21)),SUMPRODUCT(PRODUCT(1+L19:$L$20))),4)</f>
        <v>1.0113000000000001</v>
      </c>
      <c r="T19" s="3177">
        <f>ROUND(IF(项目基本情况!$B$8="出让",SUMPRODUCT(PRODUCT(1+M19:$M$21)),SUMPRODUCT(PRODUCT(1+M19:$M$20))),4)</f>
        <v>1.0065</v>
      </c>
      <c r="U19" s="3177">
        <f>ROUND(IF(项目基本情况!$B$8="出让",SUMPRODUCT(PRODUCT(1+N19:$N$21)),SUMPRODUCT(PRODUCT(1+N19:$N$20))),4)</f>
        <v>1.0143</v>
      </c>
      <c r="V19" s="3177">
        <f>ROUND(IF(项目基本情况!$B$8="出让",SUMPRODUCT(PRODUCT(1+O19:$O$21)),SUMPRODUCT(PRODUCT(1+O19:$O$20))),4)</f>
        <v>1.0148999999999999</v>
      </c>
      <c r="W19" s="3177">
        <f t="shared" si="57"/>
        <v>1.0065</v>
      </c>
      <c r="X19" s="3175"/>
      <c r="Y19" s="3178">
        <f>IF(D19=0,0,ROUND(AVERAGE(D19:D21)/100,4))</f>
        <v>7.9000000000000008E-3</v>
      </c>
      <c r="Z19" s="3178">
        <f>IF(E19=0,0,ROUND(AVERAGE(E19:E21)/100,4))</f>
        <v>4.3E-3</v>
      </c>
      <c r="AA19" s="3178">
        <f>IF(F19=0,0,ROUND(AVERAGE(F19:F21)/100,4))</f>
        <v>1.2999999999999999E-3</v>
      </c>
      <c r="AB19" s="3178">
        <f>IF(G19=0,0,ROUND(AVERAGE(G19:G21)/100,4))</f>
        <v>8.5000000000000006E-3</v>
      </c>
      <c r="AC19" s="3178">
        <f>IF(H19=0,0,ROUND(AVERAGE(H19:H21)/100,4))</f>
        <v>6.1999999999999998E-3</v>
      </c>
      <c r="AD19" s="3178">
        <f t="shared" si="40"/>
        <v>1.2999999999999999E-3</v>
      </c>
    </row>
    <row r="20" spans="1:30" s="3179" customFormat="1" ht="12.75">
      <c r="A20" s="3170" t="s">
        <v>2815</v>
      </c>
      <c r="B20" s="3171">
        <v>2021</v>
      </c>
      <c r="C20" s="3172">
        <v>2</v>
      </c>
      <c r="D20" s="3173">
        <v>0.92</v>
      </c>
      <c r="E20" s="3173">
        <v>0.72</v>
      </c>
      <c r="F20" s="3173">
        <v>0.41</v>
      </c>
      <c r="G20" s="3173">
        <v>0.95</v>
      </c>
      <c r="H20" s="3190">
        <v>1.01</v>
      </c>
      <c r="I20" s="3174">
        <f t="shared" si="37"/>
        <v>0.41</v>
      </c>
      <c r="J20" s="3175"/>
      <c r="K20" s="3176">
        <f t="shared" si="38"/>
        <v>9.1999999999999998E-3</v>
      </c>
      <c r="L20" s="3166">
        <f t="shared" si="38"/>
        <v>7.1999999999999998E-3</v>
      </c>
      <c r="M20" s="3166">
        <f t="shared" si="38"/>
        <v>4.0999999999999995E-3</v>
      </c>
      <c r="N20" s="3166">
        <f t="shared" si="38"/>
        <v>9.4999999999999998E-3</v>
      </c>
      <c r="O20" s="3166">
        <f t="shared" si="38"/>
        <v>1.01E-2</v>
      </c>
      <c r="P20" s="3166">
        <f t="shared" si="58"/>
        <v>4.0999999999999995E-3</v>
      </c>
      <c r="Q20" s="3175"/>
      <c r="R20" s="3177">
        <f>ROUND(IF(项目基本情况!$B$8="出让",SUMPRODUCT(PRODUCT(1+K20:$K$21)),SUMPRODUCT(PRODUCT(1+K20:$K$20))),4)</f>
        <v>1.0092000000000001</v>
      </c>
      <c r="S20" s="3177">
        <f>ROUND(IF(项目基本情况!$B$8="出让",SUMPRODUCT(PRODUCT(1+L20:$L$21)),SUMPRODUCT(PRODUCT(1+L20:$L$20))),4)</f>
        <v>1.0072000000000001</v>
      </c>
      <c r="T20" s="3177">
        <f>ROUND(IF(项目基本情况!$B$8="出让",SUMPRODUCT(PRODUCT(1+M20:$M$21)),SUMPRODUCT(PRODUCT(1+M20:$M$20))),4)</f>
        <v>1.0041</v>
      </c>
      <c r="U20" s="3177">
        <f>ROUND(IF(项目基本情况!$B$8="出让",SUMPRODUCT(PRODUCT(1+N20:$N$21)),SUMPRODUCT(PRODUCT(1+N20:$N$20))),4)</f>
        <v>1.0095000000000001</v>
      </c>
      <c r="V20" s="3177">
        <f>ROUND(IF(项目基本情况!$B$8="出让",SUMPRODUCT(PRODUCT(1+O20:$O$21)),SUMPRODUCT(PRODUCT(1+O20:$O$20))),4)</f>
        <v>1.0101</v>
      </c>
      <c r="W20" s="3177">
        <f t="shared" si="57"/>
        <v>1.0041</v>
      </c>
      <c r="X20" s="3175"/>
      <c r="Y20" s="3178">
        <f>IF(D20=0,0,ROUND(AVERAGE(D20:D21)/100,4))</f>
        <v>9.4999999999999998E-3</v>
      </c>
      <c r="Z20" s="3178">
        <f>IF(E20=0,0,ROUND(AVERAGE(E20:E21)/100,4))</f>
        <v>4.4000000000000003E-3</v>
      </c>
      <c r="AA20" s="3178">
        <f>IF(F20=0,0,ROUND(AVERAGE(F20:F21)/100,4))</f>
        <v>8.0000000000000004E-4</v>
      </c>
      <c r="AB20" s="3178">
        <f>IF(G20=0,0,ROUND(AVERAGE(G20:G21)/100,4))</f>
        <v>1.03E-2</v>
      </c>
      <c r="AC20" s="3178">
        <f>IF(H20=0,0,ROUND(AVERAGE(H20:H21)/100,4))</f>
        <v>6.8999999999999999E-3</v>
      </c>
      <c r="AD20" s="3178">
        <f t="shared" si="40"/>
        <v>8.0000000000000004E-4</v>
      </c>
    </row>
    <row r="21" spans="1:30" s="3201" customFormat="1" thickBot="1">
      <c r="A21" s="3191" t="s">
        <v>2816</v>
      </c>
      <c r="B21" s="3192">
        <v>2021</v>
      </c>
      <c r="C21" s="3193">
        <v>1</v>
      </c>
      <c r="D21" s="3194">
        <v>0.97</v>
      </c>
      <c r="E21" s="3194">
        <v>0.16</v>
      </c>
      <c r="F21" s="3194">
        <v>-0.25</v>
      </c>
      <c r="G21" s="3194">
        <v>1.1100000000000001</v>
      </c>
      <c r="H21" s="3195">
        <v>0.36</v>
      </c>
      <c r="I21" s="3196">
        <f t="shared" si="37"/>
        <v>-0.25</v>
      </c>
      <c r="J21" s="3197"/>
      <c r="K21" s="3198">
        <f t="shared" si="38"/>
        <v>9.7000000000000003E-3</v>
      </c>
      <c r="L21" s="3199">
        <f t="shared" si="38"/>
        <v>1.6000000000000001E-3</v>
      </c>
      <c r="M21" s="3199">
        <f>F21/100</f>
        <v>-2.5000000000000001E-3</v>
      </c>
      <c r="N21" s="3199">
        <f t="shared" si="38"/>
        <v>1.11E-2</v>
      </c>
      <c r="O21" s="3199">
        <f t="shared" si="38"/>
        <v>3.5999999999999999E-3</v>
      </c>
      <c r="P21" s="3199">
        <f t="shared" si="58"/>
        <v>-2.5000000000000001E-3</v>
      </c>
      <c r="Q21" s="3197"/>
      <c r="R21" s="3200">
        <v>1</v>
      </c>
      <c r="S21" s="3200">
        <v>1</v>
      </c>
      <c r="T21" s="3200">
        <v>1</v>
      </c>
      <c r="U21" s="3200">
        <v>1</v>
      </c>
      <c r="V21" s="3200">
        <v>1</v>
      </c>
      <c r="W21" s="3200">
        <f t="shared" ref="W21" si="64">T21</f>
        <v>1</v>
      </c>
      <c r="X21" s="3197"/>
      <c r="Y21" s="3199">
        <f>IF(D21=0,0,ROUND(AVERAGE(D21:D21)/100,4))</f>
        <v>9.7000000000000003E-3</v>
      </c>
      <c r="Z21" s="3199">
        <f>IF(E21=0,0,ROUND(AVERAGE(E21:E21)/100,4))</f>
        <v>1.6000000000000001E-3</v>
      </c>
      <c r="AA21" s="3199">
        <f>IF(F21=0,0,ROUND(AVERAGE(F21:F21)/100,4))</f>
        <v>-2.5000000000000001E-3</v>
      </c>
      <c r="AB21" s="3199">
        <f>IF(G21=0,0,ROUND(AVERAGE(G21:G21)/100,4))</f>
        <v>1.11E-2</v>
      </c>
      <c r="AC21" s="3199">
        <f>IF(H21=0,0,ROUND(AVERAGE(H21:H21)/100,4))</f>
        <v>3.5999999999999999E-3</v>
      </c>
      <c r="AD21" s="3199">
        <f>AA21</f>
        <v>-2.5000000000000001E-3</v>
      </c>
    </row>
    <row r="22" spans="1:30" s="3003" customFormat="1" ht="14.25" thickTop="1"/>
    <row r="23" spans="1:30" s="3003" customFormat="1">
      <c r="A23" s="3442" t="s">
        <v>3376</v>
      </c>
    </row>
    <row r="24" spans="1:30" s="3003" customFormat="1">
      <c r="I24" s="3202" t="s">
        <v>2817</v>
      </c>
    </row>
    <row r="25" spans="1:30" s="3003" customFormat="1"/>
    <row r="26" spans="1:30" s="3203" customFormat="1" ht="12.75">
      <c r="B26" s="3204" t="s">
        <v>3374</v>
      </c>
      <c r="C26" s="3205"/>
      <c r="D26" s="3205"/>
      <c r="E26" s="3205"/>
      <c r="F26" s="3205"/>
      <c r="G26" s="3205"/>
      <c r="H26" s="3205"/>
      <c r="I26" s="3205"/>
      <c r="J26" s="3159"/>
      <c r="K26" s="3205" t="s">
        <v>2818</v>
      </c>
      <c r="L26" s="3205"/>
      <c r="M26" s="3205"/>
      <c r="N26" s="3205"/>
      <c r="O26" s="3205"/>
      <c r="P26" s="3205"/>
      <c r="Q26" s="3159"/>
      <c r="R26" s="3868" t="s">
        <v>2819</v>
      </c>
      <c r="S26" s="3869"/>
      <c r="T26" s="3869"/>
      <c r="U26" s="3869"/>
      <c r="V26" s="3869"/>
      <c r="W26" s="3869"/>
      <c r="X26" s="3159"/>
      <c r="Y26" s="3868" t="s">
        <v>2820</v>
      </c>
      <c r="Z26" s="3869"/>
      <c r="AA26" s="3869"/>
      <c r="AB26" s="3869"/>
      <c r="AC26" s="3869"/>
      <c r="AD26" s="3869"/>
    </row>
    <row r="27" spans="1:30" s="3137" customFormat="1" ht="14.25" thickBot="1">
      <c r="B27" s="3138"/>
      <c r="C27" s="3139"/>
      <c r="D27" s="3140" t="s">
        <v>2821</v>
      </c>
      <c r="E27" s="3141" t="s">
        <v>2822</v>
      </c>
      <c r="F27" s="3141" t="s">
        <v>2823</v>
      </c>
      <c r="G27" s="3141" t="s">
        <v>2824</v>
      </c>
      <c r="H27" s="3141"/>
      <c r="I27" s="3141" t="s">
        <v>2825</v>
      </c>
      <c r="J27" s="3142"/>
      <c r="K27" s="3140" t="s">
        <v>2821</v>
      </c>
      <c r="L27" s="3141" t="s">
        <v>2822</v>
      </c>
      <c r="M27" s="3141" t="s">
        <v>2823</v>
      </c>
      <c r="N27" s="3141" t="s">
        <v>2824</v>
      </c>
      <c r="O27" s="3141"/>
      <c r="P27" s="3141" t="s">
        <v>2825</v>
      </c>
      <c r="Q27" s="3142"/>
      <c r="R27" s="3140" t="s">
        <v>2821</v>
      </c>
      <c r="S27" s="3141" t="s">
        <v>2822</v>
      </c>
      <c r="T27" s="3141" t="s">
        <v>2823</v>
      </c>
      <c r="U27" s="3141" t="s">
        <v>2824</v>
      </c>
      <c r="V27" s="3141"/>
      <c r="W27" s="3141" t="s">
        <v>2825</v>
      </c>
      <c r="X27" s="3142"/>
      <c r="Y27" s="3140" t="s">
        <v>2821</v>
      </c>
      <c r="Z27" s="3141" t="s">
        <v>2822</v>
      </c>
      <c r="AA27" s="3141" t="s">
        <v>2823</v>
      </c>
      <c r="AB27" s="3141" t="s">
        <v>2824</v>
      </c>
      <c r="AC27" s="3141"/>
      <c r="AD27" s="3141" t="s">
        <v>2825</v>
      </c>
    </row>
    <row r="28" spans="1:30" s="3155" customFormat="1" ht="12.75">
      <c r="A28" s="3143" t="s">
        <v>2826</v>
      </c>
      <c r="B28" s="3144"/>
      <c r="C28" s="3145"/>
      <c r="D28" s="3145"/>
      <c r="E28" s="3145">
        <f t="shared" ref="E28:G28" si="65">ROUND(AVERAGEIF(E29:E46,"&lt;&gt;0"),2)</f>
        <v>0.26</v>
      </c>
      <c r="F28" s="3145">
        <f t="shared" si="65"/>
        <v>0.19</v>
      </c>
      <c r="G28" s="3145">
        <f t="shared" si="65"/>
        <v>0.38</v>
      </c>
      <c r="H28" s="3145"/>
      <c r="I28" s="3145">
        <f>F28</f>
        <v>0.19</v>
      </c>
      <c r="J28" s="3146"/>
      <c r="K28" s="3147"/>
      <c r="L28" s="3148">
        <f t="shared" ref="L28:N28" si="66">ROUND(AVERAGEIF(L29:L46,"&lt;&gt;0"),4)</f>
        <v>2.5999999999999999E-3</v>
      </c>
      <c r="M28" s="3148">
        <f t="shared" si="66"/>
        <v>1.9E-3</v>
      </c>
      <c r="N28" s="3148">
        <f t="shared" si="66"/>
        <v>3.8E-3</v>
      </c>
      <c r="O28" s="3148"/>
      <c r="P28" s="3148">
        <f>M28</f>
        <v>1.9E-3</v>
      </c>
      <c r="Q28" s="3146"/>
      <c r="R28" s="3149"/>
      <c r="S28" s="3150">
        <f>ROUND(SUMPRODUCT(PRODUCT(1+L29:L46)),4)</f>
        <v>1.04</v>
      </c>
      <c r="T28" s="3150">
        <f t="shared" ref="T28:U28" si="67">ROUND(SUMPRODUCT(PRODUCT(1+M29:M46)),4)</f>
        <v>1.0293000000000001</v>
      </c>
      <c r="U28" s="3150">
        <f t="shared" si="67"/>
        <v>1.0583</v>
      </c>
      <c r="V28" s="3150"/>
      <c r="W28" s="3149">
        <f>T28</f>
        <v>1.0293000000000001</v>
      </c>
      <c r="X28" s="3146"/>
      <c r="Y28" s="3151"/>
      <c r="Z28" s="3152">
        <f t="shared" ref="Z28:AB28" si="68">ROUND(AVERAGEIF(Z29:Z46,"&lt;&gt;0"),4)</f>
        <v>4.1000000000000003E-3</v>
      </c>
      <c r="AA28" s="3153">
        <f t="shared" si="68"/>
        <v>3.3E-3</v>
      </c>
      <c r="AB28" s="3151">
        <f t="shared" si="68"/>
        <v>8.0999999999999996E-3</v>
      </c>
      <c r="AC28" s="3154"/>
      <c r="AD28" s="3151">
        <f>AA28</f>
        <v>3.3E-3</v>
      </c>
    </row>
    <row r="29" spans="1:30" s="3156" customFormat="1" ht="12.75">
      <c r="B29" s="3157"/>
      <c r="C29" s="3158"/>
      <c r="D29" s="3158"/>
      <c r="E29" s="3158"/>
      <c r="F29" s="3158"/>
      <c r="G29" s="3158"/>
      <c r="H29" s="3158"/>
      <c r="I29" s="3158"/>
      <c r="J29" s="3159"/>
      <c r="K29" s="3160"/>
      <c r="L29" s="3161"/>
      <c r="M29" s="3161"/>
      <c r="N29" s="3161"/>
      <c r="O29" s="3161"/>
      <c r="P29" s="3161"/>
      <c r="Q29" s="3159"/>
      <c r="R29" s="3162"/>
      <c r="S29" s="3163"/>
      <c r="T29" s="3164"/>
      <c r="U29" s="3162"/>
      <c r="V29" s="3165"/>
      <c r="W29" s="3162"/>
      <c r="X29" s="3159"/>
      <c r="Y29" s="3166"/>
      <c r="Z29" s="3167"/>
      <c r="AA29" s="3168"/>
      <c r="AB29" s="3166"/>
      <c r="AC29" s="3169"/>
      <c r="AD29" s="3166"/>
    </row>
    <row r="30" spans="1:30" s="3179" customFormat="1" ht="12.75">
      <c r="A30" s="2203" t="s">
        <v>3369</v>
      </c>
      <c r="B30" s="3171">
        <v>2025</v>
      </c>
      <c r="C30" s="3172">
        <v>1</v>
      </c>
      <c r="D30" s="3173"/>
      <c r="E30" s="3173">
        <v>0</v>
      </c>
      <c r="F30" s="3173">
        <v>0</v>
      </c>
      <c r="G30" s="3173">
        <v>0</v>
      </c>
      <c r="H30" s="3173"/>
      <c r="I30" s="3174">
        <f t="shared" ref="I30" si="69">F30</f>
        <v>0</v>
      </c>
      <c r="J30" s="3175"/>
      <c r="K30" s="3176"/>
      <c r="L30" s="3166">
        <f t="shared" ref="L30" si="70">E30/100</f>
        <v>0</v>
      </c>
      <c r="M30" s="3166">
        <f t="shared" ref="M30" si="71">F30/100</f>
        <v>0</v>
      </c>
      <c r="N30" s="3166">
        <f t="shared" ref="N30" si="72">G30/100</f>
        <v>0</v>
      </c>
      <c r="O30" s="3166"/>
      <c r="P30" s="3166">
        <f>M30</f>
        <v>0</v>
      </c>
      <c r="Q30" s="3175"/>
      <c r="R30" s="3177"/>
      <c r="S30" s="3177">
        <f>ROUND(IF(项目基本情况!$B$8="出让",SUMPRODUCT(PRODUCT(1+L30:L$46)),SUMPRODUCT(PRODUCT(1+L30:L$45))),4)</f>
        <v>1.0364</v>
      </c>
      <c r="T30" s="3177">
        <f>ROUND(IF(项目基本情况!$B$8="出让",SUMPRODUCT(PRODUCT(1+M30:M$46)),SUMPRODUCT(PRODUCT(1+M30:M$45))),4)</f>
        <v>1.0244</v>
      </c>
      <c r="U30" s="3177">
        <f>ROUND(IF(项目基本情况!$B$8="出让",SUMPRODUCT(PRODUCT(1+N30:N$46)),SUMPRODUCT(PRODUCT(1+N30:N$45))),4)</f>
        <v>1.048</v>
      </c>
      <c r="V30" s="3177"/>
      <c r="W30" s="3177">
        <f>T30</f>
        <v>1.0244</v>
      </c>
      <c r="X30" s="3175"/>
      <c r="Y30" s="3178"/>
      <c r="Z30" s="3206">
        <f t="shared" ref="Z30" si="73">IF(E30=0,0,ROUND(AVERAGE(E30:E43)/100,4))</f>
        <v>0</v>
      </c>
      <c r="AA30" s="3206">
        <f t="shared" ref="AA30" si="74">IF(F30=0,0,ROUND(AVERAGE(F30:F43)/100,4))</f>
        <v>0</v>
      </c>
      <c r="AB30" s="3206">
        <f t="shared" ref="AB30" si="75">IF(G30=0,0,ROUND(AVERAGE(G30:G43)/100,4))</f>
        <v>0</v>
      </c>
      <c r="AC30" s="3207"/>
      <c r="AD30" s="3178">
        <f>IF(I30=0,0,ROUND(AVERAGE(I30:I43)/100,4))</f>
        <v>0</v>
      </c>
    </row>
    <row r="31" spans="1:30" s="3189" customFormat="1" ht="12.75">
      <c r="A31" s="3180" t="s">
        <v>3371</v>
      </c>
      <c r="B31" s="3181">
        <v>2024</v>
      </c>
      <c r="C31" s="3182">
        <v>4</v>
      </c>
      <c r="D31" s="3183"/>
      <c r="E31" s="3183">
        <v>0</v>
      </c>
      <c r="F31" s="3183">
        <v>0</v>
      </c>
      <c r="G31" s="3183">
        <v>0</v>
      </c>
      <c r="H31" s="3184"/>
      <c r="I31" s="3185">
        <f t="shared" ref="I31" si="76">F31</f>
        <v>0</v>
      </c>
      <c r="J31" s="3186"/>
      <c r="K31" s="3187"/>
      <c r="L31" s="3188">
        <f t="shared" ref="L31" si="77">E31/100</f>
        <v>0</v>
      </c>
      <c r="M31" s="3188">
        <f t="shared" ref="M31" si="78">F31/100</f>
        <v>0</v>
      </c>
      <c r="N31" s="3188">
        <f t="shared" ref="N31" si="79">G31/100</f>
        <v>0</v>
      </c>
      <c r="O31" s="3188"/>
      <c r="P31" s="3188">
        <f>M31</f>
        <v>0</v>
      </c>
      <c r="Q31" s="3186"/>
      <c r="R31" s="3186"/>
      <c r="S31" s="3186">
        <f>ROUND(IF(项目基本情况!$B$8="出让",SUMPRODUCT(PRODUCT(1+L31:L$46)),SUMPRODUCT(PRODUCT(1+L31:L$45))),4)</f>
        <v>1.0364</v>
      </c>
      <c r="T31" s="3186">
        <f>ROUND(IF(项目基本情况!$B$8="出让",SUMPRODUCT(PRODUCT(1+M31:M$46)),SUMPRODUCT(PRODUCT(1+M31:M$45))),4)</f>
        <v>1.0244</v>
      </c>
      <c r="U31" s="3186">
        <f>ROUND(IF(项目基本情况!$B$8="出让",SUMPRODUCT(PRODUCT(1+N31:N$46)),SUMPRODUCT(PRODUCT(1+N31:N$45))),4)</f>
        <v>1.048</v>
      </c>
      <c r="V31" s="3186"/>
      <c r="W31" s="3186">
        <f>T31</f>
        <v>1.0244</v>
      </c>
      <c r="X31" s="3186"/>
      <c r="Y31" s="3188"/>
      <c r="Z31" s="3209">
        <f t="shared" ref="Z31" si="80">IF(E31=0,0,ROUND(AVERAGE(E31:E44)/100,4))</f>
        <v>0</v>
      </c>
      <c r="AA31" s="3210">
        <f t="shared" ref="AA31" si="81">IF(F31=0,0,ROUND(AVERAGE(F31:F44)/100,4))</f>
        <v>0</v>
      </c>
      <c r="AB31" s="3188">
        <f t="shared" ref="AB31" si="82">IF(G31=0,0,ROUND(AVERAGE(G31:G44)/100,4))</f>
        <v>0</v>
      </c>
      <c r="AC31" s="3211"/>
      <c r="AD31" s="3188">
        <f>IF(I31=0,0,ROUND(AVERAGE(I31:I44)/100,4))</f>
        <v>0</v>
      </c>
    </row>
    <row r="32" spans="1:30" s="3179" customFormat="1" ht="12.75">
      <c r="A32" s="2203" t="s">
        <v>3364</v>
      </c>
      <c r="B32" s="3171">
        <v>2024</v>
      </c>
      <c r="C32" s="3172">
        <v>3</v>
      </c>
      <c r="D32" s="3173"/>
      <c r="E32" s="3173">
        <v>-0.66</v>
      </c>
      <c r="F32" s="3173">
        <v>-0.52</v>
      </c>
      <c r="G32" s="3173">
        <v>-2.87</v>
      </c>
      <c r="H32" s="3173"/>
      <c r="I32" s="3174">
        <f t="shared" ref="I32" si="83">F32</f>
        <v>-0.52</v>
      </c>
      <c r="J32" s="3175"/>
      <c r="K32" s="3176"/>
      <c r="L32" s="3166">
        <f t="shared" ref="L32" si="84">E32/100</f>
        <v>-6.6E-3</v>
      </c>
      <c r="M32" s="3166">
        <f t="shared" ref="M32" si="85">F32/100</f>
        <v>-5.1999999999999998E-3</v>
      </c>
      <c r="N32" s="3166">
        <f t="shared" ref="N32" si="86">G32/100</f>
        <v>-2.87E-2</v>
      </c>
      <c r="O32" s="3166"/>
      <c r="P32" s="3166">
        <f>M32</f>
        <v>-5.1999999999999998E-3</v>
      </c>
      <c r="Q32" s="3175"/>
      <c r="R32" s="3177"/>
      <c r="S32" s="3177">
        <f>ROUND(IF(项目基本情况!$B$8="出让",SUMPRODUCT(PRODUCT(1+L32:L$46)),SUMPRODUCT(PRODUCT(1+L32:L$45))),4)</f>
        <v>1.0364</v>
      </c>
      <c r="T32" s="3177">
        <f>ROUND(IF(项目基本情况!$B$8="出让",SUMPRODUCT(PRODUCT(1+M32:M$46)),SUMPRODUCT(PRODUCT(1+M32:M$45))),4)</f>
        <v>1.0244</v>
      </c>
      <c r="U32" s="3177">
        <f>ROUND(IF(项目基本情况!$B$8="出让",SUMPRODUCT(PRODUCT(1+N32:N$46)),SUMPRODUCT(PRODUCT(1+N32:N$45))),4)</f>
        <v>1.048</v>
      </c>
      <c r="V32" s="3177"/>
      <c r="W32" s="3177">
        <f>T32</f>
        <v>1.0244</v>
      </c>
      <c r="X32" s="3175"/>
      <c r="Y32" s="3178"/>
      <c r="Z32" s="3206">
        <f t="shared" ref="Z32:AB33" si="87">IF(E32=0,0,ROUND(AVERAGE(E32:E45)/100,4))</f>
        <v>2.5999999999999999E-3</v>
      </c>
      <c r="AA32" s="3206">
        <f t="shared" si="87"/>
        <v>1.6999999999999999E-3</v>
      </c>
      <c r="AB32" s="3206">
        <f t="shared" si="87"/>
        <v>3.3999999999999998E-3</v>
      </c>
      <c r="AC32" s="3207"/>
      <c r="AD32" s="3178">
        <f>IF(I32=0,0,ROUND(AVERAGE(I32:I45)/100,4))</f>
        <v>1.6999999999999999E-3</v>
      </c>
    </row>
    <row r="33" spans="1:30" s="3179" customFormat="1" ht="12.75">
      <c r="A33" s="3170" t="s">
        <v>3372</v>
      </c>
      <c r="B33" s="3171">
        <v>2024</v>
      </c>
      <c r="C33" s="3172">
        <v>2</v>
      </c>
      <c r="D33" s="3173"/>
      <c r="E33" s="3173">
        <v>-0.31</v>
      </c>
      <c r="F33" s="3173">
        <v>-0.39</v>
      </c>
      <c r="G33" s="3173">
        <v>1.23</v>
      </c>
      <c r="H33" s="3190"/>
      <c r="I33" s="3174">
        <f t="shared" ref="I33:I46" si="88">F33</f>
        <v>-0.39</v>
      </c>
      <c r="J33" s="3175"/>
      <c r="K33" s="3176"/>
      <c r="L33" s="3166">
        <f t="shared" ref="L33:N46" si="89">E33/100</f>
        <v>-3.0999999999999999E-3</v>
      </c>
      <c r="M33" s="3166">
        <f t="shared" si="89"/>
        <v>-3.9000000000000003E-3</v>
      </c>
      <c r="N33" s="3166">
        <f t="shared" si="89"/>
        <v>1.23E-2</v>
      </c>
      <c r="O33" s="3166"/>
      <c r="P33" s="3166">
        <f>M33</f>
        <v>-3.9000000000000003E-3</v>
      </c>
      <c r="Q33" s="3175"/>
      <c r="R33" s="3177"/>
      <c r="S33" s="3177">
        <f>ROUND(IF(项目基本情况!$B$8="出让",SUMPRODUCT(PRODUCT(1+L33:L$46)),SUMPRODUCT(PRODUCT(1+L33:L$45))),4)</f>
        <v>1.0432999999999999</v>
      </c>
      <c r="T33" s="3177">
        <f>ROUND(IF(项目基本情况!$B$8="出让",SUMPRODUCT(PRODUCT(1+M33:M$46)),SUMPRODUCT(PRODUCT(1+M33:M$45))),4)</f>
        <v>1.0298</v>
      </c>
      <c r="U33" s="3177">
        <f>ROUND(IF(项目基本情况!$B$8="出让",SUMPRODUCT(PRODUCT(1+N33:N$46)),SUMPRODUCT(PRODUCT(1+N33:N$45))),4)</f>
        <v>1.079</v>
      </c>
      <c r="V33" s="3177"/>
      <c r="W33" s="3177">
        <f>T33</f>
        <v>1.0298</v>
      </c>
      <c r="X33" s="3175"/>
      <c r="Y33" s="3178"/>
      <c r="Z33" s="3206">
        <f t="shared" si="87"/>
        <v>3.3E-3</v>
      </c>
      <c r="AA33" s="3208">
        <f t="shared" si="87"/>
        <v>2.3999999999999998E-3</v>
      </c>
      <c r="AB33" s="3178">
        <f t="shared" si="87"/>
        <v>6.1999999999999998E-3</v>
      </c>
      <c r="AC33" s="3207"/>
      <c r="AD33" s="3178">
        <f>IF(I33=0,0,ROUND(AVERAGE(I33:I46)/100,4))</f>
        <v>2.3999999999999998E-3</v>
      </c>
    </row>
    <row r="34" spans="1:30" s="3179" customFormat="1" ht="12.75">
      <c r="A34" s="3170" t="s">
        <v>3365</v>
      </c>
      <c r="B34" s="3171">
        <v>2024</v>
      </c>
      <c r="C34" s="3172">
        <v>1</v>
      </c>
      <c r="D34" s="3173"/>
      <c r="E34" s="3173">
        <v>0.25</v>
      </c>
      <c r="F34" s="3173">
        <v>0.4</v>
      </c>
      <c r="G34" s="3173">
        <v>-0.63</v>
      </c>
      <c r="H34" s="3190"/>
      <c r="I34" s="3174">
        <f t="shared" ref="I34:I35" si="90">F34</f>
        <v>0.4</v>
      </c>
      <c r="J34" s="3175"/>
      <c r="K34" s="3176"/>
      <c r="L34" s="3166">
        <f t="shared" ref="L34" si="91">E34/100</f>
        <v>2.5000000000000001E-3</v>
      </c>
      <c r="M34" s="3166">
        <f t="shared" ref="M34" si="92">F34/100</f>
        <v>4.0000000000000001E-3</v>
      </c>
      <c r="N34" s="3166">
        <f t="shared" ref="N34" si="93">G34/100</f>
        <v>-6.3E-3</v>
      </c>
      <c r="O34" s="3166"/>
      <c r="P34" s="3166">
        <f t="shared" ref="P34" si="94">M34</f>
        <v>4.0000000000000001E-3</v>
      </c>
      <c r="Q34" s="3175"/>
      <c r="R34" s="3177"/>
      <c r="S34" s="3177">
        <f>ROUND(IF(项目基本情况!$B$8="出让",SUMPRODUCT(PRODUCT(1+L34:L$46)),SUMPRODUCT(PRODUCT(1+L34:L$45))),4)</f>
        <v>1.0465</v>
      </c>
      <c r="T34" s="3177">
        <f>ROUND(IF(项目基本情况!$B$8="出让",SUMPRODUCT(PRODUCT(1+M34:M$46)),SUMPRODUCT(PRODUCT(1+M34:M$45))),4)</f>
        <v>1.0338000000000001</v>
      </c>
      <c r="U34" s="3177">
        <f>ROUND(IF(项目基本情况!$B$8="出让",SUMPRODUCT(PRODUCT(1+N34:N$46)),SUMPRODUCT(PRODUCT(1+N34:N$45))),4)</f>
        <v>1.0659000000000001</v>
      </c>
      <c r="V34" s="3177"/>
      <c r="W34" s="3177">
        <f t="shared" ref="W34" si="95">T34</f>
        <v>1.0338000000000001</v>
      </c>
      <c r="X34" s="3175"/>
      <c r="Y34" s="3178"/>
      <c r="Z34" s="3206"/>
      <c r="AA34" s="3208"/>
      <c r="AB34" s="3178"/>
      <c r="AC34" s="3207"/>
      <c r="AD34" s="3178"/>
    </row>
    <row r="35" spans="1:30" s="3179" customFormat="1" ht="12.75">
      <c r="A35" s="3170" t="s">
        <v>3363</v>
      </c>
      <c r="B35" s="3171">
        <v>2023</v>
      </c>
      <c r="C35" s="3172">
        <v>4</v>
      </c>
      <c r="D35" s="3173"/>
      <c r="E35" s="3173">
        <v>7.0000000000000007E-2</v>
      </c>
      <c r="F35" s="3173">
        <v>0.09</v>
      </c>
      <c r="G35" s="3173">
        <v>0.03</v>
      </c>
      <c r="H35" s="3190"/>
      <c r="I35" s="3174">
        <f t="shared" si="90"/>
        <v>0.09</v>
      </c>
      <c r="J35" s="3175"/>
      <c r="K35" s="3176"/>
      <c r="L35" s="3166">
        <f t="shared" si="89"/>
        <v>7.000000000000001E-4</v>
      </c>
      <c r="M35" s="3166">
        <f t="shared" si="89"/>
        <v>8.9999999999999998E-4</v>
      </c>
      <c r="N35" s="3166">
        <f t="shared" si="89"/>
        <v>2.9999999999999997E-4</v>
      </c>
      <c r="O35" s="3166"/>
      <c r="P35" s="3166">
        <f t="shared" ref="P35" si="96">M35</f>
        <v>8.9999999999999998E-4</v>
      </c>
      <c r="Q35" s="3175"/>
      <c r="R35" s="3177"/>
      <c r="S35" s="3177">
        <f>ROUND(IF(项目基本情况!$B$8="出让",SUMPRODUCT(PRODUCT(1+L35:L$46)),SUMPRODUCT(PRODUCT(1+L35:L$45))),4)</f>
        <v>1.0439000000000001</v>
      </c>
      <c r="T35" s="3177">
        <f>ROUND(IF(项目基本情况!$B$8="出让",SUMPRODUCT(PRODUCT(1+M35:M$46)),SUMPRODUCT(PRODUCT(1+M35:M$45))),4)</f>
        <v>1.0297000000000001</v>
      </c>
      <c r="U35" s="3177">
        <f>ROUND(IF(项目基本情况!$B$8="出让",SUMPRODUCT(PRODUCT(1+N35:N$46)),SUMPRODUCT(PRODUCT(1+N35:N$45))),4)</f>
        <v>1.0727</v>
      </c>
      <c r="V35" s="3177"/>
      <c r="W35" s="3177">
        <f t="shared" ref="W35" si="97">T35</f>
        <v>1.0297000000000001</v>
      </c>
      <c r="X35" s="3175"/>
      <c r="Y35" s="3178"/>
      <c r="Z35" s="3206"/>
      <c r="AA35" s="3208"/>
      <c r="AB35" s="3178"/>
      <c r="AC35" s="3207"/>
      <c r="AD35" s="3178"/>
    </row>
    <row r="36" spans="1:30" s="3179" customFormat="1" ht="12.75">
      <c r="A36" s="3170" t="s">
        <v>3361</v>
      </c>
      <c r="B36" s="3171">
        <v>2023</v>
      </c>
      <c r="C36" s="3172">
        <v>3</v>
      </c>
      <c r="D36" s="3173"/>
      <c r="E36" s="3173">
        <v>0.35</v>
      </c>
      <c r="F36" s="3173">
        <v>0.17</v>
      </c>
      <c r="G36" s="3173">
        <v>0.52</v>
      </c>
      <c r="H36" s="3190"/>
      <c r="I36" s="3174">
        <f t="shared" si="88"/>
        <v>0.17</v>
      </c>
      <c r="J36" s="3175"/>
      <c r="K36" s="3176"/>
      <c r="L36" s="3166">
        <f t="shared" ref="L36:L38" si="98">E36/100</f>
        <v>3.4999999999999996E-3</v>
      </c>
      <c r="M36" s="3166">
        <f t="shared" ref="M36:M38" si="99">F36/100</f>
        <v>1.7000000000000001E-3</v>
      </c>
      <c r="N36" s="3166">
        <f t="shared" ref="N36:N38" si="100">G36/100</f>
        <v>5.1999999999999998E-3</v>
      </c>
      <c r="O36" s="3166"/>
      <c r="P36" s="3166">
        <f t="shared" ref="P36:P38" si="101">M36</f>
        <v>1.7000000000000001E-3</v>
      </c>
      <c r="Q36" s="3175"/>
      <c r="R36" s="3177"/>
      <c r="S36" s="3177">
        <f>ROUND(IF(项目基本情况!$B$8="出让",SUMPRODUCT(PRODUCT(1+L36:L$46)),SUMPRODUCT(PRODUCT(1+L36:L$45))),4)</f>
        <v>1.0431999999999999</v>
      </c>
      <c r="T36" s="3177">
        <f>ROUND(IF(项目基本情况!$B$8="出让",SUMPRODUCT(PRODUCT(1+M36:M$46)),SUMPRODUCT(PRODUCT(1+M36:M$45))),4)</f>
        <v>1.0286999999999999</v>
      </c>
      <c r="U36" s="3177">
        <f>ROUND(IF(项目基本情况!$B$8="出让",SUMPRODUCT(PRODUCT(1+N36:N$46)),SUMPRODUCT(PRODUCT(1+N36:N$45))),4)</f>
        <v>1.0723</v>
      </c>
      <c r="V36" s="3177"/>
      <c r="W36" s="3177">
        <f t="shared" ref="W36:W38" si="102">T36</f>
        <v>1.0286999999999999</v>
      </c>
      <c r="X36" s="3175"/>
      <c r="Y36" s="3178"/>
      <c r="Z36" s="3206"/>
      <c r="AA36" s="3208"/>
      <c r="AB36" s="3178"/>
      <c r="AC36" s="3207"/>
      <c r="AD36" s="3178"/>
    </row>
    <row r="37" spans="1:30" s="3179" customFormat="1" ht="12.75">
      <c r="A37" s="3170" t="s">
        <v>3360</v>
      </c>
      <c r="B37" s="3171">
        <v>2023</v>
      </c>
      <c r="C37" s="3172">
        <v>2</v>
      </c>
      <c r="D37" s="3173"/>
      <c r="E37" s="3173">
        <v>0.5</v>
      </c>
      <c r="F37" s="3173">
        <v>0.45</v>
      </c>
      <c r="G37" s="3173">
        <v>0.89</v>
      </c>
      <c r="H37" s="3190"/>
      <c r="I37" s="3174">
        <f t="shared" si="88"/>
        <v>0.45</v>
      </c>
      <c r="J37" s="3175"/>
      <c r="K37" s="3176"/>
      <c r="L37" s="3166">
        <f t="shared" si="98"/>
        <v>5.0000000000000001E-3</v>
      </c>
      <c r="M37" s="3166">
        <f t="shared" si="99"/>
        <v>4.5000000000000005E-3</v>
      </c>
      <c r="N37" s="3166">
        <f t="shared" si="100"/>
        <v>8.8999999999999999E-3</v>
      </c>
      <c r="O37" s="3166"/>
      <c r="P37" s="3166">
        <f t="shared" si="101"/>
        <v>4.5000000000000005E-3</v>
      </c>
      <c r="Q37" s="3175"/>
      <c r="R37" s="3177"/>
      <c r="S37" s="3177">
        <f>ROUND(IF(项目基本情况!$B$8="出让",SUMPRODUCT(PRODUCT(1+L37:L$46)),SUMPRODUCT(PRODUCT(1+L37:L$45))),4)</f>
        <v>1.0396000000000001</v>
      </c>
      <c r="T37" s="3177">
        <f>ROUND(IF(项目基本情况!$B$8="出让",SUMPRODUCT(PRODUCT(1+M37:M$46)),SUMPRODUCT(PRODUCT(1+M37:M$45))),4)</f>
        <v>1.0269999999999999</v>
      </c>
      <c r="U37" s="3177">
        <f>ROUND(IF(项目基本情况!$B$8="出让",SUMPRODUCT(PRODUCT(1+N37:N$46)),SUMPRODUCT(PRODUCT(1+N37:N$45))),4)</f>
        <v>1.0668</v>
      </c>
      <c r="V37" s="3177"/>
      <c r="W37" s="3177">
        <f t="shared" si="102"/>
        <v>1.0269999999999999</v>
      </c>
      <c r="X37" s="3175"/>
      <c r="Y37" s="3178"/>
      <c r="Z37" s="3206"/>
      <c r="AA37" s="3208"/>
      <c r="AB37" s="3178"/>
      <c r="AC37" s="3207"/>
      <c r="AD37" s="3178"/>
    </row>
    <row r="38" spans="1:30" s="3179" customFormat="1" ht="12.75">
      <c r="A38" s="3170" t="s">
        <v>3358</v>
      </c>
      <c r="B38" s="3171">
        <v>2023</v>
      </c>
      <c r="C38" s="3172">
        <v>1</v>
      </c>
      <c r="D38" s="3173"/>
      <c r="E38" s="3173">
        <v>0.55000000000000004</v>
      </c>
      <c r="F38" s="3173">
        <v>0.59</v>
      </c>
      <c r="G38" s="3173">
        <v>0.64</v>
      </c>
      <c r="H38" s="3190"/>
      <c r="I38" s="3174">
        <f t="shared" si="88"/>
        <v>0.59</v>
      </c>
      <c r="J38" s="3175"/>
      <c r="K38" s="3176"/>
      <c r="L38" s="3166">
        <f t="shared" si="98"/>
        <v>5.5000000000000005E-3</v>
      </c>
      <c r="M38" s="3166">
        <f t="shared" si="99"/>
        <v>5.8999999999999999E-3</v>
      </c>
      <c r="N38" s="3166">
        <f t="shared" si="100"/>
        <v>6.4000000000000003E-3</v>
      </c>
      <c r="O38" s="3166"/>
      <c r="P38" s="3166">
        <f t="shared" si="101"/>
        <v>5.8999999999999999E-3</v>
      </c>
      <c r="Q38" s="3175"/>
      <c r="R38" s="3177"/>
      <c r="S38" s="3177">
        <f>ROUND(IF(项目基本情况!$B$8="出让",SUMPRODUCT(PRODUCT(1+L38:L$46)),SUMPRODUCT(PRODUCT(1+L38:L$45))),4)</f>
        <v>1.0344</v>
      </c>
      <c r="T38" s="3177">
        <f>ROUND(IF(项目基本情况!$B$8="出让",SUMPRODUCT(PRODUCT(1+M38:M$46)),SUMPRODUCT(PRODUCT(1+M38:M$45))),4)</f>
        <v>1.0224</v>
      </c>
      <c r="U38" s="3177">
        <f>ROUND(IF(项目基本情况!$B$8="出让",SUMPRODUCT(PRODUCT(1+N38:N$46)),SUMPRODUCT(PRODUCT(1+N38:N$45))),4)</f>
        <v>1.0573999999999999</v>
      </c>
      <c r="V38" s="3177"/>
      <c r="W38" s="3177">
        <f t="shared" si="102"/>
        <v>1.0224</v>
      </c>
      <c r="X38" s="3175"/>
      <c r="Y38" s="3178"/>
      <c r="Z38" s="3206"/>
      <c r="AA38" s="3208"/>
      <c r="AB38" s="3178"/>
      <c r="AC38" s="3207"/>
      <c r="AD38" s="3178"/>
    </row>
    <row r="39" spans="1:30" s="3179" customFormat="1" ht="12.75">
      <c r="A39" s="3170" t="s">
        <v>3357</v>
      </c>
      <c r="B39" s="3171">
        <v>2022</v>
      </c>
      <c r="C39" s="3172">
        <v>4</v>
      </c>
      <c r="D39" s="3173"/>
      <c r="E39" s="3173">
        <v>0.45</v>
      </c>
      <c r="F39" s="3173">
        <v>0.2</v>
      </c>
      <c r="G39" s="3173">
        <v>0.38</v>
      </c>
      <c r="H39" s="3190"/>
      <c r="I39" s="3174">
        <f t="shared" si="88"/>
        <v>0.2</v>
      </c>
      <c r="J39" s="3175"/>
      <c r="K39" s="3176"/>
      <c r="L39" s="3166">
        <f t="shared" si="89"/>
        <v>4.5000000000000005E-3</v>
      </c>
      <c r="M39" s="3166">
        <f t="shared" si="89"/>
        <v>2E-3</v>
      </c>
      <c r="N39" s="3166">
        <f t="shared" si="89"/>
        <v>3.8E-3</v>
      </c>
      <c r="O39" s="3166"/>
      <c r="P39" s="3166">
        <f t="shared" ref="P39:P46" si="103">M39</f>
        <v>2E-3</v>
      </c>
      <c r="Q39" s="3175"/>
      <c r="R39" s="3177"/>
      <c r="S39" s="3177">
        <f>ROUND(IF(项目基本情况!$B$8="出让",SUMPRODUCT(PRODUCT(1+L39:L$46)),SUMPRODUCT(PRODUCT(1+L39:L$45))),4)</f>
        <v>1.0286999999999999</v>
      </c>
      <c r="T39" s="3177">
        <f>ROUND(IF(项目基本情况!$B$8="出让",SUMPRODUCT(PRODUCT(1+M39:M$46)),SUMPRODUCT(PRODUCT(1+M39:M$45))),4)</f>
        <v>1.0164</v>
      </c>
      <c r="U39" s="3177">
        <f>ROUND(IF(项目基本情况!$B$8="出让",SUMPRODUCT(PRODUCT(1+N39:N$46)),SUMPRODUCT(PRODUCT(1+N39:N$45))),4)</f>
        <v>1.0506</v>
      </c>
      <c r="V39" s="3177"/>
      <c r="W39" s="3177">
        <f t="shared" ref="W39:W46" si="104">T39</f>
        <v>1.0164</v>
      </c>
      <c r="X39" s="3175"/>
      <c r="Y39" s="3178"/>
      <c r="Z39" s="3206">
        <f t="shared" ref="Z39:AD46" si="105">IF(E39=0,0,ROUND(AVERAGE(E39:E47)/100,4))</f>
        <v>4.0000000000000001E-3</v>
      </c>
      <c r="AA39" s="3208">
        <f t="shared" si="105"/>
        <v>2.5999999999999999E-3</v>
      </c>
      <c r="AB39" s="3178">
        <f t="shared" si="105"/>
        <v>7.4000000000000003E-3</v>
      </c>
      <c r="AC39" s="3207"/>
      <c r="AD39" s="3178">
        <f t="shared" si="105"/>
        <v>2.5999999999999999E-3</v>
      </c>
    </row>
    <row r="40" spans="1:30" s="3179" customFormat="1" ht="12.75">
      <c r="A40" s="3170" t="s">
        <v>3356</v>
      </c>
      <c r="B40" s="3171">
        <v>2022</v>
      </c>
      <c r="C40" s="3172">
        <v>3</v>
      </c>
      <c r="D40" s="3173"/>
      <c r="E40" s="3173">
        <v>0.3</v>
      </c>
      <c r="F40" s="3173">
        <v>0.28999999999999998</v>
      </c>
      <c r="G40" s="3173">
        <v>0.83</v>
      </c>
      <c r="H40" s="3190"/>
      <c r="I40" s="3174">
        <f t="shared" si="88"/>
        <v>0.28999999999999998</v>
      </c>
      <c r="J40" s="3175"/>
      <c r="K40" s="3176"/>
      <c r="L40" s="3166">
        <f t="shared" si="89"/>
        <v>3.0000000000000001E-3</v>
      </c>
      <c r="M40" s="3166">
        <f t="shared" si="89"/>
        <v>2.8999999999999998E-3</v>
      </c>
      <c r="N40" s="3166">
        <f t="shared" si="89"/>
        <v>8.3000000000000001E-3</v>
      </c>
      <c r="O40" s="3166"/>
      <c r="P40" s="3166">
        <f t="shared" si="103"/>
        <v>2.8999999999999998E-3</v>
      </c>
      <c r="Q40" s="3175"/>
      <c r="R40" s="3177"/>
      <c r="S40" s="3177">
        <f>ROUND(IF(项目基本情况!$B$8="出让",SUMPRODUCT(PRODUCT(1+L40:L$46)),SUMPRODUCT(PRODUCT(1+L40:L$45))),4)</f>
        <v>1.0241</v>
      </c>
      <c r="T40" s="3177">
        <f>ROUND(IF(项目基本情况!$B$8="出让",SUMPRODUCT(PRODUCT(1+M40:M$46)),SUMPRODUCT(PRODUCT(1+M40:M$45))),4)</f>
        <v>1.0144</v>
      </c>
      <c r="U40" s="3177">
        <f>ROUND(IF(项目基本情况!$B$8="出让",SUMPRODUCT(PRODUCT(1+N40:N$46)),SUMPRODUCT(PRODUCT(1+N40:N$45))),4)</f>
        <v>1.0467</v>
      </c>
      <c r="V40" s="3177"/>
      <c r="W40" s="3177">
        <f t="shared" si="104"/>
        <v>1.0144</v>
      </c>
      <c r="X40" s="3175"/>
      <c r="Y40" s="3178"/>
      <c r="Z40" s="3206">
        <f t="shared" si="105"/>
        <v>3.8999999999999998E-3</v>
      </c>
      <c r="AA40" s="3208">
        <f t="shared" si="105"/>
        <v>2.7000000000000001E-3</v>
      </c>
      <c r="AB40" s="3178">
        <f t="shared" si="105"/>
        <v>7.9000000000000008E-3</v>
      </c>
      <c r="AC40" s="3207"/>
      <c r="AD40" s="3178">
        <f t="shared" si="105"/>
        <v>2.7000000000000001E-3</v>
      </c>
    </row>
    <row r="41" spans="1:30" s="3179" customFormat="1" ht="12.75">
      <c r="A41" s="3170" t="s">
        <v>3346</v>
      </c>
      <c r="B41" s="3171">
        <v>2022</v>
      </c>
      <c r="C41" s="3172">
        <v>2</v>
      </c>
      <c r="D41" s="3173"/>
      <c r="E41" s="3173">
        <v>-0.11</v>
      </c>
      <c r="F41" s="3173">
        <v>-0.13</v>
      </c>
      <c r="G41" s="3173">
        <v>0.53</v>
      </c>
      <c r="H41" s="3190"/>
      <c r="I41" s="3174">
        <f t="shared" si="88"/>
        <v>-0.13</v>
      </c>
      <c r="J41" s="3175"/>
      <c r="K41" s="3176"/>
      <c r="L41" s="3166">
        <f t="shared" si="89"/>
        <v>-1.1000000000000001E-3</v>
      </c>
      <c r="M41" s="3166">
        <f t="shared" si="89"/>
        <v>-1.2999999999999999E-3</v>
      </c>
      <c r="N41" s="3166">
        <f t="shared" si="89"/>
        <v>5.3E-3</v>
      </c>
      <c r="O41" s="3166"/>
      <c r="P41" s="3166">
        <f t="shared" si="103"/>
        <v>-1.2999999999999999E-3</v>
      </c>
      <c r="Q41" s="3175"/>
      <c r="R41" s="3177"/>
      <c r="S41" s="3177">
        <f>ROUND(IF(项目基本情况!$B$8="出让",SUMPRODUCT(PRODUCT(1+L41:L$46)),SUMPRODUCT(PRODUCT(1+L41:L$45))),4)</f>
        <v>1.0210999999999999</v>
      </c>
      <c r="T41" s="3177">
        <f>ROUND(IF(项目基本情况!$B$8="出让",SUMPRODUCT(PRODUCT(1+M41:M$46)),SUMPRODUCT(PRODUCT(1+M41:M$45))),4)</f>
        <v>1.0114000000000001</v>
      </c>
      <c r="U41" s="3177">
        <f>ROUND(IF(项目基本情况!$B$8="出让",SUMPRODUCT(PRODUCT(1+N41:N$46)),SUMPRODUCT(PRODUCT(1+N41:N$45))),4)</f>
        <v>1.0381</v>
      </c>
      <c r="V41" s="3177"/>
      <c r="W41" s="3177">
        <f t="shared" si="104"/>
        <v>1.0114000000000001</v>
      </c>
      <c r="X41" s="3175"/>
      <c r="Y41" s="3178"/>
      <c r="Z41" s="3206">
        <f t="shared" si="105"/>
        <v>4.1000000000000003E-3</v>
      </c>
      <c r="AA41" s="3208">
        <f t="shared" si="105"/>
        <v>2.7000000000000001E-3</v>
      </c>
      <c r="AB41" s="3178">
        <f t="shared" si="105"/>
        <v>7.9000000000000008E-3</v>
      </c>
      <c r="AC41" s="3207"/>
      <c r="AD41" s="3178">
        <f t="shared" si="105"/>
        <v>2.7000000000000001E-3</v>
      </c>
    </row>
    <row r="42" spans="1:30" s="3179" customFormat="1" ht="12.75">
      <c r="A42" s="3170" t="s">
        <v>2827</v>
      </c>
      <c r="B42" s="3171">
        <v>2022</v>
      </c>
      <c r="C42" s="3172">
        <v>1</v>
      </c>
      <c r="D42" s="3173"/>
      <c r="E42" s="3173">
        <v>0.6</v>
      </c>
      <c r="F42" s="3173">
        <v>0.45</v>
      </c>
      <c r="G42" s="3173">
        <v>0.53</v>
      </c>
      <c r="H42" s="3190"/>
      <c r="I42" s="3174">
        <f t="shared" si="88"/>
        <v>0.45</v>
      </c>
      <c r="J42" s="3175"/>
      <c r="K42" s="3176"/>
      <c r="L42" s="3166">
        <f t="shared" si="89"/>
        <v>6.0000000000000001E-3</v>
      </c>
      <c r="M42" s="3166">
        <f t="shared" si="89"/>
        <v>4.5000000000000005E-3</v>
      </c>
      <c r="N42" s="3166">
        <f t="shared" si="89"/>
        <v>5.3E-3</v>
      </c>
      <c r="O42" s="3166"/>
      <c r="P42" s="3166">
        <f t="shared" si="103"/>
        <v>4.5000000000000005E-3</v>
      </c>
      <c r="Q42" s="3175"/>
      <c r="R42" s="3177"/>
      <c r="S42" s="3177">
        <f>ROUND(IF(项目基本情况!$B$8="出让",SUMPRODUCT(PRODUCT(1+L42:L$46)),SUMPRODUCT(PRODUCT(1+L42:L$45))),4)</f>
        <v>1.0222</v>
      </c>
      <c r="T42" s="3177">
        <f>ROUND(IF(项目基本情况!$B$8="出让",SUMPRODUCT(PRODUCT(1+M42:M$46)),SUMPRODUCT(PRODUCT(1+M42:M$45))),4)</f>
        <v>1.0127999999999999</v>
      </c>
      <c r="U42" s="3177">
        <f>ROUND(IF(项目基本情况!$B$8="出让",SUMPRODUCT(PRODUCT(1+N42:N$46)),SUMPRODUCT(PRODUCT(1+N42:N$45))),4)</f>
        <v>1.0326</v>
      </c>
      <c r="V42" s="3177"/>
      <c r="W42" s="3177">
        <f t="shared" si="104"/>
        <v>1.0127999999999999</v>
      </c>
      <c r="X42" s="3175"/>
      <c r="Y42" s="3178"/>
      <c r="Z42" s="3206">
        <f t="shared" si="105"/>
        <v>5.1000000000000004E-3</v>
      </c>
      <c r="AA42" s="3208">
        <f t="shared" si="105"/>
        <v>3.5000000000000001E-3</v>
      </c>
      <c r="AB42" s="3178">
        <f t="shared" si="105"/>
        <v>8.3999999999999995E-3</v>
      </c>
      <c r="AC42" s="3207"/>
      <c r="AD42" s="3178">
        <f t="shared" si="105"/>
        <v>3.5000000000000001E-3</v>
      </c>
    </row>
    <row r="43" spans="1:30" s="3179" customFormat="1" ht="12.75">
      <c r="A43" s="3170" t="s">
        <v>2828</v>
      </c>
      <c r="B43" s="3171">
        <v>2021</v>
      </c>
      <c r="C43" s="3172">
        <v>4</v>
      </c>
      <c r="D43" s="3173"/>
      <c r="E43" s="3173">
        <v>0.57999999999999996</v>
      </c>
      <c r="F43" s="3173">
        <v>0.08</v>
      </c>
      <c r="G43" s="3173">
        <v>0.68</v>
      </c>
      <c r="H43" s="3190"/>
      <c r="I43" s="3174">
        <f t="shared" si="88"/>
        <v>0.08</v>
      </c>
      <c r="J43" s="3175"/>
      <c r="K43" s="3176"/>
      <c r="L43" s="3166">
        <f t="shared" si="89"/>
        <v>5.7999999999999996E-3</v>
      </c>
      <c r="M43" s="3166">
        <f t="shared" si="89"/>
        <v>8.0000000000000004E-4</v>
      </c>
      <c r="N43" s="3166">
        <f t="shared" si="89"/>
        <v>6.8000000000000005E-3</v>
      </c>
      <c r="O43" s="3166"/>
      <c r="P43" s="3166">
        <f t="shared" si="103"/>
        <v>8.0000000000000004E-4</v>
      </c>
      <c r="Q43" s="3175"/>
      <c r="R43" s="3177"/>
      <c r="S43" s="3177">
        <f>ROUND(IF(项目基本情况!$B$8="出让",SUMPRODUCT(PRODUCT(1+L43:L$46)),SUMPRODUCT(PRODUCT(1+L43:L$45))),4)</f>
        <v>1.0161</v>
      </c>
      <c r="T43" s="3177">
        <f>ROUND(IF(项目基本情况!$B$8="出让",SUMPRODUCT(PRODUCT(1+M43:M$46)),SUMPRODUCT(PRODUCT(1+M43:M$45))),4)</f>
        <v>1.0082</v>
      </c>
      <c r="U43" s="3177">
        <f>ROUND(IF(项目基本情况!$B$8="出让",SUMPRODUCT(PRODUCT(1+N43:N$46)),SUMPRODUCT(PRODUCT(1+N43:N$45))),4)</f>
        <v>1.0270999999999999</v>
      </c>
      <c r="V43" s="3177"/>
      <c r="W43" s="3177">
        <f t="shared" si="104"/>
        <v>1.0082</v>
      </c>
      <c r="X43" s="3175"/>
      <c r="Y43" s="3178"/>
      <c r="Z43" s="3206">
        <f t="shared" si="105"/>
        <v>4.8999999999999998E-3</v>
      </c>
      <c r="AA43" s="3208">
        <f t="shared" si="105"/>
        <v>3.3E-3</v>
      </c>
      <c r="AB43" s="3178">
        <f t="shared" si="105"/>
        <v>9.1999999999999998E-3</v>
      </c>
      <c r="AC43" s="3207"/>
      <c r="AD43" s="3178">
        <f t="shared" si="105"/>
        <v>3.3E-3</v>
      </c>
    </row>
    <row r="44" spans="1:30" s="3179" customFormat="1" ht="12.75">
      <c r="A44" s="3170" t="s">
        <v>2829</v>
      </c>
      <c r="B44" s="3171">
        <v>2021</v>
      </c>
      <c r="C44" s="3172">
        <v>3</v>
      </c>
      <c r="D44" s="3173"/>
      <c r="E44" s="3173">
        <v>0.47</v>
      </c>
      <c r="F44" s="3173">
        <v>0.28000000000000003</v>
      </c>
      <c r="G44" s="3173">
        <v>0.91</v>
      </c>
      <c r="H44" s="3190"/>
      <c r="I44" s="3174">
        <f t="shared" si="88"/>
        <v>0.28000000000000003</v>
      </c>
      <c r="J44" s="3175"/>
      <c r="K44" s="3176"/>
      <c r="L44" s="3166">
        <f t="shared" si="89"/>
        <v>4.6999999999999993E-3</v>
      </c>
      <c r="M44" s="3166">
        <f t="shared" si="89"/>
        <v>2.8000000000000004E-3</v>
      </c>
      <c r="N44" s="3166">
        <f t="shared" si="89"/>
        <v>9.1000000000000004E-3</v>
      </c>
      <c r="O44" s="3166"/>
      <c r="P44" s="3166">
        <f t="shared" si="103"/>
        <v>2.8000000000000004E-3</v>
      </c>
      <c r="Q44" s="3175"/>
      <c r="R44" s="3177"/>
      <c r="S44" s="3177">
        <f>ROUND(IF(项目基本情况!$B$8="出让",SUMPRODUCT(PRODUCT(1+L44:L$46)),SUMPRODUCT(PRODUCT(1+L44:L$45))),4)</f>
        <v>1.0102</v>
      </c>
      <c r="T44" s="3177">
        <f>ROUND(IF(项目基本情况!$B$8="出让",SUMPRODUCT(PRODUCT(1+M44:M$46)),SUMPRODUCT(PRODUCT(1+M44:M$45))),4)</f>
        <v>1.0074000000000001</v>
      </c>
      <c r="U44" s="3177">
        <f>ROUND(IF(项目基本情况!$B$8="出让",SUMPRODUCT(PRODUCT(1+N44:N$46)),SUMPRODUCT(PRODUCT(1+N44:N$45))),4)</f>
        <v>1.0202</v>
      </c>
      <c r="V44" s="3177"/>
      <c r="W44" s="3177">
        <f t="shared" si="104"/>
        <v>1.0074000000000001</v>
      </c>
      <c r="X44" s="3175"/>
      <c r="Y44" s="3178"/>
      <c r="Z44" s="3206">
        <f t="shared" si="105"/>
        <v>4.5999999999999999E-3</v>
      </c>
      <c r="AA44" s="3208">
        <f t="shared" si="105"/>
        <v>4.1000000000000003E-3</v>
      </c>
      <c r="AB44" s="3178">
        <f t="shared" si="105"/>
        <v>0.01</v>
      </c>
      <c r="AC44" s="3207"/>
      <c r="AD44" s="3178">
        <f t="shared" si="105"/>
        <v>4.1000000000000003E-3</v>
      </c>
    </row>
    <row r="45" spans="1:30" s="3179" customFormat="1" ht="12.75">
      <c r="A45" s="3170" t="s">
        <v>2830</v>
      </c>
      <c r="B45" s="3171">
        <v>2021</v>
      </c>
      <c r="C45" s="3172">
        <v>2</v>
      </c>
      <c r="D45" s="3173"/>
      <c r="E45" s="3173">
        <v>0.55000000000000004</v>
      </c>
      <c r="F45" s="3173">
        <v>0.46</v>
      </c>
      <c r="G45" s="3173">
        <v>1.1000000000000001</v>
      </c>
      <c r="H45" s="3190"/>
      <c r="I45" s="3174">
        <f t="shared" si="88"/>
        <v>0.46</v>
      </c>
      <c r="J45" s="3175"/>
      <c r="K45" s="3176"/>
      <c r="L45" s="3166">
        <f t="shared" si="89"/>
        <v>5.5000000000000005E-3</v>
      </c>
      <c r="M45" s="3166">
        <f t="shared" si="89"/>
        <v>4.5999999999999999E-3</v>
      </c>
      <c r="N45" s="3166">
        <f t="shared" si="89"/>
        <v>1.1000000000000001E-2</v>
      </c>
      <c r="O45" s="3166"/>
      <c r="P45" s="3166">
        <f t="shared" si="103"/>
        <v>4.5999999999999999E-3</v>
      </c>
      <c r="Q45" s="3175"/>
      <c r="R45" s="3177"/>
      <c r="S45" s="3177">
        <f>ROUND(IF(项目基本情况!$B$8="出让",SUMPRODUCT(PRODUCT(1+L45:L$46)),SUMPRODUCT(PRODUCT(1+L45:L$45))),4)</f>
        <v>1.0055000000000001</v>
      </c>
      <c r="T45" s="3177">
        <f>ROUND(IF(项目基本情况!$B$8="出让",SUMPRODUCT(PRODUCT(1+M45:M$46)),SUMPRODUCT(PRODUCT(1+M45:M$45))),4)</f>
        <v>1.0045999999999999</v>
      </c>
      <c r="U45" s="3177">
        <f>ROUND(IF(项目基本情况!$B$8="出让",SUMPRODUCT(PRODUCT(1+N45:N$46)),SUMPRODUCT(PRODUCT(1+N45:N$45))),4)</f>
        <v>1.0109999999999999</v>
      </c>
      <c r="V45" s="3177"/>
      <c r="W45" s="3177">
        <f t="shared" si="104"/>
        <v>1.0045999999999999</v>
      </c>
      <c r="X45" s="3175"/>
      <c r="Y45" s="3178"/>
      <c r="Z45" s="3206">
        <f t="shared" si="105"/>
        <v>4.4999999999999997E-3</v>
      </c>
      <c r="AA45" s="3208">
        <f t="shared" si="105"/>
        <v>4.7000000000000002E-3</v>
      </c>
      <c r="AB45" s="3178">
        <f t="shared" si="105"/>
        <v>1.04E-2</v>
      </c>
      <c r="AC45" s="3207"/>
      <c r="AD45" s="3178">
        <f t="shared" si="105"/>
        <v>4.7000000000000002E-3</v>
      </c>
    </row>
    <row r="46" spans="1:30" s="3201" customFormat="1" thickBot="1">
      <c r="A46" s="3191" t="s">
        <v>2816</v>
      </c>
      <c r="B46" s="3192">
        <v>2021</v>
      </c>
      <c r="C46" s="3193">
        <v>1</v>
      </c>
      <c r="D46" s="3194"/>
      <c r="E46" s="3194">
        <v>0.35</v>
      </c>
      <c r="F46" s="3194">
        <v>0.48</v>
      </c>
      <c r="G46" s="3194">
        <v>0.98</v>
      </c>
      <c r="H46" s="3195"/>
      <c r="I46" s="3196">
        <f t="shared" si="88"/>
        <v>0.48</v>
      </c>
      <c r="J46" s="3197"/>
      <c r="K46" s="3198"/>
      <c r="L46" s="3199">
        <f t="shared" si="89"/>
        <v>3.4999999999999996E-3</v>
      </c>
      <c r="M46" s="3199">
        <f>F46/100</f>
        <v>4.7999999999999996E-3</v>
      </c>
      <c r="N46" s="3199">
        <f t="shared" si="89"/>
        <v>9.7999999999999997E-3</v>
      </c>
      <c r="O46" s="3199"/>
      <c r="P46" s="3199">
        <f t="shared" si="103"/>
        <v>4.7999999999999996E-3</v>
      </c>
      <c r="Q46" s="3197"/>
      <c r="R46" s="3200"/>
      <c r="S46" s="3200">
        <v>1</v>
      </c>
      <c r="T46" s="3200">
        <v>1</v>
      </c>
      <c r="U46" s="3200">
        <v>1</v>
      </c>
      <c r="V46" s="3200"/>
      <c r="W46" s="3200">
        <f t="shared" si="104"/>
        <v>1</v>
      </c>
      <c r="X46" s="3197"/>
      <c r="Y46" s="3199"/>
      <c r="Z46" s="3212">
        <f t="shared" si="105"/>
        <v>3.5000000000000001E-3</v>
      </c>
      <c r="AA46" s="3213">
        <f t="shared" si="105"/>
        <v>4.7999999999999996E-3</v>
      </c>
      <c r="AB46" s="3199">
        <f t="shared" si="105"/>
        <v>9.7999999999999997E-3</v>
      </c>
      <c r="AC46" s="3214"/>
      <c r="AD46" s="3199">
        <f t="shared" si="105"/>
        <v>4.7999999999999996E-3</v>
      </c>
    </row>
    <row r="47" spans="1:30" ht="14.25" thickTop="1"/>
    <row r="48" spans="1:30">
      <c r="A48" s="3442"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60" t="str">
        <f>IF(项目基本情况!B9="房地产市场价值","估价结果一览表","结果表-2")</f>
        <v>结果表-2</v>
      </c>
      <c r="B1" s="3560"/>
      <c r="C1" s="3560"/>
      <c r="D1" s="3560"/>
      <c r="E1" s="3560"/>
      <c r="F1" s="3560"/>
      <c r="G1" s="3560"/>
      <c r="H1" s="3560"/>
      <c r="I1" s="3560"/>
    </row>
    <row r="2" spans="1:9" ht="30" customHeight="1" thickTop="1">
      <c r="A2" s="3561" t="s">
        <v>928</v>
      </c>
      <c r="B2" s="3561" t="s">
        <v>929</v>
      </c>
      <c r="C2" s="3561" t="s">
        <v>930</v>
      </c>
      <c r="D2" s="3561" t="str">
        <f>结果表!D116</f>
        <v>出让国有建设用地使用权价值</v>
      </c>
      <c r="E2" s="3561"/>
      <c r="F2" s="3561" t="str">
        <f>结果表!F116</f>
        <v>在建建筑物价值</v>
      </c>
      <c r="G2" s="3561"/>
      <c r="H2" s="3561" t="str">
        <f>IF(项目基本情况!B9="房地产市场价值","房地产市场价值","房地产价值")</f>
        <v>房地产价值</v>
      </c>
      <c r="I2" s="3561"/>
    </row>
    <row r="3" spans="1:9" ht="15">
      <c r="A3" s="3556"/>
      <c r="B3" s="3556"/>
      <c r="C3" s="3556"/>
      <c r="D3" s="854" t="s">
        <v>925</v>
      </c>
      <c r="E3" s="854" t="s">
        <v>931</v>
      </c>
      <c r="F3" s="854" t="s">
        <v>925</v>
      </c>
      <c r="G3" s="854" t="s">
        <v>926</v>
      </c>
      <c r="H3" s="854" t="s">
        <v>925</v>
      </c>
      <c r="I3" s="854" t="s">
        <v>926</v>
      </c>
    </row>
    <row r="4" spans="1:9" ht="90">
      <c r="A4" s="1503" t="str">
        <f>项目基本情况!S2</f>
        <v>北京市通州区运河核心区Ⅷ-13地块F3其它类多功能用地项目商务金融（办公（商务型公寓）、商业及地下车库）用地出让国有建设用地使用权及在建建筑物房地产</v>
      </c>
      <c r="B4" s="854">
        <f>项目基本情况!C17</f>
        <v>127815.41999999985</v>
      </c>
      <c r="C4" s="854">
        <f>项目基本情况!C18</f>
        <v>13594.730000000014</v>
      </c>
      <c r="D4" s="854">
        <f ca="1">结果表!D118</f>
        <v>162273</v>
      </c>
      <c r="E4" s="854">
        <f ca="1">结果表!E118</f>
        <v>12696</v>
      </c>
      <c r="F4" s="854">
        <f ca="1">结果表!F118</f>
        <v>34184</v>
      </c>
      <c r="G4" s="854">
        <f ca="1">结果表!G118</f>
        <v>2674</v>
      </c>
      <c r="H4" s="854">
        <f ca="1">结果表!H118</f>
        <v>196457</v>
      </c>
      <c r="I4" s="854">
        <f ca="1">结果表!I118</f>
        <v>15370</v>
      </c>
    </row>
    <row r="5" spans="1:9" ht="30" customHeight="1">
      <c r="A5" s="3556" t="s">
        <v>927</v>
      </c>
      <c r="B5" s="3556"/>
      <c r="C5" s="3556"/>
      <c r="D5" s="3556" t="str">
        <f ca="1">结果表!D119</f>
        <v>壹拾陆亿贰仟贰佰柒拾叁万元整</v>
      </c>
      <c r="E5" s="3556"/>
      <c r="F5" s="3556" t="str">
        <f ca="1">结果表!F119</f>
        <v>叁亿肆仟壹佰捌拾肆万元整</v>
      </c>
      <c r="G5" s="3556"/>
      <c r="H5" s="3556" t="str">
        <f ca="1">结果表!H119</f>
        <v>壹拾玖亿陆仟肆佰伍拾柒万元整</v>
      </c>
      <c r="I5" s="3556"/>
    </row>
    <row r="6" spans="1:9" ht="15.75">
      <c r="A6" s="3555" t="str">
        <f>结果表!A120</f>
        <v>估价师知悉的法定优先受偿款</v>
      </c>
      <c r="B6" s="3555"/>
      <c r="C6" s="3555"/>
      <c r="D6" s="3555">
        <f>结果表!D120</f>
        <v>0</v>
      </c>
      <c r="E6" s="3555"/>
      <c r="F6" s="3555"/>
      <c r="G6" s="3555"/>
      <c r="H6" s="3555"/>
      <c r="I6" s="3555"/>
    </row>
    <row r="7" spans="1:9" ht="15">
      <c r="A7" s="3556" t="s">
        <v>927</v>
      </c>
      <c r="B7" s="3556"/>
      <c r="C7" s="3556"/>
      <c r="D7" s="3557" t="str">
        <f>结果表!D121</f>
        <v>零元整</v>
      </c>
      <c r="E7" s="3558"/>
      <c r="F7" s="3558"/>
      <c r="G7" s="3558"/>
      <c r="H7" s="3558"/>
      <c r="I7" s="3559"/>
    </row>
    <row r="8" spans="1:9" ht="15.75">
      <c r="A8" s="3555" t="str">
        <f>结果表!A122</f>
        <v>房地产抵押价值</v>
      </c>
      <c r="B8" s="3555"/>
      <c r="C8" s="3555"/>
      <c r="D8" s="3555">
        <f ca="1">结果表!D122</f>
        <v>196457</v>
      </c>
      <c r="E8" s="3555"/>
      <c r="F8" s="3555"/>
      <c r="G8" s="3555"/>
      <c r="H8" s="3555"/>
      <c r="I8" s="3555"/>
    </row>
    <row r="9" spans="1:9" ht="15">
      <c r="A9" s="3556" t="s">
        <v>927</v>
      </c>
      <c r="B9" s="3556"/>
      <c r="C9" s="3556"/>
      <c r="D9" s="3556" t="str">
        <f ca="1">结果表!D123</f>
        <v>壹拾玖亿陆仟肆佰伍拾柒万元整</v>
      </c>
      <c r="E9" s="3556"/>
      <c r="F9" s="3556"/>
      <c r="G9" s="3556"/>
      <c r="H9" s="3556"/>
      <c r="I9" s="3556"/>
    </row>
    <row r="10" spans="1:9" ht="15.75">
      <c r="A10" s="3555" t="str">
        <f>结果表!A124</f>
        <v/>
      </c>
      <c r="B10" s="3555"/>
      <c r="C10" s="3555"/>
      <c r="D10" s="3555" t="str">
        <f>结果表!D124</f>
        <v>——</v>
      </c>
      <c r="E10" s="3555"/>
      <c r="F10" s="3555"/>
      <c r="G10" s="3555"/>
      <c r="H10" s="3555"/>
      <c r="I10" s="3555"/>
    </row>
    <row r="11" spans="1:9" ht="15">
      <c r="A11" s="3556" t="s">
        <v>927</v>
      </c>
      <c r="B11" s="3556"/>
      <c r="C11" s="3556"/>
      <c r="D11" s="3556" t="e">
        <f>结果表!D125</f>
        <v>#VALUE!</v>
      </c>
      <c r="E11" s="3556"/>
      <c r="F11" s="3556"/>
      <c r="G11" s="3556"/>
      <c r="H11" s="3556"/>
      <c r="I11" s="3556"/>
    </row>
    <row r="12" spans="1:9" ht="15.75">
      <c r="A12" s="3555" t="str">
        <f>结果表!A126</f>
        <v/>
      </c>
      <c r="B12" s="3555"/>
      <c r="C12" s="3555"/>
      <c r="D12" s="3555" t="str">
        <f>结果表!D126</f>
        <v>——</v>
      </c>
      <c r="E12" s="3555"/>
      <c r="F12" s="3555"/>
      <c r="G12" s="3555"/>
      <c r="H12" s="3555"/>
      <c r="I12" s="3555"/>
    </row>
    <row r="13" spans="1:9" ht="15.75" thickBot="1">
      <c r="A13" s="3553" t="s">
        <v>927</v>
      </c>
      <c r="B13" s="3553"/>
      <c r="C13" s="3553"/>
      <c r="D13" s="3553" t="e">
        <f>结果表!D127</f>
        <v>#VALUE!</v>
      </c>
      <c r="E13" s="3553"/>
      <c r="F13" s="3553"/>
      <c r="G13" s="3553"/>
      <c r="H13" s="3553"/>
      <c r="I13" s="3553"/>
    </row>
    <row r="14" spans="1:9" ht="15" thickTop="1">
      <c r="A14" s="3554" t="s">
        <v>932</v>
      </c>
      <c r="B14" s="3554"/>
      <c r="C14" s="3554"/>
      <c r="D14" s="3554"/>
      <c r="E14" s="3554"/>
      <c r="F14" s="3554"/>
      <c r="G14" s="3554"/>
      <c r="H14" s="3554"/>
      <c r="I14" s="355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75" t="s">
        <v>452</v>
      </c>
      <c r="C1" s="3875"/>
      <c r="D1" s="3875"/>
      <c r="E1" s="3875"/>
      <c r="F1" s="3875"/>
      <c r="G1" s="3874" t="s">
        <v>453</v>
      </c>
      <c r="H1" s="3874"/>
      <c r="I1" s="3874"/>
      <c r="J1" s="3874"/>
      <c r="K1" s="3874"/>
      <c r="L1" s="3874"/>
      <c r="N1" s="3874" t="s">
        <v>454</v>
      </c>
      <c r="O1" s="3874"/>
      <c r="P1" s="3874"/>
      <c r="Q1" s="3874"/>
      <c r="S1" s="3874" t="s">
        <v>455</v>
      </c>
      <c r="T1" s="3874"/>
      <c r="U1" s="3874"/>
      <c r="V1" s="3874"/>
      <c r="X1" s="3873" t="s">
        <v>456</v>
      </c>
      <c r="Y1" s="3874"/>
      <c r="Z1" s="3874"/>
      <c r="AA1" s="3874"/>
      <c r="AB1" s="3874"/>
      <c r="AD1" s="3873" t="s">
        <v>457</v>
      </c>
      <c r="AE1" s="3874"/>
      <c r="AF1" s="3874"/>
      <c r="AG1" s="3874"/>
      <c r="AH1" s="387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7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7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7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8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7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7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7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8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7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7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7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7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7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7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7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7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7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7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7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7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7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7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7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7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7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7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7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7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7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7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7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7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7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7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7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7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7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7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7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7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7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7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7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7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7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7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7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7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7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7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7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7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7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7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7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7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7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7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7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7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7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7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7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45587</v>
      </c>
      <c r="D1" s="1300" t="s">
        <v>603</v>
      </c>
      <c r="E1" s="1295">
        <f>'数据-取费表'!B22</f>
        <v>3</v>
      </c>
      <c r="F1" s="1300" t="s">
        <v>604</v>
      </c>
      <c r="G1" s="1296">
        <f ca="1">INDIRECT("d"&amp;$K$1)/100</f>
        <v>3.1E-2</v>
      </c>
      <c r="H1" s="1300" t="s">
        <v>634</v>
      </c>
      <c r="I1" s="1296">
        <f ca="1">F4/100</f>
        <v>1.4999999999999999E-2</v>
      </c>
      <c r="J1" s="1301">
        <f>IF(C1&gt;C13,0,MATCH(C1,C$13:C$114,-1))+IF(SUMIF(C13:C114,C1,D13:D114)=0,13,12)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3.1</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3.1</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3.1</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3.1</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45586</v>
      </c>
      <c r="D13" s="2816">
        <v>3.1</v>
      </c>
      <c r="E13" s="2816">
        <f>D13</f>
        <v>3.1</v>
      </c>
      <c r="F13" s="2816">
        <f>D13</f>
        <v>3.1</v>
      </c>
      <c r="G13" s="2816">
        <f>D13</f>
        <v>3.1</v>
      </c>
      <c r="H13" s="2816">
        <v>3.6</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45495</v>
      </c>
      <c r="D14" s="2811">
        <v>3.35</v>
      </c>
      <c r="E14" s="2811">
        <f>D14</f>
        <v>3.35</v>
      </c>
      <c r="F14" s="2811">
        <f>D14</f>
        <v>3.35</v>
      </c>
      <c r="G14" s="2811">
        <f>D14</f>
        <v>3.35</v>
      </c>
      <c r="H14" s="2811">
        <v>3.85</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45342</v>
      </c>
      <c r="D15" s="2811">
        <v>3.45</v>
      </c>
      <c r="E15" s="2811">
        <f>D15</f>
        <v>3.45</v>
      </c>
      <c r="F15" s="2811">
        <f>D15</f>
        <v>3.45</v>
      </c>
      <c r="G15" s="2811">
        <f>D15</f>
        <v>3.45</v>
      </c>
      <c r="H15" s="2811">
        <v>3.95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45159</v>
      </c>
      <c r="D16" s="2811">
        <v>3.45</v>
      </c>
      <c r="E16" s="2811">
        <f>D16</f>
        <v>3.45</v>
      </c>
      <c r="F16" s="2811">
        <f>D16</f>
        <v>3.45</v>
      </c>
      <c r="G16" s="2811">
        <f>D16</f>
        <v>3.45</v>
      </c>
      <c r="H16" s="2811">
        <v>4.2</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45097</v>
      </c>
      <c r="D17" s="2811">
        <v>3.55</v>
      </c>
      <c r="E17" s="2811">
        <f>D17</f>
        <v>3.55</v>
      </c>
      <c r="F17" s="2811">
        <f>D17</f>
        <v>3.55</v>
      </c>
      <c r="G17" s="2811">
        <f>D17</f>
        <v>3.55</v>
      </c>
      <c r="H17" s="2811">
        <v>4.2</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2">
        <v>44795</v>
      </c>
      <c r="D18" s="2811">
        <v>3.65</v>
      </c>
      <c r="E18" s="2811">
        <v>3.65</v>
      </c>
      <c r="F18" s="2811">
        <v>3.65</v>
      </c>
      <c r="G18" s="2811">
        <v>3.65</v>
      </c>
      <c r="H18" s="2811">
        <v>4.3</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0"/>
      <c r="C19" s="2812">
        <v>44701</v>
      </c>
      <c r="D19" s="2811">
        <v>3.7</v>
      </c>
      <c r="E19" s="2811">
        <f>D19</f>
        <v>3.7</v>
      </c>
      <c r="F19" s="2811">
        <f>D19</f>
        <v>3.7</v>
      </c>
      <c r="G19" s="2811">
        <f>D19</f>
        <v>3.7</v>
      </c>
      <c r="H19" s="2811">
        <v>4.45</v>
      </c>
      <c r="I19" s="2816"/>
      <c r="J19" s="2816"/>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2">
        <v>44581</v>
      </c>
      <c r="D20" s="2811">
        <v>3.7</v>
      </c>
      <c r="E20" s="2811">
        <f>D20</f>
        <v>3.7</v>
      </c>
      <c r="F20" s="2811">
        <f>D20</f>
        <v>3.7</v>
      </c>
      <c r="G20" s="2811">
        <f>D20</f>
        <v>3.7</v>
      </c>
      <c r="H20" s="2811">
        <v>4.5999999999999996</v>
      </c>
      <c r="I20" s="2816"/>
      <c r="J20" s="281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44550</v>
      </c>
      <c r="D21" s="2811">
        <v>3.8</v>
      </c>
      <c r="E21" s="2811">
        <f>D21</f>
        <v>3.8</v>
      </c>
      <c r="F21" s="2811">
        <f>D21</f>
        <v>3.8</v>
      </c>
      <c r="G21" s="2811">
        <f>D21</f>
        <v>3.8</v>
      </c>
      <c r="H21" s="2811">
        <v>4.6500000000000004</v>
      </c>
      <c r="I21" s="2811"/>
      <c r="J21" s="281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43941</v>
      </c>
      <c r="D22" s="2811">
        <v>3.85</v>
      </c>
      <c r="E22" s="2811">
        <v>3.85</v>
      </c>
      <c r="F22" s="2811">
        <v>3.85</v>
      </c>
      <c r="G22" s="2811">
        <v>3.85</v>
      </c>
      <c r="H22" s="2811">
        <v>4.6500000000000004</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1"/>
      <c r="C23" s="2812">
        <v>43881</v>
      </c>
      <c r="D23" s="2811">
        <v>4.05</v>
      </c>
      <c r="E23" s="2811">
        <v>4.05</v>
      </c>
      <c r="F23" s="2811">
        <v>4.05</v>
      </c>
      <c r="G23" s="2811">
        <v>4.05</v>
      </c>
      <c r="H23" s="2811">
        <v>4.75</v>
      </c>
      <c r="I23" s="2811"/>
      <c r="J23" s="2811"/>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1"/>
      <c r="C24" s="2812">
        <v>43789</v>
      </c>
      <c r="D24" s="2811">
        <v>4.1500000000000004</v>
      </c>
      <c r="E24" s="2811">
        <v>4.1500000000000004</v>
      </c>
      <c r="F24" s="2811">
        <v>4.1500000000000004</v>
      </c>
      <c r="G24" s="2811">
        <v>4.1500000000000004</v>
      </c>
      <c r="H24" s="2811">
        <v>4.8</v>
      </c>
      <c r="I24" s="2811"/>
      <c r="J24" s="281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1"/>
      <c r="C25" s="2812">
        <v>43728</v>
      </c>
      <c r="D25" s="2811">
        <v>4.2</v>
      </c>
      <c r="E25" s="2811">
        <v>4.2</v>
      </c>
      <c r="F25" s="2811">
        <v>4.2</v>
      </c>
      <c r="G25" s="2811">
        <v>4.2</v>
      </c>
      <c r="H25" s="2811">
        <v>4.8499999999999996</v>
      </c>
      <c r="I25" s="2811"/>
      <c r="J25" s="2811"/>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10" t="s">
        <v>2302</v>
      </c>
      <c r="C26" s="2813">
        <v>43697</v>
      </c>
      <c r="D26" s="2814">
        <v>4.25</v>
      </c>
      <c r="E26" s="2814">
        <v>4.25</v>
      </c>
      <c r="F26" s="2814">
        <v>4.25</v>
      </c>
      <c r="G26" s="2814">
        <v>4.25</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8"/>
      <c r="C27" s="2819">
        <v>42301</v>
      </c>
      <c r="D27" s="2820">
        <v>4.3499999999999996</v>
      </c>
      <c r="E27" s="2820">
        <v>4.3499999999999996</v>
      </c>
      <c r="F27" s="2820">
        <v>4.75</v>
      </c>
      <c r="G27" s="2820">
        <v>4.75</v>
      </c>
      <c r="H27" s="2820">
        <v>4.9000000000000004</v>
      </c>
      <c r="I27" s="2820"/>
      <c r="J27" s="2820"/>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42242</v>
      </c>
      <c r="D28" s="1288">
        <v>4.5999999999999996</v>
      </c>
      <c r="E28" s="1288">
        <v>4.5999999999999996</v>
      </c>
      <c r="F28" s="1288">
        <v>5</v>
      </c>
      <c r="G28" s="1288">
        <v>5</v>
      </c>
      <c r="H28" s="1288">
        <v>5.15</v>
      </c>
      <c r="I28" s="1288">
        <v>2.75</v>
      </c>
      <c r="J28" s="1288">
        <v>3.25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42183</v>
      </c>
      <c r="D29" s="1288">
        <v>4.8499999999999996</v>
      </c>
      <c r="E29" s="1288">
        <v>4.8499999999999996</v>
      </c>
      <c r="F29" s="1288">
        <v>5.25</v>
      </c>
      <c r="G29" s="1288">
        <v>5.25</v>
      </c>
      <c r="H29" s="1288">
        <v>5.4</v>
      </c>
      <c r="I29" s="1288">
        <v>3</v>
      </c>
      <c r="J29" s="1288">
        <v>3.5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42135</v>
      </c>
      <c r="D30" s="1288">
        <v>5.0999999999999996</v>
      </c>
      <c r="E30" s="1288">
        <v>5.0999999999999996</v>
      </c>
      <c r="F30" s="1288">
        <v>5.5</v>
      </c>
      <c r="G30" s="1288">
        <v>5.5</v>
      </c>
      <c r="H30" s="1288">
        <v>5.65</v>
      </c>
      <c r="I30" s="1288">
        <v>3.25</v>
      </c>
      <c r="J30" s="1288">
        <v>3.75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42064</v>
      </c>
      <c r="D31" s="1288">
        <v>5.35</v>
      </c>
      <c r="E31" s="1288">
        <v>5.35</v>
      </c>
      <c r="F31" s="1288">
        <v>5.75</v>
      </c>
      <c r="G31" s="1288">
        <v>5.75</v>
      </c>
      <c r="H31" s="1288">
        <v>5.9</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41965</v>
      </c>
      <c r="D32" s="1288">
        <v>5.6</v>
      </c>
      <c r="E32" s="1288">
        <v>5.6</v>
      </c>
      <c r="F32" s="1288">
        <v>6</v>
      </c>
      <c r="G32" s="1288">
        <v>6</v>
      </c>
      <c r="H32" s="1288">
        <v>6.15</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41096</v>
      </c>
      <c r="D33" s="1288">
        <v>5.6</v>
      </c>
      <c r="E33" s="1288">
        <v>6</v>
      </c>
      <c r="F33" s="1288">
        <v>6.15</v>
      </c>
      <c r="G33" s="1288">
        <v>6.4</v>
      </c>
      <c r="H33" s="1288">
        <v>6.55</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41068</v>
      </c>
      <c r="D34" s="1288">
        <v>5.85</v>
      </c>
      <c r="E34" s="1288">
        <v>6.31</v>
      </c>
      <c r="F34" s="1288">
        <v>6.4</v>
      </c>
      <c r="G34" s="1288">
        <v>6.65</v>
      </c>
      <c r="H34" s="1288">
        <v>6.8</v>
      </c>
      <c r="I34" s="1288">
        <v>4.2</v>
      </c>
      <c r="J34" s="1288">
        <v>4.7</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40731</v>
      </c>
      <c r="D35" s="1288">
        <v>6.1</v>
      </c>
      <c r="E35" s="1288">
        <v>6.56</v>
      </c>
      <c r="F35" s="1288">
        <v>6.65</v>
      </c>
      <c r="G35" s="1288">
        <v>6.9</v>
      </c>
      <c r="H35" s="1288">
        <v>7.05</v>
      </c>
      <c r="I35" s="1288">
        <v>4.45</v>
      </c>
      <c r="J35" s="1288">
        <v>4.9000000000000004</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40639</v>
      </c>
      <c r="D36" s="1288">
        <v>5.85</v>
      </c>
      <c r="E36" s="1288">
        <v>6.31</v>
      </c>
      <c r="F36" s="1288">
        <v>6.4</v>
      </c>
      <c r="G36" s="1288">
        <v>6.65</v>
      </c>
      <c r="H36" s="1288">
        <v>6.8</v>
      </c>
      <c r="I36" s="1288">
        <v>4.2</v>
      </c>
      <c r="J36" s="1288">
        <v>4.7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40583</v>
      </c>
      <c r="D37" s="1288">
        <v>5.6</v>
      </c>
      <c r="E37" s="1288">
        <v>6.06</v>
      </c>
      <c r="F37" s="1288">
        <v>6.1</v>
      </c>
      <c r="G37" s="1288">
        <v>6.45</v>
      </c>
      <c r="H37" s="1288">
        <v>6.6</v>
      </c>
      <c r="I37" s="1288">
        <v>4</v>
      </c>
      <c r="J37" s="1288">
        <v>4.5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40538</v>
      </c>
      <c r="D38" s="1288">
        <v>5.35</v>
      </c>
      <c r="E38" s="1288">
        <v>5.81</v>
      </c>
      <c r="F38" s="1288">
        <v>5.85</v>
      </c>
      <c r="G38" s="1288">
        <v>6.22</v>
      </c>
      <c r="H38" s="1288">
        <v>6.4</v>
      </c>
      <c r="I38" s="1288">
        <v>3.75</v>
      </c>
      <c r="J38" s="1288">
        <v>4.3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40471</v>
      </c>
      <c r="D39" s="1288">
        <v>5.0999999999999996</v>
      </c>
      <c r="E39" s="1288">
        <v>5.56</v>
      </c>
      <c r="F39" s="1288">
        <v>5.6</v>
      </c>
      <c r="G39" s="1288">
        <v>5.96</v>
      </c>
      <c r="H39" s="1288">
        <v>6.14</v>
      </c>
      <c r="I39" s="1288">
        <v>3.5</v>
      </c>
      <c r="J39" s="1288">
        <v>4.05</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39805</v>
      </c>
      <c r="D40" s="1288">
        <v>4.8600000000000003</v>
      </c>
      <c r="E40" s="1288">
        <v>5.31</v>
      </c>
      <c r="F40" s="1288">
        <v>5.4</v>
      </c>
      <c r="G40" s="1288">
        <v>5.76</v>
      </c>
      <c r="H40" s="1288">
        <v>5.94</v>
      </c>
      <c r="I40" s="1288">
        <v>3.33</v>
      </c>
      <c r="J40" s="1288">
        <v>3.87</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39779</v>
      </c>
      <c r="D41" s="1288">
        <v>5.04</v>
      </c>
      <c r="E41" s="1288">
        <v>5.58</v>
      </c>
      <c r="F41" s="1288">
        <v>5.67</v>
      </c>
      <c r="G41" s="1288">
        <v>5.94</v>
      </c>
      <c r="H41" s="1288">
        <v>6.12</v>
      </c>
      <c r="I41" s="1288">
        <v>3.51</v>
      </c>
      <c r="J41" s="1288">
        <v>4.05</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39751</v>
      </c>
      <c r="D42" s="1288">
        <v>6.03</v>
      </c>
      <c r="E42" s="1288">
        <v>6.66</v>
      </c>
      <c r="F42" s="1288">
        <v>6.75</v>
      </c>
      <c r="G42" s="1288">
        <v>7.02</v>
      </c>
      <c r="H42" s="1288">
        <v>7.2</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90">
        <v>39748</v>
      </c>
      <c r="D43" s="1288">
        <v>6.12</v>
      </c>
      <c r="E43" s="1288">
        <v>6.93</v>
      </c>
      <c r="F43" s="1288">
        <v>7.02</v>
      </c>
      <c r="G43" s="1288">
        <v>7.29</v>
      </c>
      <c r="H43" s="1288">
        <v>7.47</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39730</v>
      </c>
      <c r="D44" s="1288">
        <v>6.12</v>
      </c>
      <c r="E44" s="1288">
        <v>6.93</v>
      </c>
      <c r="F44" s="1288">
        <v>7.02</v>
      </c>
      <c r="G44" s="1288">
        <v>7.29</v>
      </c>
      <c r="H44" s="1288">
        <v>7.47</v>
      </c>
      <c r="I44" s="1288">
        <v>4.32</v>
      </c>
      <c r="J44" s="1288">
        <v>4.8600000000000003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39707</v>
      </c>
      <c r="D45" s="1288">
        <v>6.21</v>
      </c>
      <c r="E45" s="1288">
        <v>7.2</v>
      </c>
      <c r="F45" s="1288">
        <v>7.29</v>
      </c>
      <c r="G45" s="1288">
        <v>7.56</v>
      </c>
      <c r="H45" s="1288">
        <v>7.74</v>
      </c>
      <c r="I45" s="1288">
        <v>4.59</v>
      </c>
      <c r="J45" s="1288">
        <v>5.13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39437</v>
      </c>
      <c r="D46" s="1288">
        <v>6.57</v>
      </c>
      <c r="E46" s="1288">
        <v>7.47</v>
      </c>
      <c r="F46" s="1288">
        <v>7.56</v>
      </c>
      <c r="G46" s="1288">
        <v>7.74</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39340</v>
      </c>
      <c r="D47" s="1288">
        <v>6.48</v>
      </c>
      <c r="E47" s="1288">
        <v>7.29</v>
      </c>
      <c r="F47" s="1288">
        <v>7.47</v>
      </c>
      <c r="G47" s="1288">
        <v>7.65</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39316</v>
      </c>
      <c r="D48" s="1288">
        <v>6.21</v>
      </c>
      <c r="E48" s="1288">
        <v>7.02</v>
      </c>
      <c r="F48" s="1288">
        <v>7.2</v>
      </c>
      <c r="G48" s="1288">
        <v>7.38</v>
      </c>
      <c r="H48" s="1288">
        <v>7.56</v>
      </c>
      <c r="I48" s="1288">
        <v>4.59</v>
      </c>
      <c r="J48" s="1288">
        <v>5.04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39284</v>
      </c>
      <c r="D49" s="1288">
        <v>6.03</v>
      </c>
      <c r="E49" s="1288">
        <v>6.84</v>
      </c>
      <c r="F49" s="1288">
        <v>7.02</v>
      </c>
      <c r="G49" s="1288">
        <v>7.2</v>
      </c>
      <c r="H49" s="1288">
        <v>7.38</v>
      </c>
      <c r="I49" s="1288">
        <v>4.5</v>
      </c>
      <c r="J49" s="1288">
        <v>4.95</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39221</v>
      </c>
      <c r="D50" s="1288">
        <v>5.85</v>
      </c>
      <c r="E50" s="1288">
        <v>6.57</v>
      </c>
      <c r="F50" s="1288">
        <v>6.75</v>
      </c>
      <c r="G50" s="1288">
        <v>6.93</v>
      </c>
      <c r="H50" s="1288">
        <v>7.2</v>
      </c>
      <c r="I50" s="1288">
        <v>4.41</v>
      </c>
      <c r="J50" s="1288">
        <v>4.8600000000000003</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39159</v>
      </c>
      <c r="D51" s="1288">
        <v>5.67</v>
      </c>
      <c r="E51" s="1288">
        <v>6.39</v>
      </c>
      <c r="F51" s="1288">
        <v>6.57</v>
      </c>
      <c r="G51" s="1288">
        <v>6.75</v>
      </c>
      <c r="H51" s="1288">
        <v>7.11</v>
      </c>
      <c r="I51" s="1288">
        <v>4.32</v>
      </c>
      <c r="J51" s="1288">
        <v>4.7699999999999996</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38948</v>
      </c>
      <c r="D52" s="1288">
        <v>5.58</v>
      </c>
      <c r="E52" s="1288">
        <v>6.12</v>
      </c>
      <c r="F52" s="1288">
        <v>6.3</v>
      </c>
      <c r="G52" s="1288">
        <v>6.48</v>
      </c>
      <c r="H52" s="1288">
        <v>6.84</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38835</v>
      </c>
      <c r="D53" s="1288">
        <v>5.4</v>
      </c>
      <c r="E53" s="1288">
        <v>5.85</v>
      </c>
      <c r="F53" s="1288">
        <v>6.03</v>
      </c>
      <c r="G53" s="1288">
        <v>6.12</v>
      </c>
      <c r="H53" s="1288">
        <v>6.39</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38428</v>
      </c>
      <c r="D54" s="1288">
        <v>5.22</v>
      </c>
      <c r="E54" s="1288">
        <v>5.58</v>
      </c>
      <c r="F54" s="1288">
        <v>5.76</v>
      </c>
      <c r="G54" s="1288">
        <v>5.85</v>
      </c>
      <c r="H54" s="1288">
        <v>6.12</v>
      </c>
      <c r="I54" s="1288">
        <v>3.96</v>
      </c>
      <c r="J54" s="1288">
        <v>4.41</v>
      </c>
      <c r="L54" s="1288"/>
      <c r="M54" s="1289"/>
      <c r="N54" s="1288"/>
      <c r="O54" s="1288"/>
      <c r="P54" s="1288"/>
      <c r="Q54" s="1288"/>
      <c r="R54" s="1288"/>
      <c r="S54" s="1288"/>
      <c r="T54" s="1288"/>
      <c r="U54" s="1288"/>
      <c r="V54" s="1288"/>
      <c r="W54" s="1288"/>
      <c r="X54" s="1288"/>
      <c r="Y54" s="1288"/>
      <c r="Z54" s="1288"/>
    </row>
    <row r="55" spans="2:26">
      <c r="B55" s="1288"/>
      <c r="C55" s="1289">
        <v>38289</v>
      </c>
      <c r="D55" s="1288">
        <v>5.22</v>
      </c>
      <c r="E55" s="1288">
        <v>5.58</v>
      </c>
      <c r="F55" s="1288">
        <v>5.76</v>
      </c>
      <c r="G55" s="1288">
        <v>5.85</v>
      </c>
      <c r="H55" s="1288">
        <v>6.12</v>
      </c>
      <c r="I55" s="1288">
        <v>3.78</v>
      </c>
      <c r="J55" s="1288">
        <v>4.2300000000000004</v>
      </c>
      <c r="L55" s="1288"/>
      <c r="M55" s="1289"/>
      <c r="N55" s="1288"/>
      <c r="O55" s="1288"/>
      <c r="P55" s="1288"/>
      <c r="Q55" s="1288"/>
      <c r="R55" s="1288"/>
      <c r="S55" s="1288"/>
      <c r="T55" s="1288"/>
      <c r="U55" s="1288"/>
      <c r="V55" s="1288"/>
      <c r="W55" s="1288"/>
      <c r="X55" s="1288"/>
      <c r="Y55" s="1288"/>
      <c r="Z55" s="1288"/>
    </row>
    <row r="56" spans="2:26">
      <c r="B56" s="1288"/>
      <c r="C56" s="1289">
        <v>37308</v>
      </c>
      <c r="D56" s="1288">
        <v>5.04</v>
      </c>
      <c r="E56" s="1288">
        <v>5.31</v>
      </c>
      <c r="F56" s="1288">
        <v>5.49</v>
      </c>
      <c r="G56" s="1288">
        <v>5.58</v>
      </c>
      <c r="H56" s="1288">
        <v>5.76</v>
      </c>
      <c r="I56" s="1288">
        <v>3.6</v>
      </c>
      <c r="J56" s="1288">
        <v>4.05</v>
      </c>
      <c r="L56" s="1288"/>
      <c r="M56" s="1289"/>
      <c r="N56" s="1288"/>
      <c r="O56" s="1288"/>
      <c r="P56" s="1288"/>
      <c r="Q56" s="1288"/>
      <c r="R56" s="1288"/>
      <c r="S56" s="1288"/>
      <c r="T56" s="1288"/>
      <c r="U56" s="1288"/>
      <c r="V56" s="1288"/>
      <c r="W56" s="1288"/>
      <c r="X56" s="1288"/>
      <c r="Y56" s="1288"/>
      <c r="Z56" s="1288"/>
    </row>
    <row r="57" spans="2:26">
      <c r="B57" s="1288"/>
      <c r="C57" s="1289">
        <v>36321</v>
      </c>
      <c r="D57" s="1288">
        <v>5.58</v>
      </c>
      <c r="E57" s="1288">
        <v>5.85</v>
      </c>
      <c r="F57" s="1288">
        <v>5.94</v>
      </c>
      <c r="G57" s="1288">
        <v>6.03</v>
      </c>
      <c r="H57" s="1288">
        <v>6.21</v>
      </c>
      <c r="I57" s="1288">
        <v>4.1399999999999997</v>
      </c>
      <c r="J57" s="1288">
        <v>4.59</v>
      </c>
      <c r="L57" s="1288"/>
      <c r="M57" s="1289"/>
      <c r="N57" s="1288"/>
      <c r="O57" s="1288"/>
      <c r="P57" s="1288"/>
      <c r="Q57" s="1288"/>
      <c r="R57" s="1288"/>
      <c r="S57" s="1288"/>
      <c r="T57" s="1288"/>
      <c r="U57" s="1288"/>
      <c r="V57" s="1288"/>
      <c r="W57" s="1288"/>
      <c r="X57" s="1288"/>
      <c r="Y57" s="1288"/>
      <c r="Z57" s="1288"/>
    </row>
    <row r="58" spans="2:26">
      <c r="B58" s="1288"/>
      <c r="C58" s="1289">
        <v>36136</v>
      </c>
      <c r="D58" s="1288">
        <v>6.12</v>
      </c>
      <c r="E58" s="1288">
        <v>6.39</v>
      </c>
      <c r="F58" s="1288">
        <v>6.66</v>
      </c>
      <c r="G58" s="1288">
        <v>7.2</v>
      </c>
      <c r="H58" s="1288">
        <v>7.56</v>
      </c>
      <c r="I58" s="1288">
        <v>0</v>
      </c>
      <c r="J58" s="1288">
        <v>0</v>
      </c>
    </row>
    <row r="59" spans="2:26">
      <c r="B59" s="1288"/>
      <c r="C59" s="1289">
        <v>35977</v>
      </c>
      <c r="D59" s="1288">
        <v>6.57</v>
      </c>
      <c r="E59" s="1288">
        <v>6.93</v>
      </c>
      <c r="F59" s="1288">
        <v>7.11</v>
      </c>
      <c r="G59" s="1288">
        <v>7.65</v>
      </c>
      <c r="H59" s="1288">
        <v>8.01</v>
      </c>
      <c r="I59" s="1288">
        <v>0</v>
      </c>
      <c r="J59" s="1288">
        <v>0</v>
      </c>
    </row>
    <row r="60" spans="2:26">
      <c r="B60" s="1288"/>
      <c r="C60" s="1289">
        <v>35879</v>
      </c>
      <c r="D60" s="1288">
        <v>7.02</v>
      </c>
      <c r="E60" s="1288">
        <v>7.92</v>
      </c>
      <c r="F60" s="1288">
        <v>9</v>
      </c>
      <c r="G60" s="1288">
        <v>9.7200000000000006</v>
      </c>
      <c r="H60" s="1288">
        <v>10.35</v>
      </c>
      <c r="I60" s="1288">
        <v>0</v>
      </c>
      <c r="J60" s="1288">
        <v>0</v>
      </c>
    </row>
    <row r="61" spans="2:26">
      <c r="B61" s="1288"/>
      <c r="C61" s="1289">
        <v>35726</v>
      </c>
      <c r="D61" s="1288">
        <v>7.65</v>
      </c>
      <c r="E61" s="1288">
        <v>8.64</v>
      </c>
      <c r="F61" s="1288">
        <v>9.36</v>
      </c>
      <c r="G61" s="1288">
        <v>9.9</v>
      </c>
      <c r="H61" s="1288">
        <v>10.53</v>
      </c>
      <c r="I61" s="1288">
        <v>0</v>
      </c>
      <c r="J61" s="1288">
        <v>0</v>
      </c>
    </row>
    <row r="62" spans="2:26">
      <c r="B62" s="1288"/>
      <c r="C62" s="1289">
        <v>35300</v>
      </c>
      <c r="D62" s="1288">
        <v>9.18</v>
      </c>
      <c r="E62" s="1288">
        <v>10.08</v>
      </c>
      <c r="F62" s="1288">
        <v>10.98</v>
      </c>
      <c r="G62" s="1288">
        <v>11.7</v>
      </c>
      <c r="H62" s="1288">
        <v>12.42</v>
      </c>
      <c r="I62" s="1288">
        <v>0</v>
      </c>
      <c r="J62" s="1288">
        <v>0</v>
      </c>
    </row>
    <row r="63" spans="2:26">
      <c r="B63" s="1288"/>
      <c r="C63" s="1289">
        <v>35186</v>
      </c>
      <c r="D63" s="1288">
        <v>9.7200000000000006</v>
      </c>
      <c r="E63" s="1288">
        <v>10.98</v>
      </c>
      <c r="F63" s="1288">
        <v>13.14</v>
      </c>
      <c r="G63" s="1288">
        <v>14.94</v>
      </c>
      <c r="H63" s="1288">
        <v>15.12</v>
      </c>
      <c r="I63" s="1288">
        <v>0</v>
      </c>
      <c r="J63" s="1288">
        <v>0</v>
      </c>
    </row>
    <row r="64" spans="2:26">
      <c r="B64" s="1288"/>
      <c r="C64" s="1289">
        <v>34881</v>
      </c>
      <c r="D64" s="1288">
        <v>10.08</v>
      </c>
      <c r="E64" s="1288">
        <v>12.06</v>
      </c>
      <c r="F64" s="1288">
        <v>13.5</v>
      </c>
      <c r="G64" s="1288">
        <v>15.12</v>
      </c>
      <c r="H64" s="1288">
        <v>15.3</v>
      </c>
      <c r="I64" s="1288">
        <v>0</v>
      </c>
      <c r="J64" s="1288">
        <v>0</v>
      </c>
    </row>
    <row r="65" spans="2:10">
      <c r="B65" s="1288"/>
      <c r="C65" s="1289">
        <v>34700</v>
      </c>
      <c r="D65" s="1288">
        <v>9</v>
      </c>
      <c r="E65" s="1288">
        <v>10.98</v>
      </c>
      <c r="F65" s="1288">
        <v>12.96</v>
      </c>
      <c r="G65" s="1288">
        <v>14.58</v>
      </c>
      <c r="H65" s="1288">
        <v>14.76</v>
      </c>
      <c r="I65" s="1288">
        <v>0</v>
      </c>
      <c r="J65" s="1288">
        <v>0</v>
      </c>
    </row>
    <row r="66" spans="2:10">
      <c r="B66" s="1288"/>
      <c r="C66" s="1289">
        <v>34161</v>
      </c>
      <c r="D66" s="1288">
        <v>9</v>
      </c>
      <c r="E66" s="1288">
        <v>10.98</v>
      </c>
      <c r="F66" s="1288">
        <v>12.24</v>
      </c>
      <c r="G66" s="1288">
        <v>13.86</v>
      </c>
      <c r="H66" s="1288">
        <v>14.04</v>
      </c>
      <c r="I66" s="1288">
        <v>0</v>
      </c>
      <c r="J66" s="1288">
        <v>0</v>
      </c>
    </row>
    <row r="67" spans="2:10">
      <c r="B67" s="1288"/>
      <c r="C67" s="1289">
        <v>34104</v>
      </c>
      <c r="D67" s="1288">
        <v>8.82</v>
      </c>
      <c r="E67" s="1288">
        <v>9.36</v>
      </c>
      <c r="F67" s="1288">
        <v>10.8</v>
      </c>
      <c r="G67" s="1288">
        <v>12.06</v>
      </c>
      <c r="H67" s="1288">
        <v>12.24</v>
      </c>
      <c r="I67" s="1288">
        <v>0</v>
      </c>
      <c r="J67" s="1288">
        <v>0</v>
      </c>
    </row>
    <row r="68" spans="2:10">
      <c r="B68" s="1288"/>
      <c r="C68" s="1289">
        <v>33349</v>
      </c>
      <c r="D68" s="1288">
        <v>8.1</v>
      </c>
      <c r="E68" s="1288">
        <v>8.64</v>
      </c>
      <c r="F68" s="1288">
        <v>9</v>
      </c>
      <c r="G68" s="1288">
        <v>9.5399999999999991</v>
      </c>
      <c r="H68" s="1288">
        <v>9.7200000000000006</v>
      </c>
      <c r="I68" s="1288">
        <v>0</v>
      </c>
      <c r="J68" s="1288">
        <v>0</v>
      </c>
    </row>
    <row r="69" spans="2:10">
      <c r="B69" s="1288"/>
      <c r="C69" s="1289">
        <v>33318</v>
      </c>
      <c r="D69" s="1288">
        <v>9</v>
      </c>
      <c r="E69" s="1288">
        <v>10.08</v>
      </c>
      <c r="F69" s="1288">
        <v>10.8</v>
      </c>
      <c r="G69" s="1288">
        <v>11.52</v>
      </c>
      <c r="H69" s="1288">
        <v>11.88</v>
      </c>
      <c r="I69" s="1288" t="s">
        <v>633</v>
      </c>
      <c r="J69" s="1288" t="s">
        <v>633</v>
      </c>
    </row>
    <row r="70" spans="2:10">
      <c r="B70" s="1288"/>
      <c r="C70" s="1289">
        <v>33106</v>
      </c>
      <c r="D70" s="1288">
        <v>8.64</v>
      </c>
      <c r="E70" s="1288">
        <v>9.36</v>
      </c>
      <c r="F70" s="1288">
        <v>10.08</v>
      </c>
      <c r="G70" s="1288">
        <v>10.8</v>
      </c>
      <c r="H70" s="1288">
        <v>11.16</v>
      </c>
      <c r="I70" s="1288">
        <v>0</v>
      </c>
      <c r="J70" s="1288">
        <v>0</v>
      </c>
    </row>
    <row r="71" spans="2:10">
      <c r="B71" s="1288"/>
      <c r="C71" s="1289">
        <v>32540</v>
      </c>
      <c r="D71" s="1288">
        <v>11.34</v>
      </c>
      <c r="E71" s="1288">
        <v>11.34</v>
      </c>
      <c r="F71" s="1288">
        <v>12.78</v>
      </c>
      <c r="G71" s="1288">
        <v>14.4</v>
      </c>
      <c r="H71" s="1288">
        <v>19.260000000000002</v>
      </c>
      <c r="I71" s="1288">
        <v>0</v>
      </c>
      <c r="J71" s="1288">
        <v>0</v>
      </c>
    </row>
    <row r="72" spans="2:10">
      <c r="B72" s="1288"/>
      <c r="C72" s="1289"/>
      <c r="D72" s="1288"/>
      <c r="E72" s="1288"/>
      <c r="F72" s="1288"/>
      <c r="G72" s="1288"/>
      <c r="H72" s="1288"/>
      <c r="I72" s="1288"/>
      <c r="J72" s="1288"/>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40"/>
      <c r="C76" s="1240"/>
      <c r="D76" s="1240"/>
      <c r="E76" s="1240"/>
      <c r="F76" s="1240"/>
      <c r="G76" s="1240"/>
      <c r="H76" s="1240"/>
      <c r="I76" s="1240"/>
      <c r="J76" s="1240"/>
    </row>
    <row r="77" spans="2:10">
      <c r="B77" s="1240"/>
      <c r="C77" s="1240"/>
      <c r="D77" s="1240"/>
      <c r="E77" s="1240"/>
      <c r="F77" s="1240"/>
      <c r="G77" s="1240"/>
      <c r="H77" s="1240"/>
      <c r="I77" s="1240"/>
      <c r="J77"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68" t="s">
        <v>949</v>
      </c>
      <c r="B1" s="3568"/>
      <c r="C1" s="3568"/>
      <c r="D1" s="3568"/>
    </row>
    <row r="2" spans="1:4" ht="18">
      <c r="A2" s="3569" t="s">
        <v>933</v>
      </c>
      <c r="B2" s="3569"/>
      <c r="C2" s="3569"/>
      <c r="D2" s="3569"/>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69" t="s">
        <v>939</v>
      </c>
      <c r="B6" s="3569"/>
      <c r="C6" s="3569"/>
      <c r="D6" s="3569"/>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70" t="s">
        <v>942</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7"/>
      <c r="C12" s="3567"/>
      <c r="D12" s="3567"/>
    </row>
    <row r="13" spans="1:4" ht="30" customHeight="1">
      <c r="A13" s="35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7"/>
      <c r="C13" s="3567"/>
      <c r="D13" s="3567"/>
    </row>
    <row r="14" spans="1:4" ht="15.75" customHeight="1">
      <c r="A14" s="3562" t="str">
        <f>IF(项目基本情况!B8="抵押","4.本次评估估价师所知悉的法定优先受偿款情况说明如下：","——")</f>
        <v>4.本次评估估价师所知悉的法定优先受偿款情况说明如下：</v>
      </c>
      <c r="B14" s="3567"/>
      <c r="C14" s="3567"/>
      <c r="D14" s="3567"/>
    </row>
    <row r="15" spans="1:4" ht="42" customHeight="1">
      <c r="A15" s="356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62"/>
      <c r="C15" s="3562"/>
      <c r="D15" s="3562"/>
    </row>
    <row r="16" spans="1:4" ht="30" customHeight="1">
      <c r="A16" s="3564" t="s">
        <v>943</v>
      </c>
      <c r="B16" s="3564"/>
      <c r="C16" s="3564"/>
      <c r="D16" s="3564"/>
    </row>
    <row r="17" spans="1:4" ht="144" customHeight="1">
      <c r="A17" s="3564" t="s">
        <v>944</v>
      </c>
      <c r="B17" s="3564"/>
      <c r="C17" s="3564"/>
      <c r="D17" s="3564"/>
    </row>
    <row r="18" spans="1:4" ht="15.75" customHeight="1">
      <c r="A18" s="3562" t="str">
        <f>IF(项目基本情况!B8="抵押",结果表!K120,"——")</f>
        <v>故，本次评估不存在估价师知悉的法定优先受偿款</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5"/>
      <c r="C21" s="3565"/>
      <c r="D21" s="3565"/>
    </row>
    <row r="22" spans="1:4" ht="18.75" customHeight="1">
      <c r="A22" s="3566" t="s">
        <v>945</v>
      </c>
      <c r="B22" s="3566"/>
      <c r="C22" s="3566"/>
      <c r="D22" s="356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63">
        <v>42551</v>
      </c>
      <c r="D31" s="35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76" t="s">
        <v>956</v>
      </c>
      <c r="B15" s="3571" t="s">
        <v>109</v>
      </c>
      <c r="C15" s="3572"/>
    </row>
    <row r="16" spans="1:7" ht="13.5">
      <c r="A16" s="3577"/>
      <c r="B16" s="3571" t="s">
        <v>42</v>
      </c>
      <c r="C16" s="3572"/>
    </row>
    <row r="17" spans="1:3" ht="13.5">
      <c r="A17" s="3577"/>
      <c r="B17" s="3574" t="s">
        <v>957</v>
      </c>
      <c r="C17" s="1530" t="s">
        <v>956</v>
      </c>
    </row>
    <row r="18" spans="1:3" ht="13.5">
      <c r="A18" s="3577"/>
      <c r="B18" s="3574"/>
      <c r="C18" s="1530" t="s">
        <v>958</v>
      </c>
    </row>
    <row r="19" spans="1:3" ht="13.5">
      <c r="A19" s="3577"/>
      <c r="B19" s="3574"/>
      <c r="C19" s="1530" t="s">
        <v>959</v>
      </c>
    </row>
    <row r="20" spans="1:3" ht="13.5">
      <c r="A20" s="3578"/>
      <c r="B20" s="3573" t="s">
        <v>960</v>
      </c>
      <c r="C20" s="3572"/>
    </row>
    <row r="21" spans="1:3" ht="13.5">
      <c r="A21" s="1531" t="s">
        <v>961</v>
      </c>
      <c r="B21" s="1532"/>
      <c r="C21" s="1533"/>
    </row>
    <row r="22" spans="1:3" ht="13.5">
      <c r="A22" s="3575" t="s">
        <v>962</v>
      </c>
      <c r="B22" s="3573" t="s">
        <v>963</v>
      </c>
      <c r="C22" s="3572"/>
    </row>
    <row r="23" spans="1:3" ht="13.5">
      <c r="A23" s="3575"/>
      <c r="B23" s="3573" t="s">
        <v>964</v>
      </c>
      <c r="C23" s="3572"/>
    </row>
    <row r="24" spans="1:3" ht="13.5">
      <c r="A24" s="3575"/>
      <c r="B24" s="3573" t="s">
        <v>965</v>
      </c>
      <c r="C24" s="3572"/>
    </row>
    <row r="25" spans="1:3" ht="13.5">
      <c r="A25" s="3575"/>
      <c r="B25" s="3574" t="s">
        <v>966</v>
      </c>
      <c r="C25" s="1530" t="s">
        <v>967</v>
      </c>
    </row>
    <row r="26" spans="1:3" ht="13.5">
      <c r="A26" s="3575"/>
      <c r="B26" s="3574"/>
      <c r="C26" s="1530" t="s">
        <v>968</v>
      </c>
    </row>
    <row r="27" spans="1:3" ht="13.5">
      <c r="A27" s="3575"/>
      <c r="B27" s="3574"/>
      <c r="C27" s="1530" t="s">
        <v>969</v>
      </c>
    </row>
    <row r="28" spans="1:3" ht="13.5">
      <c r="A28" s="3575"/>
      <c r="B28" s="3574"/>
      <c r="C28" s="1530" t="s">
        <v>970</v>
      </c>
    </row>
    <row r="29" spans="1:3" ht="13.5">
      <c r="A29" s="3575"/>
      <c r="B29" s="3574"/>
      <c r="C29" s="1530" t="s">
        <v>971</v>
      </c>
    </row>
    <row r="30" spans="1:3" ht="13.5">
      <c r="A30" s="3575"/>
      <c r="B30" s="3574"/>
      <c r="C30" s="1530" t="s">
        <v>972</v>
      </c>
    </row>
    <row r="31" spans="1:3" ht="13.5">
      <c r="A31" s="3575"/>
      <c r="B31" s="3574"/>
      <c r="C31" s="1530" t="s">
        <v>973</v>
      </c>
    </row>
    <row r="32" spans="1:3" ht="13.5">
      <c r="A32" s="3575"/>
      <c r="B32" s="3574"/>
      <c r="C32" s="1530" t="s">
        <v>974</v>
      </c>
    </row>
    <row r="33" spans="1:3" ht="13.5">
      <c r="A33" s="3575"/>
      <c r="B33" s="357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45601</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t="str">
        <f ca="1">IF(C6&lt;B2,"已过期",1120050019)</f>
        <v>已过期</v>
      </c>
      <c r="C6" s="2343">
        <v>45410</v>
      </c>
      <c r="D6" s="2344" t="str">
        <f t="shared" ca="1" si="0"/>
        <v>王鹏（注册号：已过期）</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t="str">
        <f ca="1">IF(C9&lt;B2,"已过期",1120060040)</f>
        <v>已过期</v>
      </c>
      <c r="C9" s="2348">
        <v>45592</v>
      </c>
      <c r="D9" s="2344" t="str">
        <f t="shared" ca="1" si="0"/>
        <v>陈颖（注册号：已过期）</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t="str">
        <f ca="1">IF(C13&lt;B2,"已过期",1120020033)</f>
        <v>已过期</v>
      </c>
      <c r="C13" s="2343">
        <v>45375</v>
      </c>
      <c r="D13" s="2344" t="str">
        <f t="shared" ca="1" si="0"/>
        <v>刘敬东（注册号：已过期）</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2429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79" t="s">
        <v>2158</v>
      </c>
      <c r="B17" s="3579"/>
      <c r="C17" s="3579"/>
      <c r="D17" s="3579"/>
      <c r="E17" s="3579"/>
      <c r="F17" s="3579"/>
      <c r="G17" s="3579"/>
      <c r="H17" s="3579"/>
    </row>
    <row r="18" spans="1:8" ht="24" customHeight="1">
      <c r="A18" s="3580" t="s">
        <v>2159</v>
      </c>
      <c r="B18" s="3580"/>
      <c r="C18" s="3580"/>
      <c r="D18" s="2341"/>
      <c r="E18" s="3581" t="s">
        <v>2160</v>
      </c>
      <c r="F18" s="3580"/>
      <c r="G18" s="3580"/>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地上</vt:lpstr>
      <vt:lpstr>地下</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基准地价修正-商业</vt:lpstr>
      <vt:lpstr>基准地价修正-办公</vt:lpstr>
      <vt:lpstr>假设开发法</vt:lpstr>
      <vt:lpstr>收益法-办公</vt:lpstr>
      <vt:lpstr>收益法-商业</vt:lpstr>
      <vt:lpstr>收益法-车位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2024-11-05T02:08:48Z</dcterms:modified>
</cp:coreProperties>
</file>