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11"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基准地价修正" sheetId="43" r:id="rId32"/>
    <sheet name="土地比较法-工业" sheetId="40" state="hidden" r:id="rId33"/>
    <sheet name="收益法-经营" sheetId="79"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比较法-住宅、综合" sheetId="39" r:id="rId45"/>
    <sheet name="利润表" sheetId="78" r:id="rId46"/>
    <sheet name="面积明细" sheetId="80" r:id="rId47"/>
    <sheet name="土地案例" sheetId="81" r:id="rId48"/>
    <sheet name="Sheet1" sheetId="82" r:id="rId49"/>
  </sheets>
  <externalReferences>
    <externalReference r:id="rId50"/>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44"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1">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44">'土地比较法-住宅、综合'!$A$1:$K$66,'土地比较法-住宅、综合'!$A$69:$M$132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33">'[1]比较法-办公'!$B$119:$M$119</definedName>
    <definedName name="办公层高">'比较法-办公'!$B$119:$M$119</definedName>
    <definedName name="办公朝向" localSheetId="33">'[1]比较法-办公'!$B$91:$M$91</definedName>
    <definedName name="办公朝向">'比较法-办公'!$B$91:$M$91</definedName>
    <definedName name="办公道路级别" localSheetId="33">'[1]比较法-办公'!$B$87:$M$87</definedName>
    <definedName name="办公道路级别">'比较法-办公'!$B$87:$M$87</definedName>
    <definedName name="办公公共部分装修" localSheetId="33">'[1]比较法-办公'!$B$108:$M$108</definedName>
    <definedName name="办公公共部分装修">'比较法-办公'!$B$108:$M$108</definedName>
    <definedName name="办公基础设施水平" localSheetId="33">'[1]比较法-办公'!$B$117:$M$117</definedName>
    <definedName name="办公基础设施水平">'比较法-办公'!$B$117:$M$117</definedName>
    <definedName name="办公集聚程度" localSheetId="33">[1]定义!$M$1:$M$6</definedName>
    <definedName name="办公集聚程度">定义!$M$1:$M$6</definedName>
    <definedName name="办公建筑结构" localSheetId="33">'[1]比较法-办公'!$B$106:$M$106</definedName>
    <definedName name="办公建筑结构">'比较法-办公'!$B$106:$M$106</definedName>
    <definedName name="办公建筑类型" localSheetId="33">'[1]比较法-办公'!$B$101:$M$101</definedName>
    <definedName name="办公建筑类型">'比较法-办公'!$B$101:$M$101</definedName>
    <definedName name="办公交易情况" localSheetId="33">'[1]比较法-办公'!$A$62:$M$62</definedName>
    <definedName name="办公交易情况">'比较法-办公'!$A$62:$M$62</definedName>
    <definedName name="办公楼层" localSheetId="33">'[1]比较法-办公'!$B$89:$M$89</definedName>
    <definedName name="办公楼层">'比较法-办公'!$B$89:$M$89</definedName>
    <definedName name="办公内部装修" localSheetId="33">'[1]比较法-办公'!$B$123:$M$123</definedName>
    <definedName name="办公内部装修">'比较法-办公'!$B$123:$M$123</definedName>
    <definedName name="办公物业管理" localSheetId="33">'[1]比较法-办公'!$B$115:$M$115</definedName>
    <definedName name="办公物业管理">'比较法-办公'!$B$115:$M$115</definedName>
    <definedName name="办公用途" localSheetId="33">'[1]比较法-办公'!$B$64:$M$64</definedName>
    <definedName name="办公用途">'比较法-办公'!$B$64:$M$64</definedName>
    <definedName name="仓储公共部分装修" localSheetId="33">'[1]比较法-仓储'!$B$77:$M$77</definedName>
    <definedName name="仓储公共部分装修">'比较法-仓储'!$B$77:$M$77</definedName>
    <definedName name="仓储交易情况" localSheetId="33">'[1]比较法-仓储'!$A$49:$M$49</definedName>
    <definedName name="仓储交易情况">'比较法-仓储'!$A$49:$M$49</definedName>
    <definedName name="仓储楼层" localSheetId="33">'[1]比较法-仓储'!$B$69:$M$69</definedName>
    <definedName name="仓储楼层">'比较法-仓储'!$B$69:$M$69</definedName>
    <definedName name="仓储物业等级" localSheetId="33">'[1]比较法-仓储'!$B$82:$M$82</definedName>
    <definedName name="仓储物业等级">'比较法-仓储'!$B$82:$M$82</definedName>
    <definedName name="仓储用途" localSheetId="33">'[1]比较法-仓储'!$B$51:$M$51</definedName>
    <definedName name="仓储用途">'比较法-仓储'!$B$51:$M$51</definedName>
    <definedName name="产业集聚程度" localSheetId="33">[1]定义!$N$1:$N$6</definedName>
    <definedName name="产业集聚程度">定义!$N$1:$N$6</definedName>
    <definedName name="车位公共部分装修" localSheetId="33">'[1]比较法-车位'!$B$83:$M$83</definedName>
    <definedName name="车位公共部分装修">'比较法-车位'!$B$83:$M$83</definedName>
    <definedName name="车位交易情况" localSheetId="33">'[1]比较法-车位'!$A$51:$M$51</definedName>
    <definedName name="车位交易情况">'比较法-车位'!$A$51:$M$51</definedName>
    <definedName name="车位类型" localSheetId="33">'[1]比较法-车位'!$B$93:$M$93</definedName>
    <definedName name="车位类型">'比较法-车位'!$B$93:$M$93</definedName>
    <definedName name="车位楼层" localSheetId="33">'[1]比较法-车位'!$B$71:$M$71</definedName>
    <definedName name="车位楼层">'比较法-车位'!$B$71:$M$71</definedName>
    <definedName name="车位配套类型" localSheetId="33">'[1]比较法-车位'!$B$79:$M$79</definedName>
    <definedName name="车位配套类型">'比较法-车位'!$B$79:$M$79</definedName>
    <definedName name="车位物业等级" localSheetId="33">'[1]比较法-车位'!$B$88:$M$88</definedName>
    <definedName name="车位物业等级">'比较法-车位'!$B$88:$M$88</definedName>
    <definedName name="车位用途" localSheetId="33">'[1]比较法-车位'!$B$53:$M$53</definedName>
    <definedName name="车位用途">'比较法-车位'!$B$53:$M$53</definedName>
    <definedName name="城镇土地纳税等级分级范围" localSheetId="33">'[1]数据-取费表'!$A$53:$A$63</definedName>
    <definedName name="城镇土地纳税等级分级范围">'数据-取费表'!$A$53:$A$63</definedName>
    <definedName name="单价内涵" localSheetId="33">[1]定义!$V$1:$V$3</definedName>
    <definedName name="单价内涵">定义!$V$1:$V$3</definedName>
    <definedName name="地类判定" localSheetId="33">[1]定义!$H$1:$H$9</definedName>
    <definedName name="地类判定">定义!$H$1:$H$9</definedName>
    <definedName name="二级">区片价!$I$1:$I$20</definedName>
    <definedName name="二级分类" localSheetId="33">[1]修正!$C$17:$C$39</definedName>
    <definedName name="二级分类">修正!$C$17:$C$39</definedName>
    <definedName name="法定最高年限" localSheetId="33">[1]定义!$G$1:$G$4</definedName>
    <definedName name="法定最高年限">定义!$G$1:$G$4</definedName>
    <definedName name="工业公共部分装修" localSheetId="33">'[1]比较法-工业'!$B$95:$M$95</definedName>
    <definedName name="工业公共部分装修">'比较法-工业'!$B$95:$M$95</definedName>
    <definedName name="工业基础设施水平" localSheetId="33">'[1]比较法-工业'!$B$102:$M$102</definedName>
    <definedName name="工业基础设施水平">'比较法-工业'!$B$102:$M$102</definedName>
    <definedName name="工业建筑结构" localSheetId="33">'[1]比较法-工业'!$B$93:$M$93</definedName>
    <definedName name="工业建筑结构">'比较法-工业'!$B$93:$M$93</definedName>
    <definedName name="工业建筑类型" localSheetId="33">'[1]比较法-工业'!$B$88:$M$88</definedName>
    <definedName name="工业建筑类型">'比较法-工业'!$B$88:$M$88</definedName>
    <definedName name="工业交易情况" localSheetId="33">'[1]比较法-工业'!$A$55:$M$55</definedName>
    <definedName name="工业交易情况">'比较法-工业'!$A$55:$M$55</definedName>
    <definedName name="工业内部装修" localSheetId="33">'[1]比较法-工业'!$B$104:$M$104</definedName>
    <definedName name="工业内部装修">'比较法-工业'!$B$104:$M$104</definedName>
    <definedName name="工业物业管理" localSheetId="33">'[1]比较法-工业'!$B$100:$M$100</definedName>
    <definedName name="工业物业管理">'比较法-工业'!$B$100:$M$100</definedName>
    <definedName name="工业用途" localSheetId="33">'[1]比较法-工业'!$B$57:$M$57</definedName>
    <definedName name="工业用途">'比较法-工业'!$B$57:$M$57</definedName>
    <definedName name="公共配套设施" localSheetId="33">[1]定义!$Q$1:$Q$6</definedName>
    <definedName name="公共配套设施">定义!$Q$1:$Q$6</definedName>
    <definedName name="估价方法" localSheetId="33">[1]定义!$B$1:$B$50</definedName>
    <definedName name="估价方法">定义!$B$1:$B$50</definedName>
    <definedName name="环境" localSheetId="33">[1]定义!$S$1:$S$6</definedName>
    <definedName name="环境">定义!$S$1:$S$6</definedName>
    <definedName name="基础设施水平" localSheetId="33">[1]定义!$R$1:$R$6</definedName>
    <definedName name="基础设施水平">定义!$R$1:$R$6</definedName>
    <definedName name="季度">基准地价修正!$Q$19:$AD$19</definedName>
    <definedName name="价值类型2" localSheetId="33">[1]定义!$B$54:$B$56</definedName>
    <definedName name="价值类型2">定义!$B$54:$B$56</definedName>
    <definedName name="交通便捷度" localSheetId="33">[1]定义!$O$1:$O$6</definedName>
    <definedName name="交通便捷度">定义!$O$1:$O$6</definedName>
    <definedName name="九级">区片价!$P$1:$P$46</definedName>
    <definedName name="居住社区成熟度" localSheetId="33">[1]定义!$K$1:$K$6</definedName>
    <definedName name="居住社区成熟度">定义!$K$1:$K$6</definedName>
    <definedName name="类别" localSheetId="33">[1]定义!$J$1:$J$3</definedName>
    <definedName name="类别">定义!$J$1:$J$3</definedName>
    <definedName name="临街状况" localSheetId="33">[1]定义!$T$1:$T$5</definedName>
    <definedName name="临街状况">定义!$T$1:$T$5</definedName>
    <definedName name="六级">区片价!$M$1:$M$49</definedName>
    <definedName name="内部装修维护情况" localSheetId="33">[1]定义!$U$1:$U$6</definedName>
    <definedName name="内部装修维护情况">定义!$U$1:$U$6</definedName>
    <definedName name="判定" localSheetId="33">[2]定义!$D$1:$D$4</definedName>
    <definedName name="判定" localSheetId="23">[2]定义!$D$1:$D$4</definedName>
    <definedName name="判定">定义!$D$1:$D$4</definedName>
    <definedName name="七级">区片价!$N$1:$N$49</definedName>
    <definedName name="七通一平" localSheetId="33">[1]修正!$A$6:$A$14</definedName>
    <definedName name="七通一平">修正!$A$6:$A$14</definedName>
    <definedName name="区域土地利用方向" localSheetId="33">[1]定义!$P$1:$P$6</definedName>
    <definedName name="区域土地利用方向">定义!$P$1:$P$6</definedName>
    <definedName name="三级">区片价!$J$1:$J$21</definedName>
    <definedName name="商业层高" localSheetId="33">'[1]比较法-商业'!$B$116:$M$116</definedName>
    <definedName name="商业层高">'比较法-商业'!$B$116:$M$116</definedName>
    <definedName name="商业成新度">'比较法-商业'!$B$109:$M$109</definedName>
    <definedName name="商业繁华度" localSheetId="33">[1]定义!$L$1:$L$6</definedName>
    <definedName name="商业繁华度">定义!$L$1:$L$6</definedName>
    <definedName name="商业公共部分装修" localSheetId="33">'[1]比较法-商业'!$B$107:$M$107</definedName>
    <definedName name="商业公共部分装修">'比较法-商业'!$B$107:$M$107</definedName>
    <definedName name="商业基础设施水平" localSheetId="33">'[1]比较法-商业'!$B$112:$M$112</definedName>
    <definedName name="商业基础设施水平">'比较法-商业'!$B$112:$M$112</definedName>
    <definedName name="商业建筑结构" localSheetId="33">'[1]比较法-商业'!$B$105:$M$105</definedName>
    <definedName name="商业建筑结构">'比较法-商业'!$B$105:$M$105</definedName>
    <definedName name="商业交易情况" localSheetId="33">'[1]比较法-商业'!$A$61:$M$61</definedName>
    <definedName name="商业交易情况">'比较法-商业'!$A$61:$M$61</definedName>
    <definedName name="商业街名称" localSheetId="33">[1]修正!$C$59:$C$119</definedName>
    <definedName name="商业街名称">修正!$C$59:$C$119</definedName>
    <definedName name="商业进深比" localSheetId="33">'[1]比较法-商业'!$B$120:$M$120</definedName>
    <definedName name="商业进深比">'比较法-商业'!$B$120:$M$120</definedName>
    <definedName name="商业类型" localSheetId="33">'[1]比较法-商业'!$B$100:$M$100</definedName>
    <definedName name="商业类型">'比较法-商业'!$B$100:$M$100</definedName>
    <definedName name="商业临街状况" localSheetId="33">'[1]比较法-商业'!$B$86:$M$86</definedName>
    <definedName name="商业临街状况">'比较法-商业'!$B$86:$M$86</definedName>
    <definedName name="商业楼层" localSheetId="33">'[1]比较法-商业'!$B$92:$M$92</definedName>
    <definedName name="商业楼层">'比较法-商业'!$B$92:$M$92</definedName>
    <definedName name="商业内部装修" localSheetId="33">'[1]比较法-商业'!$B$122:$M$122</definedName>
    <definedName name="商业内部装修">'比较法-商业'!$B$122:$M$122</definedName>
    <definedName name="商业人流量" localSheetId="33">'[1]比较法-商业'!$B$90:$M$90</definedName>
    <definedName name="商业人流量">'比较法-商业'!$B$90:$M$90</definedName>
    <definedName name="商业业态" localSheetId="33">'[1]比较法-商业'!$B$114:$M$114</definedName>
    <definedName name="商业业态">'比较法-商业'!$B$114:$M$114</definedName>
    <definedName name="商业用途" localSheetId="3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3">'[1]比较法-仓储'!$B$89:$M$89</definedName>
    <definedName name="是否封闭">'比较法-仓储'!$B$89:$M$89</definedName>
    <definedName name="是否直接入户" localSheetId="33">'[1]比较法-车位'!$B$95:$M$95</definedName>
    <definedName name="是否直接入户">'比较法-车位'!$B$95:$M$95</definedName>
    <definedName name="四级">区片价!$K$1:$K$28</definedName>
    <definedName name="套工道路等级" localSheetId="33">'[1]土地比较法-工业'!$B$97:$M$97</definedName>
    <definedName name="套工道路等级">'土地比较法-工业'!$B$97:$M$97</definedName>
    <definedName name="套工地质条件" localSheetId="33">'[1]土地比较法-工业'!$B$114:$M$114</definedName>
    <definedName name="套工地质条件">'土地比较法-工业'!$B$114:$M$114</definedName>
    <definedName name="套工交易情况" localSheetId="33">'[1]土地比较法-住宅、综合'!$A$73:$M$73</definedName>
    <definedName name="套工交易情况">'土地比较法-住宅、综合'!$A$73:$M$73</definedName>
    <definedName name="套工土地级别" localSheetId="33">'[1]土地比较法-工业'!$B$99:$M$99</definedName>
    <definedName name="套工土地级别">'土地比较法-工业'!$B$99:$M$99</definedName>
    <definedName name="套工用途" localSheetId="33">'[1]土地比较法-工业'!$B$70:$M$70</definedName>
    <definedName name="套工用途">'土地比较法-工业'!$B$70:$M$70</definedName>
    <definedName name="套工宗地开发程度" localSheetId="33">'[1]土地比较法-工业'!$B$112:$M$112</definedName>
    <definedName name="套工宗地开发程度">'土地比较法-工业'!$B$112:$M$112</definedName>
    <definedName name="套工宗地形状" localSheetId="33">'[1]土地比较法-工业'!$B$110:$M$110</definedName>
    <definedName name="套工宗地形状">'土地比较法-工业'!$B$110:$M$110</definedName>
    <definedName name="套综道路等级" localSheetId="33">'[1]土地比较法-住宅、综合'!$B$106:$M$106</definedName>
    <definedName name="套综道路等级">'土地比较法-住宅、综合'!$B$106:$M$106</definedName>
    <definedName name="套综工程地质条件" localSheetId="33">'[1]土地比较法-住宅、综合'!$B$125:$M$125</definedName>
    <definedName name="套综工程地质条件">'土地比较法-住宅、综合'!$B$125:$M$125</definedName>
    <definedName name="套综交易情况" localSheetId="33">'[1]土地比较法-住宅、综合'!$A$73:$M$73</definedName>
    <definedName name="套综交易情况">'土地比较法-住宅、综合'!$A$73:$M$73</definedName>
    <definedName name="套综临街宽度及深度" localSheetId="33">'[1]土地比较法-住宅、综合'!$B$121:$M$121</definedName>
    <definedName name="套综临街宽度及深度">'土地比较法-住宅、综合'!$B$121:$M$121</definedName>
    <definedName name="套综土地级别" localSheetId="33">'[1]土地比较法-住宅、综合'!$B$108:$M$108</definedName>
    <definedName name="套综土地级别">'土地比较法-住宅、综合'!$B$108:$M$108</definedName>
    <definedName name="套综用途" localSheetId="33">'[1]土地比较法-住宅、综合'!$B$75:$M$75</definedName>
    <definedName name="套综用途">'土地比较法-住宅、综合'!$B$75:$M$75</definedName>
    <definedName name="套综宗地内开发程度" localSheetId="33">'[1]土地比较法-住宅、综合'!$B$123:$M$123</definedName>
    <definedName name="套综宗地内开发程度">'土地比较法-住宅、综合'!$B$123:$M$123</definedName>
    <definedName name="套综宗地形状" localSheetId="33">'[1]土地比较法-住宅、综合'!$B$119:$M$119</definedName>
    <definedName name="套综宗地形状">'土地比较法-住宅、综合'!$B$119:$M$119</definedName>
    <definedName name="土地估价师">估价师及机构信息!$D$3:$D$24</definedName>
    <definedName name="土地级别" localSheetId="33">[1]定义!$C$1:$C$14</definedName>
    <definedName name="土地级别">定义!$C$1:$C$14</definedName>
    <definedName name="土地利用方向">定义!$P$1:$P$6</definedName>
    <definedName name="土地年限区间" localSheetId="33">[1]定义!$I$1:$I$8</definedName>
    <definedName name="土地年限区间">定义!$I$1:$I$8</definedName>
    <definedName name="位置" localSheetId="33">[1]定义!$E$2:$E$4</definedName>
    <definedName name="位置">定义!$E$2:$E$4</definedName>
    <definedName name="五等判定" localSheetId="33">[1]定义!$W$1:$W$6</definedName>
    <definedName name="五等判定">定义!$W$1:$W$6</definedName>
    <definedName name="五级">区片价!$L$1:$L$35</definedName>
    <definedName name="项目类型" localSheetId="33">'[2]数据-汇总表'!$C$17:$C$26</definedName>
    <definedName name="项目类型" localSheetId="23">'[2]数据-汇总表'!$C$17:$C$26</definedName>
    <definedName name="项目类型">'数据-汇总表'!$C$17:$C$26</definedName>
    <definedName name="写字楼等级" localSheetId="33">'[1]比较法-办公'!$B$113:$M$113</definedName>
    <definedName name="写字楼等级">'比较法-办公'!$B$113:$M$113</definedName>
    <definedName name="一级">区片价!$H$1:$H$6</definedName>
    <definedName name="一修多修正项2" localSheetId="33">[1]典型户型修正!$5:$5</definedName>
    <definedName name="一修多修正项2">典型户型修正!$5:$5</definedName>
    <definedName name="一修多修正项3" localSheetId="33">[1]典型户型修正!$7:$7</definedName>
    <definedName name="一修多修正项3">典型户型修正!$7:$7</definedName>
    <definedName name="一修多修正项4" localSheetId="33">[1]典型户型修正!$9:$9</definedName>
    <definedName name="一修多修正项4">典型户型修正!$9:$9</definedName>
    <definedName name="一修多修正项5" localSheetId="33">[1]典型户型修正!$11:$11</definedName>
    <definedName name="一修多修正项5">典型户型修正!$11:$11</definedName>
    <definedName name="一修多修正项6" localSheetId="33">[1]典型户型修正!$13:$13</definedName>
    <definedName name="一修多修正项6">典型户型修正!$13:$13</definedName>
    <definedName name="一修多修正项7" localSheetId="33">[1]典型户型修正!$15:$15</definedName>
    <definedName name="一修多修正项7">典型户型修正!$15:$15</definedName>
    <definedName name="一修多修正项8" localSheetId="33">[1]典型户型修正!$17:$17</definedName>
    <definedName name="一修多修正项8">典型户型修正!$17:$17</definedName>
    <definedName name="用途明细" localSheetId="33">[1]定义!$A$1:$A$50</definedName>
    <definedName name="用途明细">定义!$A$1:$A$50</definedName>
    <definedName name="有无电梯" localSheetId="33">'[1]比较法-仓储'!$B$84:$M$84</definedName>
    <definedName name="有无电梯">'比较法-仓储'!$B$84:$M$84</definedName>
    <definedName name="主用途" localSheetId="33">[1]定义!$F$1:$F$10</definedName>
    <definedName name="主用途">定义!$F$1:$F$10</definedName>
    <definedName name="住宅朝向" localSheetId="33">'[1]比较法-住宅'!$B$88:$M$88</definedName>
    <definedName name="住宅朝向">'比较法-住宅'!$B$88:$M$88</definedName>
    <definedName name="住宅房型" localSheetId="33">'[1]比较法-住宅'!$B$118:$M$118</definedName>
    <definedName name="住宅房型">'比较法-住宅'!$B$118:$M$118</definedName>
    <definedName name="住宅公共部分装修" localSheetId="33">'[1]比较法-住宅'!$B$109:$M$109</definedName>
    <definedName name="住宅公共部分装修">'比较法-住宅'!$B$109:$M$109</definedName>
    <definedName name="住宅基础设施水平" localSheetId="33">'[1]比较法-住宅'!$B$116:$M$116</definedName>
    <definedName name="住宅基础设施水平">'比较法-住宅'!$B$116:$M$116</definedName>
    <definedName name="住宅建筑结构" localSheetId="33">'[1]比较法-住宅'!$B$105:$M$105</definedName>
    <definedName name="住宅建筑结构">'比较法-住宅'!$B$105:$M$105</definedName>
    <definedName name="住宅建筑类型" localSheetId="33">'[1]比较法-住宅'!$B$100:$M$100</definedName>
    <definedName name="住宅建筑类型">'比较法-住宅'!$B$100:$M$100</definedName>
    <definedName name="住宅建筑品质" localSheetId="33">'[1]比较法-住宅'!$B$107:$M$107</definedName>
    <definedName name="住宅建筑品质">'比较法-住宅'!$B$107:$M$107</definedName>
    <definedName name="住宅交易情况" localSheetId="33">'[1]比较法-住宅'!$A$61:$M$61</definedName>
    <definedName name="住宅交易情况">'比较法-住宅'!$A$61:$M$61</definedName>
    <definedName name="住宅楼层" localSheetId="33">'[1]比较法-住宅'!$B$86:$M$86</definedName>
    <definedName name="住宅楼层">'比较法-住宅'!$B$86:$M$86</definedName>
    <definedName name="住宅内部装修" localSheetId="33">'[1]比较法-住宅'!$B$122:$M$122</definedName>
    <definedName name="住宅内部装修">'比较法-住宅'!$B$122:$M$122</definedName>
    <definedName name="住宅物业管理" localSheetId="33">'[1]比较法-住宅'!$B$114:$M$114</definedName>
    <definedName name="住宅物业管理">'比较法-住宅'!$B$114:$M$114</definedName>
    <definedName name="住宅用途" localSheetId="33">'[1]比较法-住宅'!$B$63:$M$63</definedName>
    <definedName name="住宅用途">'比较法-住宅'!$B$63:$M$63</definedName>
    <definedName name="住宅主力户型面积">'比较法-住宅'!$B$120:$M$120</definedName>
    <definedName name="注册房地产估价师" localSheetId="33">[1]估价师及机构信息!$A$3:$A$16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Q18" i="80" l="1"/>
  <c r="P18" i="80"/>
  <c r="R15" i="80"/>
  <c r="R14" i="80"/>
  <c r="R13" i="80"/>
  <c r="R12" i="80"/>
  <c r="R11" i="80"/>
  <c r="Q16" i="80"/>
  <c r="P11" i="80"/>
  <c r="P10" i="80"/>
  <c r="P16" i="80"/>
  <c r="O15" i="80"/>
  <c r="O14" i="80"/>
  <c r="O13" i="80"/>
  <c r="O12" i="80"/>
  <c r="O11" i="80"/>
  <c r="P15" i="80"/>
  <c r="P14" i="80"/>
  <c r="P13" i="80"/>
  <c r="P12" i="80"/>
  <c r="M10" i="80"/>
  <c r="G19" i="6" l="1"/>
  <c r="M17" i="1" l="1"/>
  <c r="N6" i="1" s="1"/>
  <c r="I7" i="80"/>
  <c r="G6" i="80"/>
  <c r="I6" i="80" s="1"/>
  <c r="G9" i="80"/>
  <c r="I9" i="80" s="1"/>
  <c r="G10" i="80"/>
  <c r="I10" i="80" s="1"/>
  <c r="G11" i="80"/>
  <c r="I11" i="80" s="1"/>
  <c r="G12" i="80"/>
  <c r="I12" i="80" s="1"/>
  <c r="G13" i="80"/>
  <c r="I13" i="80" s="1"/>
  <c r="G8" i="80"/>
  <c r="I8" i="80" s="1"/>
  <c r="I14" i="80" l="1"/>
  <c r="G14" i="80" s="1"/>
  <c r="R4" i="81"/>
  <c r="I9" i="39"/>
  <c r="G9" i="39"/>
  <c r="E9" i="39"/>
  <c r="P70" i="39"/>
  <c r="Q70" i="39"/>
  <c r="R70" i="39"/>
  <c r="S70" i="39"/>
  <c r="T70" i="39"/>
  <c r="U70" i="39"/>
  <c r="V70" i="39"/>
  <c r="I46" i="39"/>
  <c r="G46" i="39"/>
  <c r="E46" i="39"/>
  <c r="I38" i="39"/>
  <c r="G38" i="39"/>
  <c r="E38" i="39"/>
  <c r="I7" i="39"/>
  <c r="G7" i="39"/>
  <c r="E7" i="39"/>
  <c r="I5" i="39"/>
  <c r="G5" i="39"/>
  <c r="E5" i="39"/>
  <c r="U8" i="43"/>
  <c r="U7" i="43"/>
  <c r="U6" i="43"/>
  <c r="U5" i="43"/>
  <c r="U4" i="43"/>
  <c r="U3" i="43"/>
  <c r="U2" i="43"/>
  <c r="C35" i="79"/>
  <c r="C34" i="79"/>
  <c r="E14" i="79"/>
  <c r="D6" i="79"/>
  <c r="N43" i="79"/>
  <c r="R43" i="79" s="1"/>
  <c r="R40" i="79"/>
  <c r="R41" i="79" s="1"/>
  <c r="R34" i="79"/>
  <c r="R33" i="79"/>
  <c r="C30" i="79"/>
  <c r="R27" i="79"/>
  <c r="M24" i="79"/>
  <c r="R23" i="79"/>
  <c r="R22" i="79"/>
  <c r="R21" i="79"/>
  <c r="N19" i="79"/>
  <c r="R18" i="79"/>
  <c r="R17" i="79"/>
  <c r="R16" i="79"/>
  <c r="M14" i="79"/>
  <c r="N14" i="79" s="1"/>
  <c r="R13" i="79"/>
  <c r="R12" i="79"/>
  <c r="R11" i="79"/>
  <c r="R10" i="79"/>
  <c r="R9" i="79"/>
  <c r="R8" i="79"/>
  <c r="R7" i="79"/>
  <c r="R14" i="79" s="1"/>
  <c r="R4" i="79"/>
  <c r="R3" i="79"/>
  <c r="D15" i="79" l="1"/>
  <c r="C23" i="79"/>
  <c r="D16" i="79"/>
  <c r="R25" i="79"/>
  <c r="R24" i="79"/>
  <c r="R5" i="79"/>
  <c r="U5" i="79" s="1"/>
  <c r="R19" i="79"/>
  <c r="C29" i="79"/>
  <c r="D23" i="79"/>
  <c r="R35" i="79"/>
  <c r="U34" i="79" s="1"/>
  <c r="D9" i="79"/>
  <c r="D10" i="79"/>
  <c r="D17" i="79"/>
  <c r="D18" i="79"/>
  <c r="D26" i="79" l="1"/>
  <c r="E23" i="79"/>
  <c r="D29" i="79"/>
  <c r="D32" i="79" l="1"/>
  <c r="D38" i="79" s="1"/>
  <c r="E29" i="79"/>
  <c r="E26" i="79"/>
  <c r="E32" i="79" l="1"/>
  <c r="E38" i="79" s="1"/>
  <c r="Y6" i="1" l="1"/>
  <c r="N14" i="1"/>
  <c r="L14" i="1"/>
  <c r="D39" i="43"/>
  <c r="F19" i="6"/>
  <c r="AT13" i="3"/>
  <c r="K13" i="3"/>
  <c r="D3" i="4"/>
  <c r="E57" i="39" l="1"/>
  <c r="D33" i="43"/>
  <c r="AH5" i="7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c r="E109" i="9"/>
  <c r="A124" i="9"/>
  <c r="B44" i="72"/>
  <c r="B42" i="72"/>
  <c r="B69" i="72"/>
  <c r="B68" i="72"/>
  <c r="B63" i="72"/>
  <c r="B62" i="72"/>
  <c r="B16" i="72"/>
  <c r="B60" i="72"/>
  <c r="B66" i="72"/>
  <c r="B10" i="72"/>
  <c r="C53" i="10"/>
  <c r="B51" i="10"/>
  <c r="B19" i="72"/>
  <c r="A18" i="51"/>
  <c r="B13" i="72" s="1"/>
  <c r="B49" i="48"/>
  <c r="B5" i="72"/>
  <c r="I19" i="43"/>
  <c r="D86" i="71"/>
  <c r="F85" i="71"/>
  <c r="E85" i="71"/>
  <c r="E84" i="71" s="1"/>
  <c r="E83" i="71" s="1"/>
  <c r="C85" i="71"/>
  <c r="D85" i="71"/>
  <c r="B85" i="71"/>
  <c r="F84" i="71"/>
  <c r="F83" i="71" s="1"/>
  <c r="B84" i="71"/>
  <c r="B83" i="71" s="1"/>
  <c r="D82" i="71"/>
  <c r="F81" i="71"/>
  <c r="E81" i="71"/>
  <c r="E80" i="71" s="1"/>
  <c r="E79" i="71"/>
  <c r="C81" i="71"/>
  <c r="D81" i="71"/>
  <c r="B81" i="71"/>
  <c r="F80" i="71"/>
  <c r="F79" i="71" s="1"/>
  <c r="B80" i="71"/>
  <c r="B79" i="71" s="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E65" i="71"/>
  <c r="P65" i="71" s="1"/>
  <c r="C65" i="71"/>
  <c r="B65" i="71"/>
  <c r="S65" i="71"/>
  <c r="B64" i="71"/>
  <c r="D62" i="71"/>
  <c r="Q61" i="71"/>
  <c r="P61" i="71"/>
  <c r="O61" i="71"/>
  <c r="N61" i="71"/>
  <c r="Q60" i="71"/>
  <c r="P60" i="71"/>
  <c r="O60" i="71"/>
  <c r="N60" i="71"/>
  <c r="Q59" i="71"/>
  <c r="P59" i="71"/>
  <c r="O59" i="71"/>
  <c r="N59" i="71"/>
  <c r="Q58" i="71"/>
  <c r="F59" i="71" s="1"/>
  <c r="F60" i="71" s="1"/>
  <c r="F61" i="71" s="1"/>
  <c r="V61" i="71"/>
  <c r="P58" i="71"/>
  <c r="E59" i="71"/>
  <c r="O58" i="71"/>
  <c r="C59" i="71"/>
  <c r="N58" i="71"/>
  <c r="B59" i="71"/>
  <c r="B60" i="71" s="1"/>
  <c r="B61" i="71" s="1"/>
  <c r="S61" i="71" s="1"/>
  <c r="D58" i="71"/>
  <c r="Q57" i="71"/>
  <c r="P57" i="71"/>
  <c r="O57" i="71"/>
  <c r="N57" i="71"/>
  <c r="Q56" i="71"/>
  <c r="P56" i="71"/>
  <c r="O56" i="71"/>
  <c r="N56" i="71"/>
  <c r="Q55" i="71"/>
  <c r="P55" i="71"/>
  <c r="O55" i="71"/>
  <c r="N55" i="71"/>
  <c r="Q54" i="71"/>
  <c r="F55" i="71"/>
  <c r="F56" i="71" s="1"/>
  <c r="F57" i="71" s="1"/>
  <c r="V57" i="71" s="1"/>
  <c r="P54" i="71"/>
  <c r="E55" i="71" s="1"/>
  <c r="O54" i="71"/>
  <c r="C55" i="71" s="1"/>
  <c r="N54" i="71"/>
  <c r="B55" i="71" s="1"/>
  <c r="B56" i="71" s="1"/>
  <c r="B57" i="71" s="1"/>
  <c r="S57" i="71" s="1"/>
  <c r="D54" i="71"/>
  <c r="Q53" i="71"/>
  <c r="P53" i="71"/>
  <c r="O53" i="71"/>
  <c r="N53" i="71"/>
  <c r="Q52" i="71"/>
  <c r="P52" i="71"/>
  <c r="O52" i="71"/>
  <c r="N52" i="71"/>
  <c r="Q51" i="71"/>
  <c r="P51" i="71"/>
  <c r="O51" i="71"/>
  <c r="N51" i="71"/>
  <c r="C51" i="71"/>
  <c r="Q50" i="71"/>
  <c r="F51" i="71"/>
  <c r="F52" i="71" s="1"/>
  <c r="F53" i="71" s="1"/>
  <c r="V53" i="71" s="1"/>
  <c r="P50" i="71"/>
  <c r="E51" i="71" s="1"/>
  <c r="O50" i="71"/>
  <c r="N50" i="71"/>
  <c r="B51" i="71"/>
  <c r="B52" i="71" s="1"/>
  <c r="B53" i="71"/>
  <c r="S53" i="71" s="1"/>
  <c r="D50" i="71"/>
  <c r="Q49" i="71"/>
  <c r="P49" i="71"/>
  <c r="O49" i="71"/>
  <c r="N49" i="71"/>
  <c r="Q48" i="71"/>
  <c r="P48" i="71"/>
  <c r="O48" i="71"/>
  <c r="N48" i="71"/>
  <c r="Q47" i="71"/>
  <c r="P47" i="71"/>
  <c r="O47" i="71"/>
  <c r="N47" i="71"/>
  <c r="Q46" i="71"/>
  <c r="F47" i="71"/>
  <c r="P46" i="71"/>
  <c r="E47" i="71"/>
  <c r="E48" i="71" s="1"/>
  <c r="E49" i="7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c r="U41" i="71" s="1"/>
  <c r="O38" i="71"/>
  <c r="C39" i="71" s="1"/>
  <c r="N38" i="71"/>
  <c r="B39" i="71" s="1"/>
  <c r="B40" i="71" s="1"/>
  <c r="B41" i="71" s="1"/>
  <c r="S41" i="71" s="1"/>
  <c r="D38" i="71"/>
  <c r="Q37" i="71"/>
  <c r="P37" i="71"/>
  <c r="O37" i="71"/>
  <c r="N37" i="71"/>
  <c r="AB36" i="71"/>
  <c r="Q36" i="71"/>
  <c r="P36" i="71"/>
  <c r="O36" i="71"/>
  <c r="N36" i="71"/>
  <c r="X36" i="71"/>
  <c r="Q35" i="71"/>
  <c r="AB35" i="71"/>
  <c r="P35" i="71"/>
  <c r="O35" i="71"/>
  <c r="Y35" i="71" s="1"/>
  <c r="Z35" i="71" s="1"/>
  <c r="N35" i="71"/>
  <c r="Q34" i="71"/>
  <c r="F35" i="71" s="1"/>
  <c r="F36" i="71" s="1"/>
  <c r="F37" i="71" s="1"/>
  <c r="V37" i="71" s="1"/>
  <c r="P34" i="71"/>
  <c r="O34" i="71"/>
  <c r="N34" i="71"/>
  <c r="D34" i="71"/>
  <c r="Q33" i="71"/>
  <c r="AB33" i="71"/>
  <c r="P33" i="71"/>
  <c r="O33" i="71"/>
  <c r="Y33" i="71" s="1"/>
  <c r="Z33" i="71" s="1"/>
  <c r="N33" i="71"/>
  <c r="Q32" i="71"/>
  <c r="AB32" i="71" s="1"/>
  <c r="P32" i="71"/>
  <c r="O32" i="71"/>
  <c r="Y32" i="71"/>
  <c r="Z32" i="71" s="1"/>
  <c r="N32" i="71"/>
  <c r="Q31" i="71"/>
  <c r="AB31" i="71"/>
  <c r="P31" i="71"/>
  <c r="O31" i="71"/>
  <c r="Y31" i="71" s="1"/>
  <c r="Z31" i="71" s="1"/>
  <c r="N31" i="71"/>
  <c r="Q30" i="71"/>
  <c r="F31" i="71" s="1"/>
  <c r="F32" i="71" s="1"/>
  <c r="F33" i="71" s="1"/>
  <c r="V33" i="71" s="1"/>
  <c r="P30" i="71"/>
  <c r="O30" i="71"/>
  <c r="N30" i="71"/>
  <c r="D30" i="71"/>
  <c r="Q29" i="71"/>
  <c r="AB29" i="71"/>
  <c r="P29" i="71"/>
  <c r="O29" i="71"/>
  <c r="Y29" i="71" s="1"/>
  <c r="Z29" i="71" s="1"/>
  <c r="N29" i="71"/>
  <c r="Q28" i="71"/>
  <c r="AB28" i="71" s="1"/>
  <c r="P28" i="71"/>
  <c r="O28" i="71"/>
  <c r="Y28" i="71"/>
  <c r="Z28" i="71" s="1"/>
  <c r="N28" i="71"/>
  <c r="X26" i="71" s="1"/>
  <c r="Q27" i="71"/>
  <c r="AB27" i="71"/>
  <c r="P27" i="71"/>
  <c r="O27" i="71"/>
  <c r="Y27" i="71" s="1"/>
  <c r="Z27" i="71" s="1"/>
  <c r="N27" i="71"/>
  <c r="Q26" i="71"/>
  <c r="AB26" i="71" s="1"/>
  <c r="P26" i="71"/>
  <c r="O26" i="71"/>
  <c r="Y26" i="71" s="1"/>
  <c r="Z26" i="71" s="1"/>
  <c r="N26" i="71"/>
  <c r="D26" i="71"/>
  <c r="O25" i="71"/>
  <c r="N25" i="7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N65" i="71"/>
  <c r="E31" i="71"/>
  <c r="E32" i="71"/>
  <c r="E33" i="71" s="1"/>
  <c r="U33" i="71" s="1"/>
  <c r="C27" i="71"/>
  <c r="X27" i="71"/>
  <c r="X28" i="71"/>
  <c r="X29" i="71"/>
  <c r="C31" i="71"/>
  <c r="C32" i="71" s="1"/>
  <c r="Y30" i="71"/>
  <c r="Z30" i="71" s="1"/>
  <c r="AB30" i="71"/>
  <c r="AA31" i="71"/>
  <c r="AA32" i="71"/>
  <c r="X33" i="71"/>
  <c r="AA33" i="71"/>
  <c r="C35" i="71"/>
  <c r="D35" i="71" s="1"/>
  <c r="Y34" i="71"/>
  <c r="Z34" i="71"/>
  <c r="AB34" i="71"/>
  <c r="X35" i="71"/>
  <c r="AA35" i="71"/>
  <c r="F48" i="71"/>
  <c r="F49" i="71" s="1"/>
  <c r="V49" i="71" s="1"/>
  <c r="C25" i="71"/>
  <c r="Y22" i="71"/>
  <c r="Z22" i="71" s="1"/>
  <c r="Y23" i="71"/>
  <c r="Z23" i="71" s="1"/>
  <c r="Y24" i="71"/>
  <c r="Z24" i="71" s="1"/>
  <c r="Y25" i="71"/>
  <c r="Z25" i="71" s="1"/>
  <c r="B25" i="71"/>
  <c r="B24" i="71" s="1"/>
  <c r="B23" i="71" s="1"/>
  <c r="X22" i="71"/>
  <c r="X23" i="71"/>
  <c r="X24" i="71"/>
  <c r="X25" i="71"/>
  <c r="C28" i="71"/>
  <c r="D27" i="71"/>
  <c r="D31" i="71"/>
  <c r="C36" i="71"/>
  <c r="C40" i="71"/>
  <c r="D39" i="71"/>
  <c r="C44" i="71"/>
  <c r="D44" i="71" s="1"/>
  <c r="D43" i="71"/>
  <c r="C48" i="71"/>
  <c r="D47" i="71"/>
  <c r="P25" i="71"/>
  <c r="E52" i="71"/>
  <c r="E53" i="71" s="1"/>
  <c r="U53" i="71" s="1"/>
  <c r="E56" i="71"/>
  <c r="E57" i="71"/>
  <c r="U57" i="71" s="1"/>
  <c r="E60" i="71"/>
  <c r="E61" i="71" s="1"/>
  <c r="U61" i="71" s="1"/>
  <c r="U65" i="71"/>
  <c r="E64" i="71"/>
  <c r="Q25" i="71"/>
  <c r="AB22" i="71" s="1"/>
  <c r="C52" i="71"/>
  <c r="D51" i="71"/>
  <c r="C56" i="71"/>
  <c r="D55" i="71"/>
  <c r="C60" i="71"/>
  <c r="D59" i="71"/>
  <c r="N64" i="71"/>
  <c r="B63" i="71"/>
  <c r="N63" i="71" s="1"/>
  <c r="T65" i="71"/>
  <c r="O65" i="71"/>
  <c r="D65" i="71"/>
  <c r="C64" i="71"/>
  <c r="Q65" i="71"/>
  <c r="C68" i="71"/>
  <c r="E68" i="71"/>
  <c r="E67" i="71" s="1"/>
  <c r="D69" i="71"/>
  <c r="C72" i="71"/>
  <c r="E72" i="71"/>
  <c r="E71" i="71" s="1"/>
  <c r="D73" i="71"/>
  <c r="C76" i="71"/>
  <c r="E76" i="71"/>
  <c r="E75" i="71" s="1"/>
  <c r="D77" i="71"/>
  <c r="C80" i="71"/>
  <c r="C84" i="71"/>
  <c r="C83" i="71" s="1"/>
  <c r="D83" i="71" s="1"/>
  <c r="T25" i="71"/>
  <c r="C24" i="71"/>
  <c r="F25" i="71"/>
  <c r="F24" i="71" s="1"/>
  <c r="F23" i="71" s="1"/>
  <c r="AB23" i="71"/>
  <c r="AB25" i="71"/>
  <c r="E25" i="71"/>
  <c r="E24" i="71"/>
  <c r="E23" i="71" s="1"/>
  <c r="AA3" i="71"/>
  <c r="AA22" i="71"/>
  <c r="AA23" i="71"/>
  <c r="AA24" i="71"/>
  <c r="AA25" i="71"/>
  <c r="D25" i="71"/>
  <c r="U25" i="71"/>
  <c r="C63" i="71"/>
  <c r="O64" i="71"/>
  <c r="D64" i="71"/>
  <c r="C61" i="71"/>
  <c r="D60" i="71"/>
  <c r="D80" i="71"/>
  <c r="C79" i="71"/>
  <c r="D79" i="71"/>
  <c r="D72" i="71"/>
  <c r="C71" i="71"/>
  <c r="D71" i="71" s="1"/>
  <c r="N62" i="71"/>
  <c r="D84" i="71"/>
  <c r="D76" i="71"/>
  <c r="C75" i="71"/>
  <c r="D75" i="71" s="1"/>
  <c r="D68" i="71"/>
  <c r="C67" i="71"/>
  <c r="D67" i="71"/>
  <c r="C57" i="71"/>
  <c r="D56" i="71"/>
  <c r="C53" i="71"/>
  <c r="D52" i="71"/>
  <c r="P64" i="71"/>
  <c r="E63" i="71"/>
  <c r="P62" i="71" s="1"/>
  <c r="C49" i="71"/>
  <c r="D48" i="71"/>
  <c r="C41" i="71"/>
  <c r="D40" i="71"/>
  <c r="C37" i="71"/>
  <c r="M19" i="43" s="1"/>
  <c r="D36" i="71"/>
  <c r="C33" i="71"/>
  <c r="D32" i="71"/>
  <c r="C29" i="71"/>
  <c r="D28" i="71"/>
  <c r="C23" i="71"/>
  <c r="D23" i="71"/>
  <c r="D24" i="71"/>
  <c r="V25"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18" i="36"/>
  <c r="U18" i="36"/>
  <c r="S21" i="34"/>
  <c r="F94" i="40"/>
  <c r="H25" i="40"/>
  <c r="G94" i="40"/>
  <c r="J25" i="40"/>
  <c r="AC25" i="40" s="1"/>
  <c r="H29" i="39"/>
  <c r="AB29" i="39" s="1"/>
  <c r="J29" i="39"/>
  <c r="AC29" i="39" s="1"/>
  <c r="J18" i="36"/>
  <c r="AC18" i="36" s="1"/>
  <c r="F68" i="35"/>
  <c r="H18" i="35"/>
  <c r="AB18" i="35" s="1"/>
  <c r="S18" i="35"/>
  <c r="G68" i="35"/>
  <c r="J18" i="35"/>
  <c r="H21" i="37"/>
  <c r="F21" i="37"/>
  <c r="AA21" i="37" s="1"/>
  <c r="F84" i="34"/>
  <c r="H21" i="34"/>
  <c r="AB21" i="34" s="1"/>
  <c r="H21" i="33"/>
  <c r="U21" i="33" s="1"/>
  <c r="F21" i="33"/>
  <c r="E83" i="21"/>
  <c r="F83" i="21" s="1"/>
  <c r="G83" i="21" s="1"/>
  <c r="S21" i="21"/>
  <c r="H1" i="69"/>
  <c r="W25" i="40"/>
  <c r="AB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s="1"/>
  <c r="M54" i="43"/>
  <c r="N54" i="43" s="1"/>
  <c r="K54" i="43"/>
  <c r="J54" i="43" s="1"/>
  <c r="M53" i="43"/>
  <c r="N53" i="43" s="1"/>
  <c r="K53" i="43"/>
  <c r="J53" i="43" s="1"/>
  <c r="M52" i="43"/>
  <c r="N52" i="43" s="1"/>
  <c r="K52" i="43"/>
  <c r="J52" i="43" s="1"/>
  <c r="D52" i="43"/>
  <c r="M51" i="43"/>
  <c r="N51" i="43" s="1"/>
  <c r="K51" i="43"/>
  <c r="J51" i="43" s="1"/>
  <c r="M50" i="43"/>
  <c r="N50" i="43" s="1"/>
  <c r="K50" i="43"/>
  <c r="J50" i="43" s="1"/>
  <c r="M49" i="43"/>
  <c r="N49" i="43" s="1"/>
  <c r="K49" i="43"/>
  <c r="J49" i="43" s="1"/>
  <c r="D49" i="43"/>
  <c r="M48" i="43"/>
  <c r="N48" i="43" s="1"/>
  <c r="K48" i="43"/>
  <c r="J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G41" i="43" s="1"/>
  <c r="E15" i="4"/>
  <c r="C36" i="79" s="1"/>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A526" i="3" s="1"/>
  <c r="BC526" i="3"/>
  <c r="BD526" i="3"/>
  <c r="BE526" i="3"/>
  <c r="BF526" i="3"/>
  <c r="BG526" i="3"/>
  <c r="BH526" i="3"/>
  <c r="BI526" i="3"/>
  <c r="BJ526" i="3"/>
  <c r="BK526" i="3"/>
  <c r="BM526" i="3"/>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L546" i="3" s="1"/>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A570" i="3" s="1"/>
  <c r="BC570" i="3"/>
  <c r="BD570" i="3"/>
  <c r="BE570" i="3"/>
  <c r="BF570" i="3"/>
  <c r="BG570" i="3"/>
  <c r="BH570" i="3"/>
  <c r="BI570" i="3"/>
  <c r="BJ570" i="3"/>
  <c r="BK570" i="3"/>
  <c r="BM570" i="3"/>
  <c r="BL570" i="3" s="1"/>
  <c r="BN570" i="3"/>
  <c r="BO570" i="3"/>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G572" i="3" s="1"/>
  <c r="BB572" i="3"/>
  <c r="BC572" i="3"/>
  <c r="BA572" i="3" s="1"/>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A574" i="3" s="1"/>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F34" i="39"/>
  <c r="AA34" i="39"/>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AB45" i="39" s="1"/>
  <c r="B129" i="39"/>
  <c r="H44" i="39"/>
  <c r="U44" i="39" s="1"/>
  <c r="B127" i="39"/>
  <c r="J43" i="39"/>
  <c r="W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s="1"/>
  <c r="AC23" i="39" s="1"/>
  <c r="D95" i="39"/>
  <c r="E95" i="39" s="1"/>
  <c r="D93" i="39"/>
  <c r="E93" i="39" s="1"/>
  <c r="F93" i="39" s="1"/>
  <c r="G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s="1"/>
  <c r="Q17" i="39"/>
  <c r="Z17" i="39" s="1"/>
  <c r="Q15" i="39"/>
  <c r="Z15" i="39" s="1"/>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F24" i="36" s="1"/>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J29" i="34" s="1"/>
  <c r="B75" i="34"/>
  <c r="B73" i="34"/>
  <c r="H13" i="34" s="1"/>
  <c r="AB13" i="34" s="1"/>
  <c r="B71" i="34"/>
  <c r="B130" i="33"/>
  <c r="J46" i="33" s="1"/>
  <c r="B128" i="33"/>
  <c r="B126" i="33"/>
  <c r="J44" i="33" s="1"/>
  <c r="B98" i="33"/>
  <c r="B96" i="33"/>
  <c r="J30" i="33" s="1"/>
  <c r="B94" i="33"/>
  <c r="B74" i="33"/>
  <c r="H14" i="33" s="1"/>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H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F9" i="34"/>
  <c r="AA9" i="34" s="1"/>
  <c r="J8" i="34"/>
  <c r="H8" i="34"/>
  <c r="U8" i="34" s="1"/>
  <c r="F8" i="34"/>
  <c r="D121" i="33"/>
  <c r="E121" i="33"/>
  <c r="F109" i="33"/>
  <c r="E109" i="33"/>
  <c r="D109" i="33"/>
  <c r="C109" i="33"/>
  <c r="D91" i="33"/>
  <c r="E91" i="33"/>
  <c r="B88" i="33"/>
  <c r="J26" i="33"/>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E54" i="21"/>
  <c r="F54" i="21" s="1"/>
  <c r="I54" i="21"/>
  <c r="J54" i="21" s="1"/>
  <c r="G54" i="21"/>
  <c r="H54" i="21" s="1"/>
  <c r="D125" i="21"/>
  <c r="E125" i="21" s="1"/>
  <c r="F125" i="21"/>
  <c r="G125" i="21" s="1"/>
  <c r="D123" i="21"/>
  <c r="E123" i="21" s="1"/>
  <c r="F123" i="21"/>
  <c r="G123" i="21" s="1"/>
  <c r="F42" i="21"/>
  <c r="AA42" i="21"/>
  <c r="D119" i="21"/>
  <c r="F40"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D5" i="3" s="1"/>
  <c r="E15" i="6" s="1"/>
  <c r="BE587" i="3"/>
  <c r="BF587" i="3"/>
  <c r="BG587" i="3"/>
  <c r="BH587" i="3"/>
  <c r="BH5" i="3" s="1"/>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H34" i="21"/>
  <c r="AB34" i="21" s="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F45" i="39"/>
  <c r="S45" i="39" s="1"/>
  <c r="J45" i="39"/>
  <c r="W45" i="39" s="1"/>
  <c r="J44" i="39"/>
  <c r="F36" i="39"/>
  <c r="H36" i="39"/>
  <c r="AB36" i="39" s="1"/>
  <c r="J35" i="39"/>
  <c r="F35" i="39"/>
  <c r="J36" i="39"/>
  <c r="AC36" i="39" s="1"/>
  <c r="W40" i="39"/>
  <c r="W25" i="37"/>
  <c r="U30" i="37"/>
  <c r="W31" i="37"/>
  <c r="E103" i="37"/>
  <c r="F103" i="37" s="1"/>
  <c r="G103" i="37"/>
  <c r="H103" i="37" s="1"/>
  <c r="I103" i="37" s="1"/>
  <c r="J103" i="37" s="1"/>
  <c r="K103" i="37" s="1"/>
  <c r="L103" i="37" s="1"/>
  <c r="M103" i="37" s="1"/>
  <c r="F29" i="36"/>
  <c r="AA29" i="36" s="1"/>
  <c r="W8" i="36"/>
  <c r="F16" i="36"/>
  <c r="AA16" i="36"/>
  <c r="U9" i="36"/>
  <c r="W28" i="36"/>
  <c r="S30" i="36"/>
  <c r="AA31" i="36"/>
  <c r="AC31" i="36"/>
  <c r="W31" i="36"/>
  <c r="J33" i="36"/>
  <c r="H22" i="35"/>
  <c r="AB22" i="35" s="1"/>
  <c r="AC27" i="35"/>
  <c r="W28" i="35"/>
  <c r="U31" i="35"/>
  <c r="W34" i="35"/>
  <c r="W36" i="35"/>
  <c r="W22" i="35"/>
  <c r="S31" i="35"/>
  <c r="U34" i="35"/>
  <c r="F36" i="34"/>
  <c r="J35" i="34"/>
  <c r="S34" i="34"/>
  <c r="U34" i="34"/>
  <c r="H39" i="33"/>
  <c r="AB39" i="33" s="1"/>
  <c r="F26" i="33"/>
  <c r="AA26" i="33" s="1"/>
  <c r="S9" i="33"/>
  <c r="U33" i="33"/>
  <c r="U35" i="33"/>
  <c r="S40"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AB40" i="39"/>
  <c r="H39" i="39"/>
  <c r="U39" i="39"/>
  <c r="S34" i="39"/>
  <c r="H34" i="39"/>
  <c r="U34" i="39"/>
  <c r="H31" i="39"/>
  <c r="AB31" i="39" s="1"/>
  <c r="F31" i="39"/>
  <c r="AA31" i="39" s="1"/>
  <c r="E101" i="39"/>
  <c r="H19" i="39"/>
  <c r="AB19" i="39" s="1"/>
  <c r="F19" i="39"/>
  <c r="AA19" i="39" s="1"/>
  <c r="J23" i="40"/>
  <c r="AC23" i="40"/>
  <c r="F21" i="40"/>
  <c r="AA21" i="40"/>
  <c r="J21" i="40"/>
  <c r="W21" i="40"/>
  <c r="H42" i="39"/>
  <c r="AB42" i="39"/>
  <c r="J34" i="39"/>
  <c r="AC34" i="39"/>
  <c r="G109" i="39"/>
  <c r="H109" i="39" s="1"/>
  <c r="I109" i="39"/>
  <c r="J109" i="39" s="1"/>
  <c r="K109" i="39" s="1"/>
  <c r="L109" i="39" s="1"/>
  <c r="M109" i="39" s="1"/>
  <c r="J31" i="39"/>
  <c r="F101" i="39"/>
  <c r="J19" i="39"/>
  <c r="AC19" i="39" s="1"/>
  <c r="F27" i="39"/>
  <c r="AA27" i="39" s="1"/>
  <c r="F11" i="21"/>
  <c r="S11" i="21"/>
  <c r="U34" i="21"/>
  <c r="C25" i="39"/>
  <c r="C21" i="39"/>
  <c r="S40" i="39"/>
  <c r="H32" i="33"/>
  <c r="AB32" i="33" s="1"/>
  <c r="H11" i="21"/>
  <c r="U11" i="21" s="1"/>
  <c r="J11" i="21"/>
  <c r="W11" i="21" s="1"/>
  <c r="H37" i="40"/>
  <c r="U37" i="40" s="1"/>
  <c r="H36" i="40"/>
  <c r="AB36" i="40" s="1"/>
  <c r="F35" i="40"/>
  <c r="AA35" i="40" s="1"/>
  <c r="H23" i="40"/>
  <c r="AB23" i="40" s="1"/>
  <c r="H17" i="40"/>
  <c r="U17" i="40" s="1"/>
  <c r="J15" i="40"/>
  <c r="W15" i="40" s="1"/>
  <c r="J11" i="40"/>
  <c r="AB8" i="39"/>
  <c r="AC12" i="34"/>
  <c r="AA12" i="34"/>
  <c r="AB12" i="35"/>
  <c r="W32" i="40"/>
  <c r="S44" i="39"/>
  <c r="F37" i="39"/>
  <c r="AA37" i="39" s="1"/>
  <c r="J34" i="36"/>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AA24" i="36"/>
  <c r="F34" i="36"/>
  <c r="S34" i="36"/>
  <c r="S10" i="36"/>
  <c r="AB8" i="36"/>
  <c r="S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s="1"/>
  <c r="H101" i="37"/>
  <c r="I101" i="37" s="1"/>
  <c r="J101" i="37" s="1"/>
  <c r="K101" i="37" s="1"/>
  <c r="L101" i="37" s="1"/>
  <c r="M101" i="37" s="1"/>
  <c r="J34" i="37"/>
  <c r="W34" i="37" s="1"/>
  <c r="S10" i="37"/>
  <c r="AB34" i="37"/>
  <c r="J33" i="37"/>
  <c r="AC33" i="37"/>
  <c r="H40" i="34"/>
  <c r="U40" i="34" s="1"/>
  <c r="E114" i="34"/>
  <c r="F114" i="34" s="1"/>
  <c r="H36" i="34"/>
  <c r="U36" i="34"/>
  <c r="F37" i="34"/>
  <c r="AA37" i="34"/>
  <c r="S35" i="34"/>
  <c r="F28" i="34"/>
  <c r="F27" i="34"/>
  <c r="AA27" i="34" s="1"/>
  <c r="F25" i="34"/>
  <c r="S25" i="34" s="1"/>
  <c r="H23" i="34"/>
  <c r="J23" i="34"/>
  <c r="F19" i="34"/>
  <c r="H17" i="34"/>
  <c r="U17" i="34" s="1"/>
  <c r="F15" i="34"/>
  <c r="AA15" i="34" s="1"/>
  <c r="J15" i="34"/>
  <c r="H15" i="34"/>
  <c r="AB15" i="34" s="1"/>
  <c r="S9" i="34"/>
  <c r="J28" i="34"/>
  <c r="W28" i="34" s="1"/>
  <c r="F41" i="33"/>
  <c r="S38" i="33"/>
  <c r="E113" i="33"/>
  <c r="F32" i="33"/>
  <c r="AA32" i="33" s="1"/>
  <c r="J19" i="33"/>
  <c r="AC19" i="33" s="1"/>
  <c r="J15" i="33"/>
  <c r="AC15" i="33" s="1"/>
  <c r="F11" i="33"/>
  <c r="AA11" i="33" s="1"/>
  <c r="S26"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F33" i="37"/>
  <c r="AA33" i="37" s="1"/>
  <c r="U34" i="37"/>
  <c r="W33" i="37"/>
  <c r="S34" i="37"/>
  <c r="AA34" i="37"/>
  <c r="J43" i="34"/>
  <c r="J40" i="34"/>
  <c r="G114" i="34"/>
  <c r="H114" i="34" s="1"/>
  <c r="I114" i="34"/>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S15" i="34"/>
  <c r="F113" i="33"/>
  <c r="G113" i="33" s="1"/>
  <c r="H113" i="33"/>
  <c r="I113" i="33" s="1"/>
  <c r="J113" i="33" s="1"/>
  <c r="K113" i="33" s="1"/>
  <c r="L113" i="33" s="1"/>
  <c r="M113" i="33" s="1"/>
  <c r="H37" i="33"/>
  <c r="AB37" i="33" s="1"/>
  <c r="H15" i="33"/>
  <c r="AB15" i="33" s="1"/>
  <c r="H11" i="33"/>
  <c r="F28" i="40"/>
  <c r="AA28" i="40" s="1"/>
  <c r="AA29" i="35"/>
  <c r="AA42" i="34"/>
  <c r="S42" i="34"/>
  <c r="AA38" i="34"/>
  <c r="J37" i="34"/>
  <c r="AC37" i="34"/>
  <c r="J11" i="33"/>
  <c r="W11" i="33"/>
  <c r="U23" i="40"/>
  <c r="H123" i="21"/>
  <c r="I123" i="21" s="1"/>
  <c r="J123" i="21" s="1"/>
  <c r="K123" i="21" s="1"/>
  <c r="L123" i="21" s="1"/>
  <c r="M123" i="21" s="1"/>
  <c r="J42" i="21"/>
  <c r="AC42" i="21" s="1"/>
  <c r="H42" i="21"/>
  <c r="U42" i="21" s="1"/>
  <c r="J44" i="34"/>
  <c r="F44" i="34"/>
  <c r="AA44" i="34"/>
  <c r="J10" i="35"/>
  <c r="W10" i="35"/>
  <c r="J14" i="21"/>
  <c r="W14" i="21" s="1"/>
  <c r="F14" i="21"/>
  <c r="S14" i="21" s="1"/>
  <c r="H14" i="21"/>
  <c r="U14" i="21" s="1"/>
  <c r="H28" i="21"/>
  <c r="AB28" i="21" s="1"/>
  <c r="F28" i="21"/>
  <c r="AA28" i="21" s="1"/>
  <c r="J28" i="21"/>
  <c r="W28" i="21" s="1"/>
  <c r="H30" i="21"/>
  <c r="F30" i="21"/>
  <c r="S30" i="21" s="1"/>
  <c r="J30" i="21"/>
  <c r="AC30" i="21" s="1"/>
  <c r="J44" i="21"/>
  <c r="H44" i="21"/>
  <c r="U44" i="21" s="1"/>
  <c r="F44" i="21"/>
  <c r="AA44" i="21" s="1"/>
  <c r="H46" i="21"/>
  <c r="U46" i="21" s="1"/>
  <c r="J46" i="21"/>
  <c r="F46" i="21"/>
  <c r="AA46" i="21" s="1"/>
  <c r="E119" i="21"/>
  <c r="F119" i="21" s="1"/>
  <c r="G119" i="21"/>
  <c r="H119" i="21" s="1"/>
  <c r="I119" i="21" s="1"/>
  <c r="J119" i="21" s="1"/>
  <c r="K119" i="21" s="1"/>
  <c r="L119" i="21" s="1"/>
  <c r="M119" i="21" s="1"/>
  <c r="H26" i="33"/>
  <c r="U26"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U14" i="33"/>
  <c r="H30" i="33"/>
  <c r="AB30" i="33" s="1"/>
  <c r="F30" i="33"/>
  <c r="H44" i="33"/>
  <c r="AC44" i="33"/>
  <c r="AC46" i="33"/>
  <c r="U13"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J37" i="40"/>
  <c r="AC37" i="40" s="1"/>
  <c r="H13" i="40"/>
  <c r="U13" i="40" s="1"/>
  <c r="J13" i="40"/>
  <c r="F13" i="40"/>
  <c r="AA13" i="40" s="1"/>
  <c r="F14" i="37"/>
  <c r="S14" i="37" s="1"/>
  <c r="F27" i="37"/>
  <c r="AA27" i="37" s="1"/>
  <c r="F13" i="39"/>
  <c r="J13" i="39"/>
  <c r="W13" i="39"/>
  <c r="H13" i="39"/>
  <c r="H14" i="40"/>
  <c r="J14" i="40"/>
  <c r="W14" i="40" s="1"/>
  <c r="F14" i="40"/>
  <c r="AA14" i="40" s="1"/>
  <c r="J14" i="37"/>
  <c r="J27" i="37"/>
  <c r="AC27" i="37" s="1"/>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F17" i="21"/>
  <c r="AA17" i="21" s="1"/>
  <c r="H17" i="21"/>
  <c r="AB17" i="21" s="1"/>
  <c r="F15" i="21"/>
  <c r="S15" i="21" s="1"/>
  <c r="AB11" i="21"/>
  <c r="J41" i="39"/>
  <c r="W41" i="39" s="1"/>
  <c r="AC45" i="39"/>
  <c r="W36" i="39"/>
  <c r="U36" i="39"/>
  <c r="G544" i="3"/>
  <c r="G536" i="3"/>
  <c r="G532" i="3"/>
  <c r="G528" i="3"/>
  <c r="G523" i="3"/>
  <c r="G518" i="3"/>
  <c r="G514" i="3"/>
  <c r="G510" i="3"/>
  <c r="G508" i="3"/>
  <c r="G504" i="3"/>
  <c r="G500" i="3"/>
  <c r="G496" i="3"/>
  <c r="G584" i="3"/>
  <c r="G580" i="3"/>
  <c r="G576" i="3"/>
  <c r="G568" i="3"/>
  <c r="G564" i="3"/>
  <c r="G560" i="3"/>
  <c r="G554" i="3"/>
  <c r="G550" i="3"/>
  <c r="BL584" i="3"/>
  <c r="BL580" i="3"/>
  <c r="BL572" i="3"/>
  <c r="AZ572" i="3" s="1"/>
  <c r="BL568" i="3"/>
  <c r="BL564" i="3"/>
  <c r="BL554" i="3"/>
  <c r="BL542" i="3"/>
  <c r="BL534" i="3"/>
  <c r="BL526" i="3"/>
  <c r="AZ526" i="3" s="1"/>
  <c r="BL522" i="3"/>
  <c r="BL516" i="3"/>
  <c r="AZ516" i="3" s="1"/>
  <c r="BL512" i="3"/>
  <c r="BL506" i="3"/>
  <c r="BL502" i="3"/>
  <c r="BL498" i="3"/>
  <c r="BL494" i="3"/>
  <c r="BL582" i="3"/>
  <c r="BL578" i="3"/>
  <c r="BL574" i="3"/>
  <c r="BL566" i="3"/>
  <c r="BL562" i="3"/>
  <c r="BL556" i="3"/>
  <c r="BL552" i="3"/>
  <c r="BL544" i="3"/>
  <c r="BL536" i="3"/>
  <c r="BL532" i="3"/>
  <c r="BL528" i="3"/>
  <c r="G525" i="3"/>
  <c r="BL524" i="3"/>
  <c r="AZ524" i="3" s="1"/>
  <c r="BL518" i="3"/>
  <c r="BL514" i="3"/>
  <c r="BL510" i="3"/>
  <c r="BL504" i="3"/>
  <c r="BL500" i="3"/>
  <c r="BL496" i="3"/>
  <c r="G493" i="3"/>
  <c r="BA584" i="3"/>
  <c r="BA582" i="3"/>
  <c r="AZ582" i="3"/>
  <c r="BA580" i="3"/>
  <c r="AZ580" i="3"/>
  <c r="BA578" i="3"/>
  <c r="AZ578" i="3"/>
  <c r="AZ576" i="3"/>
  <c r="AZ574" i="3"/>
  <c r="AZ570" i="3"/>
  <c r="BA568" i="3"/>
  <c r="AZ568" i="3"/>
  <c r="BA566" i="3"/>
  <c r="AZ566" i="3"/>
  <c r="BA564" i="3"/>
  <c r="AZ564" i="3"/>
  <c r="BA562" i="3"/>
  <c r="AZ562" i="3"/>
  <c r="BA558" i="3"/>
  <c r="BA556" i="3"/>
  <c r="AZ556" i="3" s="1"/>
  <c r="BA554" i="3"/>
  <c r="AZ554" i="3" s="1"/>
  <c r="BA552" i="3"/>
  <c r="AZ552" i="3" s="1"/>
  <c r="BA548" i="3"/>
  <c r="AZ548" i="3" s="1"/>
  <c r="BA544" i="3"/>
  <c r="AZ544" i="3" s="1"/>
  <c r="BA542" i="3"/>
  <c r="BA540" i="3"/>
  <c r="AZ540" i="3" s="1"/>
  <c r="BA538" i="3"/>
  <c r="AZ538" i="3" s="1"/>
  <c r="BA536" i="3"/>
  <c r="AZ536" i="3" s="1"/>
  <c r="BA534" i="3"/>
  <c r="AZ534" i="3" s="1"/>
  <c r="BA532" i="3"/>
  <c r="AZ532" i="3" s="1"/>
  <c r="BA530" i="3"/>
  <c r="AZ528" i="3"/>
  <c r="BA524" i="3"/>
  <c r="BA522" i="3"/>
  <c r="BA520" i="3"/>
  <c r="BA518" i="3"/>
  <c r="AZ518" i="3"/>
  <c r="BA516" i="3"/>
  <c r="BA514" i="3"/>
  <c r="BA512" i="3"/>
  <c r="AZ512" i="3" s="1"/>
  <c r="BA510" i="3"/>
  <c r="AZ510" i="3" s="1"/>
  <c r="BA508" i="3"/>
  <c r="BA506" i="3"/>
  <c r="BA504" i="3"/>
  <c r="BA502" i="3"/>
  <c r="AZ502" i="3" s="1"/>
  <c r="BA500" i="3"/>
  <c r="BA498" i="3"/>
  <c r="AZ498" i="3" s="1"/>
  <c r="BA496" i="3"/>
  <c r="BA494" i="3"/>
  <c r="BA587" i="3"/>
  <c r="BA583" i="3"/>
  <c r="BA581" i="3"/>
  <c r="AZ581" i="3"/>
  <c r="BA579" i="3"/>
  <c r="BA577" i="3"/>
  <c r="AZ577" i="3" s="1"/>
  <c r="BA573" i="3"/>
  <c r="BA569" i="3"/>
  <c r="AZ569" i="3" s="1"/>
  <c r="BA567" i="3"/>
  <c r="BA565" i="3"/>
  <c r="AZ565" i="3" s="1"/>
  <c r="BA563" i="3"/>
  <c r="BA561" i="3"/>
  <c r="BA555" i="3"/>
  <c r="BA553" i="3"/>
  <c r="BA549" i="3"/>
  <c r="BA545" i="3"/>
  <c r="BA541" i="3"/>
  <c r="BA537" i="3"/>
  <c r="BA533" i="3"/>
  <c r="BA529" i="3"/>
  <c r="BA525" i="3"/>
  <c r="BA523" i="3"/>
  <c r="BA519" i="3"/>
  <c r="BA517" i="3"/>
  <c r="BA515" i="3"/>
  <c r="BA513" i="3"/>
  <c r="BA511" i="3"/>
  <c r="BA507" i="3"/>
  <c r="BA505" i="3"/>
  <c r="BA503" i="3"/>
  <c r="BA501" i="3"/>
  <c r="BA499" i="3"/>
  <c r="BA497" i="3"/>
  <c r="BA495" i="3"/>
  <c r="BA493" i="3"/>
  <c r="G583" i="3"/>
  <c r="G581" i="3"/>
  <c r="G579" i="3"/>
  <c r="G575" i="3"/>
  <c r="G571" i="3"/>
  <c r="G569" i="3"/>
  <c r="G567" i="3"/>
  <c r="G565" i="3"/>
  <c r="G563" i="3"/>
  <c r="BL558" i="3"/>
  <c r="AC557" i="3"/>
  <c r="G557" i="3"/>
  <c r="BQ557" i="3"/>
  <c r="BL557" i="3"/>
  <c r="AZ557" i="3" s="1"/>
  <c r="BQ583" i="3"/>
  <c r="BL583" i="3"/>
  <c r="BQ581" i="3"/>
  <c r="BL581" i="3" s="1"/>
  <c r="BQ579" i="3"/>
  <c r="BL579" i="3" s="1"/>
  <c r="AZ579" i="3" s="1"/>
  <c r="BQ577" i="3"/>
  <c r="BL577" i="3"/>
  <c r="BQ575" i="3"/>
  <c r="BQ573" i="3"/>
  <c r="BL573" i="3"/>
  <c r="BQ571" i="3"/>
  <c r="BQ569" i="3"/>
  <c r="BL569" i="3"/>
  <c r="BQ567" i="3"/>
  <c r="BL567" i="3" s="1"/>
  <c r="AZ567" i="3" s="1"/>
  <c r="BQ565" i="3"/>
  <c r="BL565" i="3"/>
  <c r="BQ563" i="3"/>
  <c r="BL563" i="3" s="1"/>
  <c r="BQ561" i="3"/>
  <c r="BQ559" i="3"/>
  <c r="BL559" i="3"/>
  <c r="G559" i="3"/>
  <c r="G555" i="3"/>
  <c r="G553" i="3"/>
  <c r="G549" i="3"/>
  <c r="G547" i="3"/>
  <c r="G543" i="3"/>
  <c r="G539" i="3"/>
  <c r="BQ555" i="3"/>
  <c r="BL555" i="3" s="1"/>
  <c r="AZ555" i="3" s="1"/>
  <c r="BQ553" i="3"/>
  <c r="BL553" i="3"/>
  <c r="AZ553" i="3" s="1"/>
  <c r="BQ551" i="3"/>
  <c r="BL551" i="3" s="1"/>
  <c r="BQ549" i="3"/>
  <c r="BL549" i="3" s="1"/>
  <c r="BQ547" i="3"/>
  <c r="BL547" i="3"/>
  <c r="BQ545" i="3"/>
  <c r="BQ543" i="3"/>
  <c r="BL543" i="3"/>
  <c r="BQ541" i="3"/>
  <c r="BQ539" i="3"/>
  <c r="BL539" i="3"/>
  <c r="BQ537" i="3"/>
  <c r="BQ535" i="3"/>
  <c r="BL535" i="3"/>
  <c r="BQ533" i="3"/>
  <c r="BQ531" i="3"/>
  <c r="BL531" i="3"/>
  <c r="BQ529" i="3"/>
  <c r="BQ527" i="3"/>
  <c r="BL527" i="3"/>
  <c r="BQ525" i="3"/>
  <c r="BL525" i="3" s="1"/>
  <c r="AZ525" i="3" s="1"/>
  <c r="BQ523" i="3"/>
  <c r="BL523" i="3"/>
  <c r="AZ523" i="3" s="1"/>
  <c r="BA521" i="3"/>
  <c r="AC521" i="3"/>
  <c r="G521" i="3" s="1"/>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F125" i="33"/>
  <c r="H43" i="33"/>
  <c r="AB43" i="33"/>
  <c r="H17" i="37"/>
  <c r="U17" i="37"/>
  <c r="AB27" i="37"/>
  <c r="U32" i="33"/>
  <c r="F39" i="33"/>
  <c r="AA39" i="33" s="1"/>
  <c r="E123" i="33"/>
  <c r="F42" i="33"/>
  <c r="AA42" i="33"/>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c r="I123" i="33" s="1"/>
  <c r="J123" i="33" s="1"/>
  <c r="K123" i="33" s="1"/>
  <c r="L123" i="33" s="1"/>
  <c r="M123" i="33" s="1"/>
  <c r="H42" i="33"/>
  <c r="AB42" i="33" s="1"/>
  <c r="G125" i="33"/>
  <c r="J43" i="33"/>
  <c r="AC43" i="33"/>
  <c r="U43" i="33"/>
  <c r="S28" i="31"/>
  <c r="S27" i="31"/>
  <c r="S26" i="31"/>
  <c r="AC32" i="36"/>
  <c r="U35" i="35"/>
  <c r="AA12" i="35"/>
  <c r="AB28" i="37"/>
  <c r="U39" i="37"/>
  <c r="W26" i="37"/>
  <c r="AC8" i="37"/>
  <c r="U26" i="37"/>
  <c r="W47" i="34"/>
  <c r="W37" i="34"/>
  <c r="AB37" i="34"/>
  <c r="AC36" i="34"/>
  <c r="AA13" i="33"/>
  <c r="AC31" i="33"/>
  <c r="AC45" i="33"/>
  <c r="W44" i="33"/>
  <c r="U19" i="21"/>
  <c r="U26" i="21"/>
  <c r="U12"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F12" i="37"/>
  <c r="S12" i="37" s="1"/>
  <c r="E71" i="37"/>
  <c r="F71" i="37" s="1"/>
  <c r="F15" i="37"/>
  <c r="AA15" i="37"/>
  <c r="E94" i="37"/>
  <c r="F31" i="37"/>
  <c r="S31" i="37" s="1"/>
  <c r="F12" i="39"/>
  <c r="S12" i="39" s="1"/>
  <c r="J42" i="39"/>
  <c r="AC42" i="39" s="1"/>
  <c r="H21" i="40"/>
  <c r="AB21" i="40" s="1"/>
  <c r="F94" i="37"/>
  <c r="G94" i="37"/>
  <c r="H94" i="37" s="1"/>
  <c r="I94" i="37"/>
  <c r="J94" i="37" s="1"/>
  <c r="K94" i="37" s="1"/>
  <c r="L94" i="37" s="1"/>
  <c r="M94" i="37" s="1"/>
  <c r="H31" i="37"/>
  <c r="U31" i="37"/>
  <c r="G71" i="37"/>
  <c r="J15" i="37"/>
  <c r="W15" i="37"/>
  <c r="AT6" i="3"/>
  <c r="AA25" i="21"/>
  <c r="C12" i="43"/>
  <c r="H19" i="40"/>
  <c r="U19" i="40" s="1"/>
  <c r="F88" i="40"/>
  <c r="G88" i="40" s="1"/>
  <c r="F19" i="40"/>
  <c r="S19" i="40" s="1"/>
  <c r="S14" i="40"/>
  <c r="AB33" i="40"/>
  <c r="AC43" i="39"/>
  <c r="U45" i="39"/>
  <c r="AB44" i="39"/>
  <c r="G101" i="39"/>
  <c r="H37" i="39"/>
  <c r="AB37" i="39"/>
  <c r="AC37" i="39"/>
  <c r="W37" i="39"/>
  <c r="J25" i="39"/>
  <c r="F15" i="39"/>
  <c r="AA15" i="39" s="1"/>
  <c r="H15" i="39"/>
  <c r="U15" i="39" s="1"/>
  <c r="J15" i="39"/>
  <c r="W15" i="39" s="1"/>
  <c r="H41" i="39"/>
  <c r="AB34" i="39"/>
  <c r="U40" i="39"/>
  <c r="S42" i="39"/>
  <c r="W14" i="39"/>
  <c r="AA41" i="39"/>
  <c r="J19" i="40"/>
  <c r="AC19" i="40"/>
  <c r="J50" i="40"/>
  <c r="H103" i="9"/>
  <c r="D8" i="53" s="1"/>
  <c r="B16" i="53"/>
  <c r="B33" i="72" s="1"/>
  <c r="C7" i="37"/>
  <c r="C7" i="34"/>
  <c r="C7" i="36"/>
  <c r="A118" i="9"/>
  <c r="A4" i="52"/>
  <c r="B41" i="72"/>
  <c r="A12" i="52"/>
  <c r="B56" i="72" s="1"/>
  <c r="G4" i="4"/>
  <c r="I4" i="4"/>
  <c r="A2" i="9"/>
  <c r="F59" i="43"/>
  <c r="H62" i="43" s="1"/>
  <c r="AZ20" i="3"/>
  <c r="AZ24" i="3"/>
  <c r="AZ28" i="3"/>
  <c r="AZ32" i="3"/>
  <c r="AZ497" i="3"/>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F5" i="3"/>
  <c r="AZ309" i="3"/>
  <c r="AZ317" i="3"/>
  <c r="AZ325" i="3"/>
  <c r="AZ333" i="3"/>
  <c r="AZ341" i="3"/>
  <c r="AC5"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s="1"/>
  <c r="AZ380" i="3"/>
  <c r="AZ384" i="3"/>
  <c r="AZ388" i="3"/>
  <c r="AZ392" i="3"/>
  <c r="AZ396" i="3"/>
  <c r="AZ394" i="3"/>
  <c r="AZ499" i="3"/>
  <c r="AZ509" i="3"/>
  <c r="G509" i="3"/>
  <c r="BL493" i="3"/>
  <c r="AZ493" i="3" s="1"/>
  <c r="AZ491" i="3"/>
  <c r="AZ376" i="3"/>
  <c r="AZ390" i="3"/>
  <c r="AZ382" i="3"/>
  <c r="U36" i="40"/>
  <c r="F36" i="43"/>
  <c r="F81" i="43"/>
  <c r="H83" i="43" s="1"/>
  <c r="H113" i="43"/>
  <c r="F70" i="43"/>
  <c r="H73" i="43" s="1"/>
  <c r="M11" i="43"/>
  <c r="D17" i="43"/>
  <c r="F39" i="43"/>
  <c r="I17" i="43"/>
  <c r="F35" i="43"/>
  <c r="J17" i="43"/>
  <c r="F6" i="1"/>
  <c r="S14" i="35"/>
  <c r="U43" i="21"/>
  <c r="U35" i="21"/>
  <c r="AC35" i="21"/>
  <c r="U10" i="21"/>
  <c r="G8" i="1"/>
  <c r="G9" i="1"/>
  <c r="G10" i="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AE9" i="1"/>
  <c r="D93" i="9"/>
  <c r="E12" i="6"/>
  <c r="K6" i="1"/>
  <c r="E13" i="6"/>
  <c r="E58" i="40"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AA32" i="39" s="1"/>
  <c r="U31" i="39"/>
  <c r="F21" i="39"/>
  <c r="S21" i="39" s="1"/>
  <c r="W19" i="39"/>
  <c r="U19" i="39"/>
  <c r="AC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A13" i="3"/>
  <c r="E10" i="6"/>
  <c r="E11" i="6"/>
  <c r="BL17" i="3"/>
  <c r="AZ17" i="3" s="1"/>
  <c r="BL13" i="3"/>
  <c r="J56" i="9"/>
  <c r="J57" i="9" s="1"/>
  <c r="J59" i="9" s="1"/>
  <c r="J61" i="9" s="1"/>
  <c r="A24" i="51"/>
  <c r="B18" i="72"/>
  <c r="U29" i="34"/>
  <c r="E14" i="6"/>
  <c r="E64" i="39" s="1"/>
  <c r="E5" i="6"/>
  <c r="D9" i="11" s="1"/>
  <c r="C9" i="11" s="1"/>
  <c r="H22" i="43"/>
  <c r="D101" i="43"/>
  <c r="D109" i="43" s="1"/>
  <c r="M101" i="43"/>
  <c r="I101" i="43"/>
  <c r="I109" i="43" s="1"/>
  <c r="E101" i="43"/>
  <c r="E32" i="6"/>
  <c r="L19" i="6"/>
  <c r="G1" i="68"/>
  <c r="K1" i="12"/>
  <c r="E57" i="40"/>
  <c r="AR12" i="1"/>
  <c r="AQ12" i="1"/>
  <c r="T12" i="1"/>
  <c r="AR10" i="1"/>
  <c r="T10" i="1"/>
  <c r="E19" i="69"/>
  <c r="E19" i="68"/>
  <c r="E19" i="11"/>
  <c r="E1" i="73"/>
  <c r="G22" i="69"/>
  <c r="G22" i="68"/>
  <c r="G26" i="12"/>
  <c r="G22" i="11"/>
  <c r="C100" i="43"/>
  <c r="C7" i="43"/>
  <c r="E81" i="43"/>
  <c r="B79" i="43"/>
  <c r="S5" i="43"/>
  <c r="E70" i="43"/>
  <c r="B68" i="43"/>
  <c r="F100" i="43"/>
  <c r="H17" i="43"/>
  <c r="G6" i="1"/>
  <c r="H85" i="43"/>
  <c r="H81" i="43"/>
  <c r="H84" i="43"/>
  <c r="H88"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72" i="43"/>
  <c r="L20" i="6"/>
  <c r="E62" i="39"/>
  <c r="B6" i="1"/>
  <c r="E6" i="1" s="1"/>
  <c r="S8" i="1"/>
  <c r="AR8" i="1" s="1"/>
  <c r="K11" i="1"/>
  <c r="M11" i="1" s="1"/>
  <c r="O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S27" i="39"/>
  <c r="W31" i="39"/>
  <c r="AC31"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C37" i="33"/>
  <c r="W46" i="33"/>
  <c r="U39" i="33"/>
  <c r="U38" i="33"/>
  <c r="S33" i="33"/>
  <c r="AB34" i="33"/>
  <c r="U44" i="33"/>
  <c r="AB44" i="33"/>
  <c r="S30" i="33"/>
  <c r="AA30" i="33"/>
  <c r="AC30" i="33"/>
  <c r="W30" i="33"/>
  <c r="S31" i="33"/>
  <c r="AA31" i="33"/>
  <c r="W13" i="33"/>
  <c r="AC13" i="33"/>
  <c r="U15" i="33"/>
  <c r="S11" i="33"/>
  <c r="U37" i="33"/>
  <c r="W9" i="33"/>
  <c r="W8" i="33"/>
  <c r="S44" i="21"/>
  <c r="AB42" i="21"/>
  <c r="U28" i="21"/>
  <c r="AA11" i="21"/>
  <c r="S45" i="21"/>
  <c r="F33" i="21"/>
  <c r="S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E63" i="39"/>
  <c r="T11" i="1"/>
  <c r="D9" i="69"/>
  <c r="C9" i="69" s="1"/>
  <c r="AR11" i="1"/>
  <c r="E59" i="40"/>
  <c r="T13" i="1"/>
  <c r="D9" i="68"/>
  <c r="C9" i="68" s="1"/>
  <c r="E7" i="70"/>
  <c r="AA39" i="40"/>
  <c r="S39" i="40"/>
  <c r="S12" i="33"/>
  <c r="AA12" i="33"/>
  <c r="J32" i="39"/>
  <c r="H32" i="39"/>
  <c r="U32" i="39" s="1"/>
  <c r="S32" i="39"/>
  <c r="AA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U33" i="21"/>
  <c r="AA23" i="21"/>
  <c r="J23" i="21"/>
  <c r="AC23" i="21" s="1"/>
  <c r="F85" i="21"/>
  <c r="G85" i="21"/>
  <c r="H23" i="21"/>
  <c r="S13" i="21"/>
  <c r="D6" i="52"/>
  <c r="S6" i="43"/>
  <c r="C23" i="43"/>
  <c r="C21" i="43" s="1"/>
  <c r="S4" i="43"/>
  <c r="S3" i="43"/>
  <c r="S7" i="43"/>
  <c r="J22" i="43"/>
  <c r="I102" i="43"/>
  <c r="I104" i="43"/>
  <c r="I106" i="43"/>
  <c r="I107" i="43"/>
  <c r="I103" i="43"/>
  <c r="I105" i="43"/>
  <c r="D103" i="43"/>
  <c r="D105" i="43"/>
  <c r="D104" i="43"/>
  <c r="D106" i="43"/>
  <c r="D107" i="43"/>
  <c r="D102" i="43"/>
  <c r="R22" i="31"/>
  <c r="L27" i="6"/>
  <c r="AP7" i="1"/>
  <c r="AB45" i="21"/>
  <c r="AC33" i="21"/>
  <c r="W33" i="21"/>
  <c r="AA33" i="21"/>
  <c r="W32" i="21"/>
  <c r="AC32" i="21"/>
  <c r="AB9" i="21"/>
  <c r="U9" i="21"/>
  <c r="S32" i="21"/>
  <c r="AC9" i="21"/>
  <c r="U32" i="21"/>
  <c r="AA10" i="21"/>
  <c r="S10" i="21"/>
  <c r="AB32" i="39"/>
  <c r="AC32" i="39"/>
  <c r="W32" i="39"/>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W11" i="34" s="1"/>
  <c r="AC36" i="33"/>
  <c r="W36" i="33"/>
  <c r="AB36" i="33"/>
  <c r="AC27" i="33"/>
  <c r="AC25" i="33"/>
  <c r="AA23" i="33"/>
  <c r="S23" i="33"/>
  <c r="U19" i="33"/>
  <c r="S17" i="33"/>
  <c r="U17" i="33"/>
  <c r="AB17" i="33"/>
  <c r="U23" i="21"/>
  <c r="AB23" i="21"/>
  <c r="W23" i="21"/>
  <c r="AC11" i="37"/>
  <c r="W11" i="37"/>
  <c r="AC11" i="34"/>
  <c r="F34" i="11"/>
  <c r="F11" i="12"/>
  <c r="C23" i="12" s="1"/>
  <c r="F34" i="68"/>
  <c r="R8" i="1"/>
  <c r="AE7" i="1"/>
  <c r="AE8" i="1"/>
  <c r="AG6" i="1"/>
  <c r="H109" i="9"/>
  <c r="H110" i="9" s="1"/>
  <c r="D18" i="53" s="1"/>
  <c r="B35" i="72" s="1"/>
  <c r="D124" i="9"/>
  <c r="H14" i="74" s="1"/>
  <c r="B7" i="74" s="1"/>
  <c r="D10" i="52"/>
  <c r="H112" i="9"/>
  <c r="D21" i="53" s="1"/>
  <c r="B39" i="72" s="1"/>
  <c r="H111" i="9"/>
  <c r="D126" i="9" s="1"/>
  <c r="I14" i="74" s="1"/>
  <c r="B8" i="74" s="1"/>
  <c r="D19" i="53"/>
  <c r="B38" i="72" s="1"/>
  <c r="D20" i="53"/>
  <c r="B40" i="72" s="1"/>
  <c r="AD3" i="71"/>
  <c r="J1" i="73"/>
  <c r="C13" i="12"/>
  <c r="C77" i="9"/>
  <c r="C74" i="9" s="1"/>
  <c r="H77" i="43"/>
  <c r="H76" i="43"/>
  <c r="H67" i="43"/>
  <c r="H59" i="43"/>
  <c r="H60" i="43"/>
  <c r="H61" i="43"/>
  <c r="M4" i="43"/>
  <c r="M5" i="43"/>
  <c r="N12" i="43"/>
  <c r="N11" i="43"/>
  <c r="M10" i="43"/>
  <c r="M2" i="43"/>
  <c r="M7" i="43"/>
  <c r="C6" i="43" s="1"/>
  <c r="H70" i="43"/>
  <c r="N9" i="43"/>
  <c r="M8" i="43"/>
  <c r="N10" i="43"/>
  <c r="H74" i="43"/>
  <c r="M6" i="43"/>
  <c r="N7" i="43"/>
  <c r="F48" i="43" s="1"/>
  <c r="N4" i="43"/>
  <c r="N2" i="43"/>
  <c r="N17" i="43"/>
  <c r="L17" i="43"/>
  <c r="O17" i="43"/>
  <c r="M17" i="43"/>
  <c r="E17" i="43"/>
  <c r="C70" i="39"/>
  <c r="D68" i="39"/>
  <c r="D70" i="39" s="1"/>
  <c r="E46" i="36"/>
  <c r="F46" i="36" s="1"/>
  <c r="G46" i="36"/>
  <c r="H46" i="36" s="1"/>
  <c r="I46" i="36" s="1"/>
  <c r="C24" i="12"/>
  <c r="AB19" i="71"/>
  <c r="X17" i="71"/>
  <c r="X16" i="71"/>
  <c r="AA17" i="71"/>
  <c r="AA16" i="71"/>
  <c r="X20" i="71"/>
  <c r="Y16" i="71"/>
  <c r="Z16" i="71" s="1"/>
  <c r="AB17" i="71"/>
  <c r="AB16" i="71"/>
  <c r="F18" i="71"/>
  <c r="F17" i="71" s="1"/>
  <c r="F16" i="71" s="1"/>
  <c r="F15" i="71" s="1"/>
  <c r="F14" i="71" s="1"/>
  <c r="Y17" i="71"/>
  <c r="Z17" i="71" s="1"/>
  <c r="X3" i="71"/>
  <c r="E18" i="71"/>
  <c r="E17" i="71"/>
  <c r="E16" i="71" s="1"/>
  <c r="E15" i="71" s="1"/>
  <c r="E14" i="71" s="1"/>
  <c r="E13" i="71" s="1"/>
  <c r="E68" i="39"/>
  <c r="F68" i="39" s="1"/>
  <c r="I59" i="34"/>
  <c r="J59" i="34" s="1"/>
  <c r="B13" i="76"/>
  <c r="E9" i="76"/>
  <c r="AO13" i="1"/>
  <c r="D2" i="36"/>
  <c r="M29" i="67"/>
  <c r="L48" i="67"/>
  <c r="J15" i="15"/>
  <c r="M26" i="67"/>
  <c r="M22" i="67"/>
  <c r="AO10" i="1"/>
  <c r="B11" i="76"/>
  <c r="D35" i="9"/>
  <c r="M23" i="15"/>
  <c r="F41" i="67"/>
  <c r="F36" i="67"/>
  <c r="F6" i="67"/>
  <c r="F37" i="15"/>
  <c r="C76" i="15"/>
  <c r="F3" i="73"/>
  <c r="B9" i="76"/>
  <c r="F20" i="31"/>
  <c r="D2" i="33"/>
  <c r="E11" i="76"/>
  <c r="E2" i="69"/>
  <c r="F4" i="73"/>
  <c r="F38" i="15"/>
  <c r="F40" i="67"/>
  <c r="M22" i="15"/>
  <c r="F13" i="67"/>
  <c r="D2" i="37"/>
  <c r="E12" i="76"/>
  <c r="B10" i="76"/>
  <c r="AO11" i="1"/>
  <c r="D3" i="73"/>
  <c r="D6" i="73"/>
  <c r="F16" i="15"/>
  <c r="B12" i="76"/>
  <c r="F26" i="67"/>
  <c r="D4" i="73"/>
  <c r="B7" i="76"/>
  <c r="E10" i="76"/>
  <c r="D2" i="21"/>
  <c r="F6" i="73"/>
  <c r="D34" i="9"/>
  <c r="F7" i="67"/>
  <c r="F9" i="15"/>
  <c r="M9" i="67"/>
  <c r="D2" i="34"/>
  <c r="M6" i="67"/>
  <c r="B8" i="76"/>
  <c r="AO9" i="1"/>
  <c r="M8" i="67"/>
  <c r="F40" i="15"/>
  <c r="M27" i="15"/>
  <c r="M23" i="67"/>
  <c r="M6" i="15"/>
  <c r="AO7" i="1"/>
  <c r="E2" i="68"/>
  <c r="M28" i="67"/>
  <c r="F7" i="73"/>
  <c r="E8" i="76"/>
  <c r="AO12" i="1"/>
  <c r="L47" i="67"/>
  <c r="F42" i="15"/>
  <c r="E7" i="76"/>
  <c r="F5" i="73"/>
  <c r="D2" i="35"/>
  <c r="AO8" i="1"/>
  <c r="D5" i="73"/>
  <c r="E13" i="76"/>
  <c r="J15" i="67"/>
  <c r="F42" i="67"/>
  <c r="D7" i="73"/>
  <c r="Q16" i="1" l="1"/>
  <c r="F27" i="69" s="1"/>
  <c r="C47" i="69" s="1"/>
  <c r="D45" i="69" s="1"/>
  <c r="E60" i="40"/>
  <c r="E65" i="39"/>
  <c r="AZ521" i="3"/>
  <c r="AZ583" i="3"/>
  <c r="AC14" i="37"/>
  <c r="W14" i="37"/>
  <c r="AC35" i="40"/>
  <c r="W35" i="40"/>
  <c r="S13" i="35"/>
  <c r="AA13" i="35"/>
  <c r="U30" i="21"/>
  <c r="AB30" i="21"/>
  <c r="U23" i="34"/>
  <c r="AB23" i="34"/>
  <c r="AB33" i="35"/>
  <c r="U33" i="35"/>
  <c r="W34" i="36"/>
  <c r="AC34" i="36"/>
  <c r="W11" i="40"/>
  <c r="AC11" i="40"/>
  <c r="H27" i="39"/>
  <c r="U27" i="39" s="1"/>
  <c r="J27" i="39"/>
  <c r="AC27" i="39" s="1"/>
  <c r="AC35" i="39"/>
  <c r="W35" i="39"/>
  <c r="S36" i="39"/>
  <c r="AA36" i="39"/>
  <c r="U38" i="21"/>
  <c r="AB38" i="21"/>
  <c r="G585" i="3"/>
  <c r="H5" i="3"/>
  <c r="BL587" i="3"/>
  <c r="BO5" i="3"/>
  <c r="BL586" i="3"/>
  <c r="AZ586" i="3" s="1"/>
  <c r="AA40" i="21"/>
  <c r="S40" i="21"/>
  <c r="B74" i="43"/>
  <c r="C27" i="39"/>
  <c r="AB40" i="33"/>
  <c r="U40" i="33"/>
  <c r="H28" i="33"/>
  <c r="F28" i="33"/>
  <c r="J28" i="33"/>
  <c r="J9" i="34"/>
  <c r="H9" i="34"/>
  <c r="BL575" i="3"/>
  <c r="AZ575" i="3" s="1"/>
  <c r="BL571" i="3"/>
  <c r="AZ571" i="3" s="1"/>
  <c r="BL561" i="3"/>
  <c r="AZ561" i="3" s="1"/>
  <c r="AZ560" i="3"/>
  <c r="AZ559" i="3"/>
  <c r="E12" i="71"/>
  <c r="E11" i="71" s="1"/>
  <c r="E10" i="71" s="1"/>
  <c r="E9" i="71" s="1"/>
  <c r="V13" i="71"/>
  <c r="V17" i="71"/>
  <c r="D125" i="9"/>
  <c r="D11" i="52" s="1"/>
  <c r="D16" i="53"/>
  <c r="AQ8" i="1"/>
  <c r="AB15" i="21"/>
  <c r="S37" i="21"/>
  <c r="AC37" i="21"/>
  <c r="W17" i="21"/>
  <c r="G5" i="3"/>
  <c r="B3" i="3" s="1"/>
  <c r="F29" i="6"/>
  <c r="E29" i="6" s="1"/>
  <c r="AZ372" i="3"/>
  <c r="AZ337" i="3"/>
  <c r="AZ305" i="3"/>
  <c r="AZ362" i="3"/>
  <c r="AC12" i="37"/>
  <c r="AB12" i="37"/>
  <c r="U12" i="37"/>
  <c r="BL495" i="3"/>
  <c r="AZ495" i="3" s="1"/>
  <c r="BQ5" i="3"/>
  <c r="F28" i="6" s="1"/>
  <c r="AZ511" i="3"/>
  <c r="AZ515" i="3"/>
  <c r="AZ519" i="3"/>
  <c r="AZ549" i="3"/>
  <c r="AZ573" i="3"/>
  <c r="AZ587" i="3"/>
  <c r="AZ504" i="3"/>
  <c r="AZ508" i="3"/>
  <c r="AZ520" i="3"/>
  <c r="AZ542" i="3"/>
  <c r="AZ558" i="3"/>
  <c r="U31" i="34"/>
  <c r="AB14" i="40"/>
  <c r="U14" i="40"/>
  <c r="W13" i="40"/>
  <c r="AC13" i="40"/>
  <c r="AC31" i="34"/>
  <c r="W31" i="34"/>
  <c r="W46" i="21"/>
  <c r="AC46" i="21"/>
  <c r="AC44" i="21"/>
  <c r="W44" i="21"/>
  <c r="AB11" i="33"/>
  <c r="U11" i="33"/>
  <c r="AB33" i="37"/>
  <c r="U33" i="37"/>
  <c r="AA41" i="33"/>
  <c r="S41" i="33"/>
  <c r="AA28" i="34"/>
  <c r="S28" i="34"/>
  <c r="W33" i="36"/>
  <c r="AC33" i="36"/>
  <c r="AA35" i="39"/>
  <c r="S35" i="39"/>
  <c r="AC44" i="39"/>
  <c r="W44" i="39"/>
  <c r="AA34" i="21"/>
  <c r="S34" i="21"/>
  <c r="BA585" i="3"/>
  <c r="AZ585" i="3" s="1"/>
  <c r="B70" i="43"/>
  <c r="C15" i="39"/>
  <c r="AC8" i="34"/>
  <c r="W8" i="34"/>
  <c r="AZ547" i="3"/>
  <c r="AZ546" i="3"/>
  <c r="BL545" i="3"/>
  <c r="AZ545" i="3" s="1"/>
  <c r="AZ543" i="3"/>
  <c r="BL541" i="3"/>
  <c r="AZ541" i="3" s="1"/>
  <c r="AZ539" i="3"/>
  <c r="BL537" i="3"/>
  <c r="AZ537" i="3" s="1"/>
  <c r="AZ535" i="3"/>
  <c r="BL533" i="3"/>
  <c r="AZ533" i="3" s="1"/>
  <c r="AZ531" i="3"/>
  <c r="BL529" i="3"/>
  <c r="AZ529" i="3" s="1"/>
  <c r="AZ527" i="3"/>
  <c r="K5" i="4"/>
  <c r="B47" i="48" s="1"/>
  <c r="F25" i="39"/>
  <c r="H25" i="39"/>
  <c r="AB25" i="39" s="1"/>
  <c r="W23" i="39"/>
  <c r="F13" i="34"/>
  <c r="J13" i="34"/>
  <c r="H46" i="33"/>
  <c r="F46" i="33"/>
  <c r="F44" i="33"/>
  <c r="J14" i="33"/>
  <c r="F14" i="33"/>
  <c r="AC38" i="34"/>
  <c r="AB42" i="34"/>
  <c r="U40" i="40"/>
  <c r="U34" i="40"/>
  <c r="W8" i="40"/>
  <c r="S34" i="35"/>
  <c r="U31" i="36"/>
  <c r="U14" i="37"/>
  <c r="F39" i="37"/>
  <c r="H12" i="33"/>
  <c r="H23" i="35"/>
  <c r="J23" i="35"/>
  <c r="BL550" i="3"/>
  <c r="AZ550" i="3" s="1"/>
  <c r="AZ398" i="3"/>
  <c r="AZ405" i="3"/>
  <c r="AZ407" i="3"/>
  <c r="AZ410" i="3"/>
  <c r="AZ415" i="3"/>
  <c r="AZ420" i="3"/>
  <c r="AZ426" i="3"/>
  <c r="AZ431" i="3"/>
  <c r="AZ436" i="3"/>
  <c r="AZ448" i="3"/>
  <c r="AZ452" i="3"/>
  <c r="AZ461" i="3"/>
  <c r="AZ463" i="3"/>
  <c r="AZ468" i="3"/>
  <c r="AZ470" i="3"/>
  <c r="AZ479" i="3"/>
  <c r="AZ485" i="3"/>
  <c r="J12" i="36"/>
  <c r="H12" i="36"/>
  <c r="J24" i="36"/>
  <c r="H24" i="36"/>
  <c r="BA551" i="3"/>
  <c r="AZ475" i="3"/>
  <c r="F36" i="79"/>
  <c r="F1" i="79"/>
  <c r="AZ488" i="3"/>
  <c r="AZ216" i="3"/>
  <c r="AZ221" i="3"/>
  <c r="AZ226" i="3"/>
  <c r="AZ230" i="3"/>
  <c r="AZ242" i="3"/>
  <c r="AZ246" i="3"/>
  <c r="AZ258" i="3"/>
  <c r="AZ262" i="3"/>
  <c r="AZ267" i="3"/>
  <c r="BL15" i="3"/>
  <c r="AZ15" i="3" s="1"/>
  <c r="A15" i="62"/>
  <c r="B61" i="72" s="1"/>
  <c r="AZ298" i="3"/>
  <c r="AZ301" i="3"/>
  <c r="AZ122" i="3"/>
  <c r="AZ125" i="3"/>
  <c r="AZ22" i="3"/>
  <c r="AZ54" i="3"/>
  <c r="AZ57" i="3"/>
  <c r="AZ70" i="3"/>
  <c r="AZ92" i="3"/>
  <c r="AZ103" i="3"/>
  <c r="AZ277" i="3"/>
  <c r="AZ106" i="3"/>
  <c r="F3" i="35"/>
  <c r="J51" i="15"/>
  <c r="M100" i="43"/>
  <c r="I100" i="43"/>
  <c r="E100" i="43"/>
  <c r="D100" i="43"/>
  <c r="AB24" i="71"/>
  <c r="S25" i="71"/>
  <c r="X30" i="71"/>
  <c r="X31" i="71"/>
  <c r="X32" i="71"/>
  <c r="AA6" i="71"/>
  <c r="AA7" i="71"/>
  <c r="AA36" i="71"/>
  <c r="AA34" i="71"/>
  <c r="V65" i="71"/>
  <c r="F64" i="71"/>
  <c r="F27" i="71"/>
  <c r="F28" i="71" s="1"/>
  <c r="F29" i="71" s="1"/>
  <c r="V29" i="71" s="1"/>
  <c r="AA27" i="71"/>
  <c r="AA28" i="71"/>
  <c r="AA30" i="71"/>
  <c r="AA29" i="71"/>
  <c r="Y6" i="71"/>
  <c r="Z6" i="71" s="1"/>
  <c r="Y7" i="71"/>
  <c r="Z7" i="71" s="1"/>
  <c r="Y36" i="71"/>
  <c r="Z36" i="71" s="1"/>
  <c r="Z12" i="43"/>
  <c r="Z10" i="43"/>
  <c r="AD12" i="43"/>
  <c r="AD10" i="43"/>
  <c r="AH12" i="43"/>
  <c r="AH10" i="43"/>
  <c r="Y18" i="71"/>
  <c r="Z18" i="71" s="1"/>
  <c r="AB18" i="71"/>
  <c r="Y15" i="71"/>
  <c r="Z15" i="71" s="1"/>
  <c r="X14" i="71"/>
  <c r="Y14" i="71"/>
  <c r="Z14" i="71" s="1"/>
  <c r="AA14" i="71"/>
  <c r="AB15" i="71"/>
  <c r="Y11" i="71"/>
  <c r="Z11" i="71" s="1"/>
  <c r="X6" i="71"/>
  <c r="X7" i="71"/>
  <c r="AB6" i="71"/>
  <c r="AB7" i="71"/>
  <c r="AF10" i="43"/>
  <c r="AC12" i="43"/>
  <c r="AC10" i="43"/>
  <c r="AG12" i="43"/>
  <c r="AG10" i="43"/>
  <c r="X21" i="71"/>
  <c r="Y21" i="71"/>
  <c r="Z21" i="71" s="1"/>
  <c r="AA19" i="71"/>
  <c r="X18" i="71"/>
  <c r="AA18" i="71"/>
  <c r="X15" i="71"/>
  <c r="AA15" i="71"/>
  <c r="X11" i="71"/>
  <c r="AA9" i="71"/>
  <c r="AB14" i="71"/>
  <c r="AA21" i="71"/>
  <c r="AB21" i="71"/>
  <c r="B21" i="71"/>
  <c r="C21" i="71"/>
  <c r="Y20" i="71"/>
  <c r="Z20" i="71" s="1"/>
  <c r="Y19" i="71"/>
  <c r="Z19" i="71" s="1"/>
  <c r="AA20" i="71"/>
  <c r="AB20" i="71"/>
  <c r="X19" i="71"/>
  <c r="AB12" i="71"/>
  <c r="X8" i="71"/>
  <c r="AB8" i="71"/>
  <c r="AB11" i="71"/>
  <c r="Y9" i="71"/>
  <c r="Z9" i="71" s="1"/>
  <c r="Y10" i="71"/>
  <c r="Z10" i="71" s="1"/>
  <c r="X12" i="71"/>
  <c r="AA12" i="71"/>
  <c r="AA8" i="71"/>
  <c r="AA10" i="71"/>
  <c r="AA11" i="71"/>
  <c r="X9" i="71"/>
  <c r="X10" i="71"/>
  <c r="AB9" i="71"/>
  <c r="AB10" i="71"/>
  <c r="Y8" i="71"/>
  <c r="Z8" i="71" s="1"/>
  <c r="AB27" i="39"/>
  <c r="W27" i="39"/>
  <c r="U25" i="39"/>
  <c r="S31" i="39"/>
  <c r="S29" i="39"/>
  <c r="S23" i="39"/>
  <c r="F95" i="39"/>
  <c r="G95" i="39" s="1"/>
  <c r="J21" i="39"/>
  <c r="H21" i="39"/>
  <c r="U21" i="39" s="1"/>
  <c r="H17" i="39"/>
  <c r="J17" i="39"/>
  <c r="F91" i="39"/>
  <c r="G91" i="39" s="1"/>
  <c r="F17" i="39"/>
  <c r="AA17" i="39" s="1"/>
  <c r="S15" i="39"/>
  <c r="C40" i="68"/>
  <c r="C21" i="68"/>
  <c r="C40" i="69"/>
  <c r="D51" i="43"/>
  <c r="D53" i="43"/>
  <c r="D48" i="43"/>
  <c r="D50" i="43"/>
  <c r="D54" i="43"/>
  <c r="W9" i="39"/>
  <c r="U9" i="39"/>
  <c r="W8" i="39"/>
  <c r="E11" i="43"/>
  <c r="E9" i="43"/>
  <c r="E10" i="43"/>
  <c r="E8" i="43"/>
  <c r="H52" i="43"/>
  <c r="H50" i="43"/>
  <c r="H56" i="43"/>
  <c r="H51" i="43"/>
  <c r="H48" i="43"/>
  <c r="H53" i="43"/>
  <c r="H55" i="43"/>
  <c r="H54" i="43"/>
  <c r="H49" i="43"/>
  <c r="P61" i="15"/>
  <c r="G17" i="43"/>
  <c r="C16" i="43" s="1"/>
  <c r="C5" i="43" s="1"/>
  <c r="C94" i="9"/>
  <c r="C92" i="9"/>
  <c r="F30" i="69"/>
  <c r="F48" i="69" s="1"/>
  <c r="M18" i="15"/>
  <c r="F52" i="9"/>
  <c r="F54" i="9"/>
  <c r="F32" i="15"/>
  <c r="F60" i="15" s="1"/>
  <c r="F32" i="67"/>
  <c r="F60" i="67" s="1"/>
  <c r="F28" i="67"/>
  <c r="C28" i="67" s="1"/>
  <c r="C36" i="11"/>
  <c r="C30" i="11"/>
  <c r="D68" i="9"/>
  <c r="F28" i="15"/>
  <c r="C28" i="15" s="1"/>
  <c r="C48" i="69"/>
  <c r="M18" i="67"/>
  <c r="F31" i="12"/>
  <c r="C31" i="12" s="1"/>
  <c r="F30" i="68"/>
  <c r="F53" i="9"/>
  <c r="C21" i="69"/>
  <c r="D22" i="67"/>
  <c r="C36" i="69"/>
  <c r="H16" i="1"/>
  <c r="E28" i="6"/>
  <c r="K14" i="1" s="1"/>
  <c r="G30" i="6"/>
  <c r="G31" i="6" s="1"/>
  <c r="T8" i="1"/>
  <c r="E102" i="43"/>
  <c r="E104" i="43"/>
  <c r="E105" i="43"/>
  <c r="E107" i="43"/>
  <c r="E109" i="43"/>
  <c r="M109" i="43"/>
  <c r="M107" i="43"/>
  <c r="M105" i="4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E500" i="3"/>
  <c r="E566" i="3"/>
  <c r="E374" i="3"/>
  <c r="E459" i="3"/>
  <c r="E416" i="3"/>
  <c r="E398" i="3"/>
  <c r="E487" i="3"/>
  <c r="E464" i="3"/>
  <c r="E421" i="3"/>
  <c r="E552" i="3"/>
  <c r="E542" i="3"/>
  <c r="AD6" i="3"/>
  <c r="E312" i="3"/>
  <c r="E141" i="3"/>
  <c r="E167" i="3"/>
  <c r="E212" i="3"/>
  <c r="E149" i="3"/>
  <c r="M104" i="43"/>
  <c r="E122" i="3"/>
  <c r="E61" i="3"/>
  <c r="E382" i="3"/>
  <c r="E397" i="3"/>
  <c r="E353" i="3"/>
  <c r="E495" i="3"/>
  <c r="AN6" i="3"/>
  <c r="E586" i="3"/>
  <c r="E402" i="3"/>
  <c r="E350" i="3"/>
  <c r="E303" i="3"/>
  <c r="E301" i="3"/>
  <c r="E159" i="3"/>
  <c r="E134"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E385" i="3"/>
  <c r="AI6" i="3"/>
  <c r="E423" i="3"/>
  <c r="E263" i="3"/>
  <c r="E191" i="3"/>
  <c r="E135" i="3"/>
  <c r="E181" i="3"/>
  <c r="E15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M103" i="43"/>
  <c r="M106" i="43"/>
  <c r="M102" i="43"/>
  <c r="E103" i="43"/>
  <c r="E106" i="43"/>
  <c r="F28" i="12"/>
  <c r="C29" i="12" s="1"/>
  <c r="D28" i="12" s="1"/>
  <c r="F27" i="11"/>
  <c r="C47" i="11" s="1"/>
  <c r="D45" i="11" s="1"/>
  <c r="BL5" i="3"/>
  <c r="E269" i="3"/>
  <c r="E228" i="3"/>
  <c r="E148" i="3"/>
  <c r="E188" i="3"/>
  <c r="E236" i="3"/>
  <c r="E99" i="3"/>
  <c r="E156" i="3"/>
  <c r="E136" i="3"/>
  <c r="E196" i="3"/>
  <c r="E262" i="3"/>
  <c r="E244" i="3"/>
  <c r="E296" i="3"/>
  <c r="E368" i="3"/>
  <c r="E306" i="3"/>
  <c r="E453" i="3"/>
  <c r="E434" i="3"/>
  <c r="E549" i="3"/>
  <c r="AK6" i="3"/>
  <c r="E536" i="3"/>
  <c r="E16" i="3"/>
  <c r="I6" i="3"/>
  <c r="E511" i="3"/>
  <c r="E568" i="3"/>
  <c r="E314"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F27" i="6"/>
  <c r="E51" i="40"/>
  <c r="E56" i="39"/>
  <c r="E16" i="6"/>
  <c r="D19" i="12"/>
  <c r="C19" i="12" s="1"/>
  <c r="F27" i="68"/>
  <c r="F45" i="68" s="1"/>
  <c r="P7" i="1"/>
  <c r="E61" i="39"/>
  <c r="E66" i="39" s="1"/>
  <c r="E56" i="40"/>
  <c r="B113" i="43"/>
  <c r="G101" i="43"/>
  <c r="C101" i="43"/>
  <c r="J101" i="43"/>
  <c r="N104" i="46"/>
  <c r="L101" i="43"/>
  <c r="H101" i="43"/>
  <c r="G22"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P11" i="1"/>
  <c r="O12" i="1"/>
  <c r="P12" i="1" s="1"/>
  <c r="O9" i="1"/>
  <c r="P9" i="1" s="1"/>
  <c r="O8" i="1"/>
  <c r="T9" i="1"/>
  <c r="AQ9" i="1"/>
  <c r="H75" i="43"/>
  <c r="D12" i="52"/>
  <c r="D127" i="9"/>
  <c r="D13" i="52" s="1"/>
  <c r="AA5" i="71"/>
  <c r="AB5" i="71"/>
  <c r="X5" i="71"/>
  <c r="Y5" i="71"/>
  <c r="Z5" i="71" s="1"/>
  <c r="E70" i="39"/>
  <c r="D5" i="43"/>
  <c r="F70" i="39"/>
  <c r="G68" i="39"/>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36" i="68"/>
  <c r="B10" i="70"/>
  <c r="Q71" i="15"/>
  <c r="K1" i="73"/>
  <c r="B20" i="31"/>
  <c r="B21" i="31" s="1"/>
  <c r="I1" i="73"/>
  <c r="B39" i="1" s="1"/>
  <c r="B12" i="70"/>
  <c r="J53" i="67"/>
  <c r="J57" i="67"/>
  <c r="J55" i="67" s="1"/>
  <c r="J58" i="67" s="1"/>
  <c r="Q50" i="67" s="1"/>
  <c r="L56" i="67"/>
  <c r="I54" i="67"/>
  <c r="B7" i="70"/>
  <c r="F69" i="67"/>
  <c r="B11" i="70"/>
  <c r="B8" i="70"/>
  <c r="F66" i="15"/>
  <c r="F70" i="67"/>
  <c r="C27" i="67"/>
  <c r="F65" i="15"/>
  <c r="B9" i="70"/>
  <c r="N59" i="67"/>
  <c r="L59" i="67"/>
  <c r="L58" i="67"/>
  <c r="M59" i="67"/>
  <c r="B13" i="70"/>
  <c r="M7" i="67"/>
  <c r="J6" i="67" s="1"/>
  <c r="F50" i="67"/>
  <c r="F68" i="67"/>
  <c r="F64" i="67"/>
  <c r="F68" i="15"/>
  <c r="F38" i="67"/>
  <c r="F13" i="15"/>
  <c r="L48" i="15"/>
  <c r="F8" i="15"/>
  <c r="C76" i="67"/>
  <c r="L47" i="15"/>
  <c r="F8" i="67"/>
  <c r="F6" i="15"/>
  <c r="M26" i="15"/>
  <c r="M28" i="15"/>
  <c r="F9" i="67"/>
  <c r="F43" i="15"/>
  <c r="G1" i="73"/>
  <c r="F37" i="67"/>
  <c r="M8" i="15"/>
  <c r="F26" i="15"/>
  <c r="M29" i="15"/>
  <c r="F36" i="15"/>
  <c r="M27" i="67"/>
  <c r="M24" i="67"/>
  <c r="M9" i="15"/>
  <c r="F16" i="67"/>
  <c r="M24" i="15"/>
  <c r="F43" i="67"/>
  <c r="C16" i="15"/>
  <c r="C29" i="69" l="1"/>
  <c r="D27" i="69" s="1"/>
  <c r="F45" i="69"/>
  <c r="F71" i="15"/>
  <c r="C6" i="67"/>
  <c r="F51" i="67"/>
  <c r="C49" i="67" s="1"/>
  <c r="C27" i="15"/>
  <c r="F71" i="67"/>
  <c r="L59" i="15"/>
  <c r="Q61" i="15" s="1"/>
  <c r="L58" i="15"/>
  <c r="Q60" i="15" s="1"/>
  <c r="N59" i="15"/>
  <c r="M59" i="15"/>
  <c r="Q71" i="67"/>
  <c r="F66" i="67"/>
  <c r="F64" i="15"/>
  <c r="F51" i="15"/>
  <c r="F65" i="67"/>
  <c r="J57" i="15"/>
  <c r="J55" i="15" s="1"/>
  <c r="J58" i="15" s="1"/>
  <c r="Q50" i="15" s="1"/>
  <c r="J53" i="15"/>
  <c r="L56" i="15" s="1"/>
  <c r="I54" i="15"/>
  <c r="K15" i="1"/>
  <c r="K16" i="1" s="1"/>
  <c r="E30" i="6"/>
  <c r="F7" i="36"/>
  <c r="J7" i="37"/>
  <c r="H7" i="36"/>
  <c r="H7" i="34"/>
  <c r="F7" i="34"/>
  <c r="C20" i="71"/>
  <c r="D21" i="71"/>
  <c r="U21" i="71" s="1"/>
  <c r="T21" i="71"/>
  <c r="AB24" i="36"/>
  <c r="U24" i="36"/>
  <c r="U12" i="36"/>
  <c r="AB12" i="36"/>
  <c r="AC23" i="35"/>
  <c r="W23" i="35"/>
  <c r="AB12" i="33"/>
  <c r="U12" i="33"/>
  <c r="S14" i="33"/>
  <c r="AA14" i="33"/>
  <c r="S44" i="33"/>
  <c r="AA44" i="33"/>
  <c r="U46" i="33"/>
  <c r="AB46" i="33"/>
  <c r="S13" i="34"/>
  <c r="AA13" i="34"/>
  <c r="F30" i="6"/>
  <c r="F31" i="6" s="1"/>
  <c r="W9" i="34"/>
  <c r="AC9" i="34"/>
  <c r="AA28" i="33"/>
  <c r="S28" i="33"/>
  <c r="B20" i="71"/>
  <c r="B19" i="71" s="1"/>
  <c r="B18" i="71" s="1"/>
  <c r="B17" i="71" s="1"/>
  <c r="S21" i="71"/>
  <c r="F63" i="71"/>
  <c r="Q64" i="71"/>
  <c r="AZ551" i="3"/>
  <c r="AZ5" i="3" s="1"/>
  <c r="BA5" i="3"/>
  <c r="E27" i="6" s="1"/>
  <c r="AC24" i="36"/>
  <c r="W24" i="36"/>
  <c r="AC12" i="36"/>
  <c r="W12" i="36"/>
  <c r="U23" i="35"/>
  <c r="AB23" i="35"/>
  <c r="AA39" i="37"/>
  <c r="S39" i="37"/>
  <c r="AC14" i="33"/>
  <c r="W14" i="33"/>
  <c r="S46" i="33"/>
  <c r="AA46" i="33"/>
  <c r="W13" i="34"/>
  <c r="AC13" i="34"/>
  <c r="AA25" i="39"/>
  <c r="S25" i="39"/>
  <c r="E518" i="3"/>
  <c r="E245" i="3"/>
  <c r="E89" i="3"/>
  <c r="E253" i="3"/>
  <c r="E286" i="3"/>
  <c r="E499" i="3"/>
  <c r="E502" i="3"/>
  <c r="E466" i="3"/>
  <c r="E430" i="3"/>
  <c r="E255" i="3"/>
  <c r="AP6" i="3"/>
  <c r="E13" i="3"/>
  <c r="E494" i="3"/>
  <c r="E452" i="3"/>
  <c r="E470" i="3"/>
  <c r="E420" i="3"/>
  <c r="E26" i="3"/>
  <c r="E104" i="3"/>
  <c r="E41" i="3"/>
  <c r="E115" i="3"/>
  <c r="E198" i="3"/>
  <c r="E139" i="3"/>
  <c r="E225" i="3"/>
  <c r="E281" i="3"/>
  <c r="E243" i="3"/>
  <c r="E332" i="3"/>
  <c r="E391" i="3"/>
  <c r="E356" i="3"/>
  <c r="AL6" i="3"/>
  <c r="E42" i="3"/>
  <c r="E94" i="3"/>
  <c r="E488" i="3"/>
  <c r="E473" i="3"/>
  <c r="E15" i="3"/>
  <c r="E455" i="3"/>
  <c r="E79" i="3"/>
  <c r="E38" i="3"/>
  <c r="E100" i="3"/>
  <c r="E170" i="3"/>
  <c r="E137" i="3"/>
  <c r="E194" i="3"/>
  <c r="E234" i="3"/>
  <c r="E219" i="3"/>
  <c r="E299" i="3"/>
  <c r="E339" i="3"/>
  <c r="E325" i="3"/>
  <c r="E392" i="3"/>
  <c r="AQ6" i="3"/>
  <c r="E52" i="3"/>
  <c r="E36" i="3"/>
  <c r="E112" i="3"/>
  <c r="E123" i="3"/>
  <c r="E147" i="3"/>
  <c r="E250" i="3"/>
  <c r="E233" i="3"/>
  <c r="E284" i="3"/>
  <c r="E355" i="3"/>
  <c r="E341" i="3"/>
  <c r="E381" i="3"/>
  <c r="Y6" i="3"/>
  <c r="E68" i="3"/>
  <c r="E51" i="3"/>
  <c r="E63" i="3"/>
  <c r="E19" i="3"/>
  <c r="E81" i="3"/>
  <c r="E154" i="3"/>
  <c r="E118" i="3"/>
  <c r="E179" i="3"/>
  <c r="E264" i="3"/>
  <c r="E222" i="3"/>
  <c r="E283" i="3"/>
  <c r="E323" i="3"/>
  <c r="E309" i="3"/>
  <c r="E373" i="3"/>
  <c r="E513" i="3"/>
  <c r="E82" i="3"/>
  <c r="E21" i="3"/>
  <c r="E578" i="3"/>
  <c r="E290" i="3"/>
  <c r="E77" i="3"/>
  <c r="E199" i="3"/>
  <c r="E575" i="3"/>
  <c r="R6" i="3"/>
  <c r="E442" i="3"/>
  <c r="E541" i="3"/>
  <c r="E449" i="3"/>
  <c r="I3" i="6"/>
  <c r="J6" i="3"/>
  <c r="E498" i="3"/>
  <c r="E419" i="3"/>
  <c r="E483" i="3"/>
  <c r="E401" i="3"/>
  <c r="E463" i="3"/>
  <c r="E40" i="3"/>
  <c r="E25" i="3"/>
  <c r="E108" i="3"/>
  <c r="E178" i="3"/>
  <c r="E119" i="3"/>
  <c r="E202" i="3"/>
  <c r="E242" i="3"/>
  <c r="E226" i="3"/>
  <c r="E276" i="3"/>
  <c r="E346" i="3"/>
  <c r="E333" i="3"/>
  <c r="E372" i="3"/>
  <c r="L6" i="3"/>
  <c r="E60" i="3"/>
  <c r="E43" i="3"/>
  <c r="E428" i="3"/>
  <c r="E482" i="3"/>
  <c r="E412" i="3"/>
  <c r="E18" i="3"/>
  <c r="E96" i="3"/>
  <c r="E78" i="3"/>
  <c r="E129" i="3"/>
  <c r="E190" i="3"/>
  <c r="E174" i="3"/>
  <c r="E220" i="3"/>
  <c r="E275" i="3"/>
  <c r="E235" i="3"/>
  <c r="E324" i="3"/>
  <c r="E383" i="3"/>
  <c r="E342" i="3"/>
  <c r="E522" i="3"/>
  <c r="E35" i="3"/>
  <c r="E86" i="3"/>
  <c r="E34" i="3"/>
  <c r="E49" i="3"/>
  <c r="E206"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B34" i="72"/>
  <c r="D17" i="53"/>
  <c r="B36" i="72" s="1"/>
  <c r="E8" i="71"/>
  <c r="E7" i="71" s="1"/>
  <c r="E6" i="71" s="1"/>
  <c r="E5" i="71" s="1"/>
  <c r="V9" i="71"/>
  <c r="AB9" i="34"/>
  <c r="U9" i="34"/>
  <c r="AC28" i="33"/>
  <c r="W28" i="33"/>
  <c r="AB28" i="33"/>
  <c r="U28" i="33"/>
  <c r="AB21" i="39"/>
  <c r="AC21" i="39"/>
  <c r="W21" i="39"/>
  <c r="AC17" i="39"/>
  <c r="W17" i="39"/>
  <c r="S17" i="39"/>
  <c r="AB17" i="39"/>
  <c r="U17" i="39"/>
  <c r="E48" i="43"/>
  <c r="B46" i="43" s="1"/>
  <c r="C24" i="43" s="1"/>
  <c r="D22" i="43"/>
  <c r="C30" i="69"/>
  <c r="F48" i="68"/>
  <c r="C48" i="68"/>
  <c r="C30" i="68"/>
  <c r="C29" i="11"/>
  <c r="D27" i="11" s="1"/>
  <c r="M14" i="1"/>
  <c r="C34" i="69"/>
  <c r="C29" i="68"/>
  <c r="D27" i="68" s="1"/>
  <c r="H6" i="3"/>
  <c r="C47" i="68"/>
  <c r="D45" i="68" s="1"/>
  <c r="P8" i="1"/>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8" i="43"/>
  <c r="E118" i="43" s="1"/>
  <c r="F118" i="43" s="1"/>
  <c r="D117" i="43"/>
  <c r="E117" i="43" s="1"/>
  <c r="F117" i="43" s="1"/>
  <c r="G117" i="43" s="1"/>
  <c r="H117" i="43" s="1"/>
  <c r="I118" i="43"/>
  <c r="J118" i="43" s="1"/>
  <c r="K118" i="43" s="1"/>
  <c r="L118" i="43" s="1"/>
  <c r="M118" i="43" s="1"/>
  <c r="D115" i="43"/>
  <c r="E115" i="43" s="1"/>
  <c r="F115" i="43" s="1"/>
  <c r="G115" i="43" s="1"/>
  <c r="H115" i="43" s="1"/>
  <c r="F104" i="43"/>
  <c r="F102" i="43"/>
  <c r="F105" i="43"/>
  <c r="F106" i="43"/>
  <c r="F103" i="43"/>
  <c r="F109" i="43"/>
  <c r="F107" i="43"/>
  <c r="H107" i="43"/>
  <c r="H106" i="43"/>
  <c r="H105" i="43"/>
  <c r="H102" i="43"/>
  <c r="H103" i="43"/>
  <c r="H104" i="43"/>
  <c r="H109" i="43"/>
  <c r="N102" i="43"/>
  <c r="N105" i="43"/>
  <c r="N104" i="43"/>
  <c r="N103" i="43"/>
  <c r="N107" i="43"/>
  <c r="N109" i="43"/>
  <c r="N106" i="43"/>
  <c r="K103" i="43"/>
  <c r="K102" i="43"/>
  <c r="K105" i="43"/>
  <c r="K107" i="43"/>
  <c r="K106" i="43"/>
  <c r="K109" i="43"/>
  <c r="K104" i="43"/>
  <c r="L102" i="43"/>
  <c r="L105" i="43"/>
  <c r="L104" i="43"/>
  <c r="L109" i="43"/>
  <c r="L106" i="43"/>
  <c r="L107" i="43"/>
  <c r="L103" i="43"/>
  <c r="J107" i="43"/>
  <c r="J102" i="43"/>
  <c r="J104" i="43"/>
  <c r="J105" i="43"/>
  <c r="J103" i="43"/>
  <c r="J109" i="43"/>
  <c r="J106" i="43"/>
  <c r="G107" i="43"/>
  <c r="G104" i="43"/>
  <c r="G106" i="43"/>
  <c r="G109" i="43"/>
  <c r="G105" i="43"/>
  <c r="G103" i="43"/>
  <c r="G102" i="43"/>
  <c r="J10" i="40"/>
  <c r="AC10" i="40" s="1"/>
  <c r="H10" i="39"/>
  <c r="AB10" i="39" s="1"/>
  <c r="F10" i="40"/>
  <c r="S10" i="40" s="1"/>
  <c r="J10" i="39"/>
  <c r="AC10" i="39" s="1"/>
  <c r="H10" i="40"/>
  <c r="U10" i="40" s="1"/>
  <c r="F59" i="67"/>
  <c r="G70" i="39"/>
  <c r="H68" i="39"/>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P25" i="43"/>
  <c r="P23" i="43"/>
  <c r="C32" i="67"/>
  <c r="Q60" i="67"/>
  <c r="Q73" i="67"/>
  <c r="M28" i="43"/>
  <c r="G20" i="43" s="1"/>
  <c r="N28" i="43"/>
  <c r="O28" i="43"/>
  <c r="P28" i="43"/>
  <c r="M11" i="67"/>
  <c r="J10" i="67" s="1"/>
  <c r="J5" i="67" s="1"/>
  <c r="F11" i="15"/>
  <c r="M11" i="15"/>
  <c r="F11" i="67"/>
  <c r="J18" i="67"/>
  <c r="F1" i="67"/>
  <c r="Q52" i="67"/>
  <c r="Q61" i="67"/>
  <c r="Q74" i="67"/>
  <c r="C16" i="67"/>
  <c r="F7" i="15"/>
  <c r="Q74" i="15" l="1"/>
  <c r="F1" i="15"/>
  <c r="Q73" i="15"/>
  <c r="W10" i="40"/>
  <c r="Q52" i="15"/>
  <c r="F50" i="15"/>
  <c r="C49" i="15" s="1"/>
  <c r="M7" i="15"/>
  <c r="J6" i="15" s="1"/>
  <c r="J18" i="15" s="1"/>
  <c r="C6" i="15"/>
  <c r="C32" i="15" s="1"/>
  <c r="E3" i="6"/>
  <c r="AY6" i="3"/>
  <c r="E41" i="43"/>
  <c r="C41" i="43" s="1"/>
  <c r="C20" i="43"/>
  <c r="B71" i="39"/>
  <c r="Q63" i="71"/>
  <c r="Q62" i="71"/>
  <c r="B16" i="71"/>
  <c r="B15" i="71" s="1"/>
  <c r="B14" i="71" s="1"/>
  <c r="B13" i="71" s="1"/>
  <c r="S17" i="71"/>
  <c r="C19" i="71"/>
  <c r="D20" i="71"/>
  <c r="E6" i="3"/>
  <c r="AB10" i="40"/>
  <c r="M16" i="1"/>
  <c r="O14" i="1"/>
  <c r="C35" i="69"/>
  <c r="C38" i="69"/>
  <c r="W10" i="39"/>
  <c r="AA10" i="40"/>
  <c r="E31" i="6"/>
  <c r="B4" i="79" s="1"/>
  <c r="G6" i="79" s="1"/>
  <c r="K21" i="6"/>
  <c r="M21" i="6" s="1"/>
  <c r="I21" i="6" s="1"/>
  <c r="S21" i="6" s="1"/>
  <c r="K22" i="6"/>
  <c r="M22" i="6" s="1"/>
  <c r="I22" i="6" s="1"/>
  <c r="S22" i="6" s="1"/>
  <c r="K19" i="6"/>
  <c r="S6" i="1" s="1"/>
  <c r="K25" i="6"/>
  <c r="M25" i="6" s="1"/>
  <c r="I25" i="6" s="1"/>
  <c r="S25" i="6" s="1"/>
  <c r="K20" i="6"/>
  <c r="K24" i="6"/>
  <c r="M24" i="6" s="1"/>
  <c r="I24" i="6" s="1"/>
  <c r="S24" i="6" s="1"/>
  <c r="K26" i="6"/>
  <c r="M26" i="6" s="1"/>
  <c r="I26" i="6" s="1"/>
  <c r="S26" i="6" s="1"/>
  <c r="K23" i="6"/>
  <c r="M23" i="6" s="1"/>
  <c r="I23" i="6" s="1"/>
  <c r="S23" i="6" s="1"/>
  <c r="U10" i="39"/>
  <c r="C115" i="43"/>
  <c r="D113" i="43" s="1"/>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9" i="67" s="1"/>
  <c r="J24" i="67"/>
  <c r="C53" i="67"/>
  <c r="C48" i="67" s="1"/>
  <c r="C10" i="67"/>
  <c r="C5" i="67" s="1"/>
  <c r="C53" i="15"/>
  <c r="C10" i="15"/>
  <c r="C5" i="15" s="1"/>
  <c r="F25" i="12"/>
  <c r="F22" i="69"/>
  <c r="F41" i="69" s="1"/>
  <c r="F24" i="67"/>
  <c r="C24" i="67" s="1"/>
  <c r="F22" i="11"/>
  <c r="F22" i="68"/>
  <c r="F24" i="15"/>
  <c r="C24" i="15" s="1"/>
  <c r="AE6" i="1"/>
  <c r="C17" i="15"/>
  <c r="F41" i="15"/>
  <c r="C48" i="15" l="1"/>
  <c r="C66" i="15" s="1"/>
  <c r="J10" i="15"/>
  <c r="J5" i="15" s="1"/>
  <c r="D19" i="71"/>
  <c r="C18" i="71"/>
  <c r="B12" i="71"/>
  <c r="B11" i="71" s="1"/>
  <c r="B10" i="71" s="1"/>
  <c r="B9" i="71" s="1"/>
  <c r="S13" i="71"/>
  <c r="D3" i="34"/>
  <c r="C17" i="4"/>
  <c r="B4" i="52" s="1"/>
  <c r="B43" i="72" s="1"/>
  <c r="D3" i="21"/>
  <c r="D3" i="33"/>
  <c r="D14" i="12"/>
  <c r="L18" i="9"/>
  <c r="D3" i="37"/>
  <c r="M18" i="9"/>
  <c r="B118" i="9" s="1"/>
  <c r="B14" i="74" s="1"/>
  <c r="B1" i="74" s="1"/>
  <c r="D19" i="11"/>
  <c r="C19" i="11" s="1"/>
  <c r="C20" i="11" s="1"/>
  <c r="C28" i="11" s="1"/>
  <c r="C27" i="11" s="1"/>
  <c r="E6" i="6"/>
  <c r="D37" i="11"/>
  <c r="C37" i="11" s="1"/>
  <c r="E6" i="70"/>
  <c r="E2" i="70" s="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67" i="3"/>
  <c r="AY464" i="3"/>
  <c r="AY454" i="3"/>
  <c r="AY422" i="3"/>
  <c r="AY435" i="3"/>
  <c r="AY403" i="3"/>
  <c r="AY525" i="3"/>
  <c r="AY176" i="3"/>
  <c r="AY188" i="3"/>
  <c r="AY297" i="3"/>
  <c r="AY335" i="3"/>
  <c r="AY409" i="3"/>
  <c r="AY228" i="3"/>
  <c r="AY465" i="3"/>
  <c r="BK6" i="3"/>
  <c r="AY108" i="3"/>
  <c r="AY28" i="3"/>
  <c r="AY138" i="3"/>
  <c r="AY294" i="3"/>
  <c r="AY214" i="3"/>
  <c r="AY554" i="3"/>
  <c r="AY24" i="3"/>
  <c r="AY290" i="3"/>
  <c r="AY349" i="3"/>
  <c r="AY475" i="3"/>
  <c r="AY462" i="3"/>
  <c r="AY398" i="3"/>
  <c r="BQ6"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23" i="3"/>
  <c r="AY59" i="3"/>
  <c r="AY58" i="3"/>
  <c r="AY371" i="3"/>
  <c r="AY428" i="3"/>
  <c r="AY245" i="3"/>
  <c r="AY342" i="3"/>
  <c r="AY513" i="3"/>
  <c r="AY553" i="3"/>
  <c r="AY60" i="3"/>
  <c r="AY170" i="3"/>
  <c r="AY299" i="3"/>
  <c r="AY246" i="3"/>
  <c r="AY357" i="3"/>
  <c r="AY41" i="3"/>
  <c r="AY114" i="3"/>
  <c r="AY377" i="3"/>
  <c r="AY491" i="3"/>
  <c r="AY457" i="3"/>
  <c r="AY414" i="3"/>
  <c r="AY581"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2" i="3"/>
  <c r="AY432" i="3"/>
  <c r="AY15" i="3"/>
  <c r="AY567" i="3"/>
  <c r="AY477" i="3"/>
  <c r="AY400" i="3"/>
  <c r="AY56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83" i="3"/>
  <c r="AY480" i="3"/>
  <c r="AY449" i="3"/>
  <c r="AY438" i="3"/>
  <c r="AY406" i="3"/>
  <c r="AY419" i="3"/>
  <c r="AY503" i="3"/>
  <c r="AY66" i="3"/>
  <c r="AY115" i="3"/>
  <c r="AY276" i="3"/>
  <c r="AY225" i="3"/>
  <c r="AY470" i="3"/>
  <c r="AY180" i="3"/>
  <c r="AY358" i="3"/>
  <c r="AY433" i="3"/>
  <c r="AY541" i="3"/>
  <c r="AY45" i="3"/>
  <c r="AY201" i="3"/>
  <c r="AY118" i="3"/>
  <c r="AY231" i="3"/>
  <c r="AY381" i="3"/>
  <c r="AY104" i="3"/>
  <c r="AY177" i="3"/>
  <c r="AY210" i="3"/>
  <c r="AY332" i="3"/>
  <c r="AY472" i="3"/>
  <c r="AY430" i="3"/>
  <c r="AY411"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83" i="3"/>
  <c r="AY155" i="3"/>
  <c r="AY131" i="3"/>
  <c r="AY268" i="3"/>
  <c r="AY318" i="3"/>
  <c r="AY106" i="3"/>
  <c r="AY395" i="3"/>
  <c r="AY452" i="3"/>
  <c r="AY569" i="3"/>
  <c r="AY77" i="3"/>
  <c r="AY206" i="3"/>
  <c r="AY149" i="3"/>
  <c r="AY263" i="3"/>
  <c r="AY392" i="3"/>
  <c r="BJ6" i="3"/>
  <c r="AY197" i="3"/>
  <c r="AY274" i="3"/>
  <c r="AY317" i="3"/>
  <c r="AY488" i="3"/>
  <c r="AY446" i="3"/>
  <c r="AY427"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74" i="3"/>
  <c r="AY413" i="3"/>
  <c r="AY583" i="3"/>
  <c r="AY307" i="3"/>
  <c r="AY443" i="3"/>
  <c r="AY521" i="3"/>
  <c r="BT6" i="3"/>
  <c r="F69" i="15"/>
  <c r="H26" i="6"/>
  <c r="M20" i="6"/>
  <c r="I20" i="6" s="1"/>
  <c r="S7" i="1"/>
  <c r="AQ6" i="1"/>
  <c r="T6" i="1"/>
  <c r="AR6" i="1"/>
  <c r="C34" i="68"/>
  <c r="N16" i="1"/>
  <c r="L16" i="1"/>
  <c r="C34" i="11"/>
  <c r="P14" i="1"/>
  <c r="P16" i="1" s="1"/>
  <c r="C11" i="12" s="1"/>
  <c r="O16" i="1"/>
  <c r="H21" i="6"/>
  <c r="C19" i="68"/>
  <c r="C24" i="68" s="1"/>
  <c r="H24" i="6"/>
  <c r="H25" i="6"/>
  <c r="H23" i="6"/>
  <c r="M19" i="6"/>
  <c r="K27" i="6"/>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4" i="11"/>
  <c r="C25" i="11"/>
  <c r="C26" i="11"/>
  <c r="D22" i="11" s="1"/>
  <c r="C38" i="67"/>
  <c r="C38" i="15"/>
  <c r="C66" i="67"/>
  <c r="C60" i="67"/>
  <c r="C14" i="67"/>
  <c r="C17" i="67"/>
  <c r="C14" i="15"/>
  <c r="C60" i="15" l="1"/>
  <c r="C15" i="67"/>
  <c r="C18" i="67"/>
  <c r="S16" i="1"/>
  <c r="J26" i="15"/>
  <c r="J29" i="15" s="1"/>
  <c r="J24" i="15"/>
  <c r="M19" i="9"/>
  <c r="C118" i="9" s="1"/>
  <c r="C14" i="74" s="1"/>
  <c r="B2" i="74" s="1"/>
  <c r="D26" i="6"/>
  <c r="R26" i="6" s="1"/>
  <c r="D8" i="6"/>
  <c r="D14" i="6"/>
  <c r="D22" i="6"/>
  <c r="D6" i="6"/>
  <c r="D10" i="6"/>
  <c r="D29" i="6"/>
  <c r="D21" i="6"/>
  <c r="D5" i="6"/>
  <c r="D11" i="6"/>
  <c r="D28" i="6"/>
  <c r="D30" i="6" s="1"/>
  <c r="H22" i="6"/>
  <c r="D19" i="6"/>
  <c r="C18" i="4"/>
  <c r="D23" i="6"/>
  <c r="D25" i="6"/>
  <c r="R25" i="6" s="1"/>
  <c r="D24" i="6"/>
  <c r="R24" i="6" s="1"/>
  <c r="D9" i="6"/>
  <c r="L19" i="9"/>
  <c r="D15" i="6"/>
  <c r="D20" i="6"/>
  <c r="D12" i="6"/>
  <c r="D13" i="6"/>
  <c r="E61" i="40"/>
  <c r="D10" i="11"/>
  <c r="C10" i="11" s="1"/>
  <c r="D10" i="68"/>
  <c r="D20" i="12"/>
  <c r="C20" i="12" s="1"/>
  <c r="D10" i="69"/>
  <c r="C7" i="74"/>
  <c r="C8" i="74"/>
  <c r="D18" i="71"/>
  <c r="C17" i="71"/>
  <c r="R23" i="6"/>
  <c r="R21" i="6"/>
  <c r="D17" i="12"/>
  <c r="C17" i="12" s="1"/>
  <c r="C14" i="12"/>
  <c r="B8" i="71"/>
  <c r="B7" i="71" s="1"/>
  <c r="B6" i="71" s="1"/>
  <c r="B5" i="71" s="1"/>
  <c r="S9" i="71"/>
  <c r="C18" i="15"/>
  <c r="C15" i="15"/>
  <c r="T7" i="1"/>
  <c r="T16" i="1" s="1"/>
  <c r="AR7" i="1"/>
  <c r="AQ7" i="1"/>
  <c r="S20" i="6"/>
  <c r="H20" i="6"/>
  <c r="R20" i="6" s="1"/>
  <c r="R7" i="1" s="1"/>
  <c r="C35" i="11"/>
  <c r="C38" i="11"/>
  <c r="F50" i="11"/>
  <c r="F50" i="68"/>
  <c r="F50" i="69"/>
  <c r="C15" i="12"/>
  <c r="C12" i="12"/>
  <c r="C38" i="68"/>
  <c r="C35" i="68"/>
  <c r="M27" i="6"/>
  <c r="I19"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1" i="11" s="1"/>
  <c r="F35" i="67"/>
  <c r="M21" i="67"/>
  <c r="C19" i="67" l="1"/>
  <c r="C20" i="67" s="1"/>
  <c r="C26" i="67" s="1"/>
  <c r="F63" i="67"/>
  <c r="C62" i="67" s="1"/>
  <c r="C34" i="67"/>
  <c r="J20" i="67"/>
  <c r="C16" i="71"/>
  <c r="T17" i="71"/>
  <c r="D17" i="71"/>
  <c r="U17" i="71" s="1"/>
  <c r="C10" i="69"/>
  <c r="C8" i="69" s="1"/>
  <c r="C5" i="69" s="1"/>
  <c r="D19" i="69"/>
  <c r="C10" i="68"/>
  <c r="D19" i="68"/>
  <c r="D37" i="68" s="1"/>
  <c r="C37" i="68" s="1"/>
  <c r="C33" i="68" s="1"/>
  <c r="C39" i="68" s="1"/>
  <c r="A7" i="51"/>
  <c r="B7" i="72" s="1"/>
  <c r="A10" i="51"/>
  <c r="B9" i="72" s="1"/>
  <c r="C4" i="52"/>
  <c r="B45" i="72" s="1"/>
  <c r="R22" i="6"/>
  <c r="D16" i="6"/>
  <c r="D8" i="74"/>
  <c r="D7" i="74"/>
  <c r="D27" i="6"/>
  <c r="D31" i="6" s="1"/>
  <c r="C19" i="15"/>
  <c r="C20" i="15" s="1"/>
  <c r="C26" i="15" s="1"/>
  <c r="C16" i="12"/>
  <c r="C33" i="11"/>
  <c r="S19" i="6"/>
  <c r="S27" i="6" s="1"/>
  <c r="I27" i="6"/>
  <c r="H19" i="6"/>
  <c r="K70" i="39"/>
  <c r="L68" i="39"/>
  <c r="I63" i="40"/>
  <c r="H65" i="40"/>
  <c r="I58" i="21"/>
  <c r="J58" i="21" s="1"/>
  <c r="K58" i="21" s="1"/>
  <c r="L58" i="21" s="1"/>
  <c r="M58" i="21" s="1"/>
  <c r="N58" i="21" s="1"/>
  <c r="O58" i="21" s="1"/>
  <c r="H7" i="21" s="1"/>
  <c r="J7" i="21"/>
  <c r="F7" i="21"/>
  <c r="J48" i="35"/>
  <c r="Q48" i="15"/>
  <c r="C23" i="67" l="1"/>
  <c r="C29" i="67" s="1"/>
  <c r="B29" i="1"/>
  <c r="C8" i="68" s="1"/>
  <c r="C38" i="39"/>
  <c r="B5" i="79"/>
  <c r="D14" i="79" s="1"/>
  <c r="I6" i="6"/>
  <c r="C11" i="39" s="1"/>
  <c r="I5" i="6"/>
  <c r="C23" i="69"/>
  <c r="C19" i="69"/>
  <c r="C24" i="69" s="1"/>
  <c r="D37" i="69"/>
  <c r="C37" i="69" s="1"/>
  <c r="C33" i="69" s="1"/>
  <c r="C15" i="71"/>
  <c r="D16" i="71"/>
  <c r="C23" i="15"/>
  <c r="C29" i="15" s="1"/>
  <c r="C42" i="68"/>
  <c r="C39" i="11"/>
  <c r="C42" i="11"/>
  <c r="C46" i="68"/>
  <c r="C45" i="68" s="1"/>
  <c r="C43" i="68"/>
  <c r="H27" i="6"/>
  <c r="R19" i="6"/>
  <c r="L70" i="39"/>
  <c r="M68" i="39"/>
  <c r="U7" i="21"/>
  <c r="AB7" i="21"/>
  <c r="T48" i="21" s="1"/>
  <c r="G48" i="21" s="1"/>
  <c r="S7" i="21"/>
  <c r="AA7" i="21"/>
  <c r="R48" i="21" s="1"/>
  <c r="J63" i="40"/>
  <c r="I65" i="40"/>
  <c r="K48" i="35"/>
  <c r="L48" i="35" s="1"/>
  <c r="M48" i="35" s="1"/>
  <c r="N48" i="35" s="1"/>
  <c r="O48" i="35" s="1"/>
  <c r="H7" i="35" s="1"/>
  <c r="AC7" i="21"/>
  <c r="V48" i="21" s="1"/>
  <c r="I48" i="21" s="1"/>
  <c r="W7" i="21"/>
  <c r="C36" i="67" l="1"/>
  <c r="J59" i="67"/>
  <c r="J60" i="67" s="1"/>
  <c r="Q48" i="67" s="1"/>
  <c r="C57" i="67"/>
  <c r="Q49" i="67"/>
  <c r="J14" i="67"/>
  <c r="C13" i="67"/>
  <c r="C33" i="67"/>
  <c r="C31" i="67" s="1"/>
  <c r="J19" i="67"/>
  <c r="J17" i="67" s="1"/>
  <c r="C18" i="12"/>
  <c r="C21" i="12" s="1"/>
  <c r="C22" i="12" s="1"/>
  <c r="C30" i="12" s="1"/>
  <c r="C28" i="12" s="1"/>
  <c r="C42" i="69"/>
  <c r="C39" i="69"/>
  <c r="C43" i="69" s="1"/>
  <c r="C20" i="69"/>
  <c r="C14" i="71"/>
  <c r="D15" i="71"/>
  <c r="H11" i="39"/>
  <c r="J11" i="39"/>
  <c r="F11" i="39"/>
  <c r="H38" i="39"/>
  <c r="F38" i="39"/>
  <c r="J38" i="39"/>
  <c r="D13" i="79"/>
  <c r="D12" i="79" s="1"/>
  <c r="D11" i="79" s="1"/>
  <c r="C57" i="15"/>
  <c r="Q49" i="15"/>
  <c r="J14" i="15"/>
  <c r="C36" i="15"/>
  <c r="C13" i="15"/>
  <c r="J19" i="15"/>
  <c r="C41" i="68"/>
  <c r="C49" i="68" s="1"/>
  <c r="C51" i="68" s="1"/>
  <c r="R27" i="6"/>
  <c r="R6" i="1"/>
  <c r="C27" i="12"/>
  <c r="C25" i="12" s="1"/>
  <c r="C32" i="12" s="1"/>
  <c r="B2" i="12" s="1"/>
  <c r="B3" i="12" s="1"/>
  <c r="C46" i="11"/>
  <c r="C45" i="11" s="1"/>
  <c r="C43" i="11"/>
  <c r="C41" i="11" s="1"/>
  <c r="J7" i="35"/>
  <c r="W7" i="35" s="1"/>
  <c r="M70" i="39"/>
  <c r="N68" i="39"/>
  <c r="J65" i="40"/>
  <c r="K63" i="40"/>
  <c r="I52" i="21"/>
  <c r="J52" i="21" s="1"/>
  <c r="U7" i="35"/>
  <c r="AB7" i="35"/>
  <c r="T38" i="35" s="1"/>
  <c r="G38" i="35" s="1"/>
  <c r="R49" i="21"/>
  <c r="E48" i="21"/>
  <c r="G52" i="21"/>
  <c r="H52" i="21" s="1"/>
  <c r="G53" i="21"/>
  <c r="H53" i="21" s="1"/>
  <c r="F7" i="35"/>
  <c r="F35" i="15"/>
  <c r="M21" i="15"/>
  <c r="J22" i="67" l="1"/>
  <c r="J13" i="67"/>
  <c r="J23" i="67" s="1"/>
  <c r="C61" i="67"/>
  <c r="C59" i="67" s="1"/>
  <c r="C64" i="67"/>
  <c r="C56" i="67"/>
  <c r="C65" i="67" s="1"/>
  <c r="C75" i="67"/>
  <c r="Q70" i="67"/>
  <c r="C37" i="67"/>
  <c r="C30" i="67" s="1"/>
  <c r="C39" i="67" s="1"/>
  <c r="C46" i="69"/>
  <c r="C45" i="69" s="1"/>
  <c r="W38" i="39"/>
  <c r="AC38" i="39"/>
  <c r="AB38" i="39"/>
  <c r="U38" i="39"/>
  <c r="W11" i="39"/>
  <c r="AC11" i="39"/>
  <c r="C28" i="69"/>
  <c r="C27" i="69" s="1"/>
  <c r="C25" i="69"/>
  <c r="C22" i="69" s="1"/>
  <c r="AA38" i="39"/>
  <c r="S38" i="39"/>
  <c r="AA11" i="39"/>
  <c r="S11" i="39"/>
  <c r="AB11" i="39"/>
  <c r="U11" i="39"/>
  <c r="D14" i="71"/>
  <c r="C13" i="71"/>
  <c r="C41" i="69"/>
  <c r="Q70" i="15"/>
  <c r="C75" i="15"/>
  <c r="C56" i="15"/>
  <c r="C65" i="15" s="1"/>
  <c r="C37" i="15"/>
  <c r="J22" i="15"/>
  <c r="J13" i="15"/>
  <c r="J23" i="15" s="1"/>
  <c r="C61" i="15"/>
  <c r="C64" i="15"/>
  <c r="D7" i="79"/>
  <c r="C26" i="79" s="1"/>
  <c r="C32" i="79" s="1"/>
  <c r="C38" i="79" s="1"/>
  <c r="C39" i="79" s="1"/>
  <c r="C40" i="79" s="1"/>
  <c r="E11" i="79"/>
  <c r="E7" i="79" s="1"/>
  <c r="C27" i="79" s="1"/>
  <c r="J20" i="15"/>
  <c r="J17" i="15" s="1"/>
  <c r="C34" i="15"/>
  <c r="C31" i="15" s="1"/>
  <c r="F63" i="15"/>
  <c r="C62" i="15" s="1"/>
  <c r="R16" i="1"/>
  <c r="C49" i="11"/>
  <c r="C51" i="11" s="1"/>
  <c r="C52" i="11" s="1"/>
  <c r="B2" i="11" s="1"/>
  <c r="B3" i="11" s="1"/>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L51" i="67"/>
  <c r="J16" i="67" l="1"/>
  <c r="J25" i="67" s="1"/>
  <c r="Q67" i="67"/>
  <c r="L57" i="67"/>
  <c r="L60" i="67" s="1"/>
  <c r="C80" i="67"/>
  <c r="C79" i="67" s="1"/>
  <c r="C58" i="67"/>
  <c r="C67" i="67" s="1"/>
  <c r="C68" i="67" s="1"/>
  <c r="C40" i="67"/>
  <c r="Q69" i="67"/>
  <c r="Q68" i="67" s="1"/>
  <c r="C49" i="69"/>
  <c r="C51" i="69" s="1"/>
  <c r="C31" i="69"/>
  <c r="C12" i="71"/>
  <c r="T13" i="71"/>
  <c r="D13" i="71"/>
  <c r="U13" i="71" s="1"/>
  <c r="C30" i="15"/>
  <c r="C39" i="15" s="1"/>
  <c r="C80" i="15" s="1"/>
  <c r="C79" i="15" s="1"/>
  <c r="C59" i="15"/>
  <c r="C58" i="15" s="1"/>
  <c r="C67" i="15" s="1"/>
  <c r="C68" i="15" s="1"/>
  <c r="C71" i="15" s="1"/>
  <c r="J16" i="15"/>
  <c r="J25" i="15" s="1"/>
  <c r="C41" i="79"/>
  <c r="B2" i="79"/>
  <c r="B3" i="79" s="1"/>
  <c r="L57" i="15"/>
  <c r="L60" i="15" s="1"/>
  <c r="C56" i="11"/>
  <c r="C57" i="11" s="1"/>
  <c r="H7" i="39"/>
  <c r="J7" i="39"/>
  <c r="AA7" i="39"/>
  <c r="R47" i="39" s="1"/>
  <c r="S7" i="39"/>
  <c r="R39" i="35"/>
  <c r="E38" i="35"/>
  <c r="M63" i="40"/>
  <c r="L65" i="40"/>
  <c r="C43" i="67" l="1"/>
  <c r="Q56" i="67"/>
  <c r="C83" i="67"/>
  <c r="C82" i="67" s="1"/>
  <c r="Q47" i="67"/>
  <c r="Q53" i="67" s="1"/>
  <c r="Q65" i="67"/>
  <c r="C45" i="67"/>
  <c r="C46" i="67" s="1"/>
  <c r="C71" i="67"/>
  <c r="L46" i="67"/>
  <c r="D2" i="67" s="1"/>
  <c r="Q57" i="67"/>
  <c r="Q66" i="67"/>
  <c r="C52" i="69"/>
  <c r="B2" i="69" s="1"/>
  <c r="B3" i="69" s="1"/>
  <c r="D12" i="71"/>
  <c r="C11" i="71"/>
  <c r="Q69" i="15"/>
  <c r="Q68" i="15" s="1"/>
  <c r="C40" i="15"/>
  <c r="Q47" i="15" s="1"/>
  <c r="Q53" i="15" s="1"/>
  <c r="L46" i="15"/>
  <c r="Q57" i="15"/>
  <c r="Q66" i="15"/>
  <c r="E47" i="39"/>
  <c r="W7" i="39"/>
  <c r="AC7" i="39"/>
  <c r="V47" i="39" s="1"/>
  <c r="I47" i="39" s="1"/>
  <c r="U7" i="39"/>
  <c r="AB7" i="39"/>
  <c r="T47" i="39" s="1"/>
  <c r="G47" i="39" s="1"/>
  <c r="C39" i="35"/>
  <c r="B2" i="35" s="1"/>
  <c r="B3" i="35" s="1"/>
  <c r="C38" i="35"/>
  <c r="N63" i="40"/>
  <c r="M65" i="40"/>
  <c r="E43" i="35"/>
  <c r="F43" i="35" s="1"/>
  <c r="E42" i="35"/>
  <c r="F42" i="35" s="1"/>
  <c r="I43" i="35"/>
  <c r="J43" i="35" s="1"/>
  <c r="L51" i="15"/>
  <c r="Q67" i="15" l="1"/>
  <c r="Q62" i="67"/>
  <c r="Q75" i="67"/>
  <c r="B3" i="67"/>
  <c r="B2" i="67"/>
  <c r="C57" i="69"/>
  <c r="C56" i="69" s="1"/>
  <c r="D11" i="71"/>
  <c r="C10" i="71"/>
  <c r="Q65" i="15"/>
  <c r="Q75" i="15" s="1"/>
  <c r="C46" i="15"/>
  <c r="C83" i="15"/>
  <c r="C82" i="15" s="1"/>
  <c r="Q56" i="15"/>
  <c r="C43" i="15"/>
  <c r="B2" i="15"/>
  <c r="B3" i="15" s="1"/>
  <c r="R48" i="39"/>
  <c r="C48" i="39" s="1"/>
  <c r="Q62" i="15"/>
  <c r="E52" i="39"/>
  <c r="F52" i="39" s="1"/>
  <c r="E51" i="39"/>
  <c r="F51" i="39" s="1"/>
  <c r="G51" i="39"/>
  <c r="H51" i="39" s="1"/>
  <c r="G52" i="39"/>
  <c r="H52" i="39" s="1"/>
  <c r="I51" i="39"/>
  <c r="J51" i="39" s="1"/>
  <c r="I52" i="39"/>
  <c r="J52" i="39" s="1"/>
  <c r="O63" i="40"/>
  <c r="O65" i="40" s="1"/>
  <c r="N65" i="40"/>
  <c r="D19" i="9"/>
  <c r="AO6" i="1"/>
  <c r="D20" i="9"/>
  <c r="D10" i="71" l="1"/>
  <c r="C9" i="71"/>
  <c r="D21" i="9"/>
  <c r="D102" i="9"/>
  <c r="B6" i="70"/>
  <c r="B2" i="70" s="1"/>
  <c r="B3" i="70" s="1"/>
  <c r="D103" i="9"/>
  <c r="C47" i="39"/>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C8" i="71" l="1"/>
  <c r="T9" i="71"/>
  <c r="D9" i="71"/>
  <c r="U9" i="71" s="1"/>
  <c r="F66" i="39"/>
  <c r="B2" i="39" s="1"/>
  <c r="B3" i="39" s="1"/>
  <c r="U7" i="40"/>
  <c r="AB7" i="40"/>
  <c r="T42" i="40" s="1"/>
  <c r="G42" i="40" s="1"/>
  <c r="AA7" i="40"/>
  <c r="R42" i="40" s="1"/>
  <c r="S7" i="40"/>
  <c r="AC7" i="40"/>
  <c r="V42" i="40" s="1"/>
  <c r="I42" i="40" s="1"/>
  <c r="W7" i="40"/>
  <c r="D8" i="71" l="1"/>
  <c r="C7" i="71"/>
  <c r="I46" i="40"/>
  <c r="J46" i="40" s="1"/>
  <c r="R43" i="40"/>
  <c r="E42" i="40"/>
  <c r="G47" i="40"/>
  <c r="H47" i="40" s="1"/>
  <c r="G46" i="40"/>
  <c r="H46" i="40" s="1"/>
  <c r="C6" i="71" l="1"/>
  <c r="D7"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C19" i="43" s="1"/>
  <c r="C35" i="43" l="1"/>
  <c r="T11" i="43"/>
  <c r="V11" i="43" s="1"/>
  <c r="T5" i="43"/>
  <c r="V5" i="43" s="1"/>
  <c r="C37" i="43"/>
  <c r="T3" i="43"/>
  <c r="V3" i="43" s="1"/>
  <c r="C34" i="43"/>
  <c r="T4" i="43"/>
  <c r="V4" i="43" s="1"/>
  <c r="C29" i="43"/>
  <c r="T13" i="43"/>
  <c r="V13" i="43" s="1"/>
  <c r="T12" i="43"/>
  <c r="V12" i="43" s="1"/>
  <c r="T16" i="43"/>
  <c r="V16" i="43" s="1"/>
  <c r="C36" i="43"/>
  <c r="T7" i="43"/>
  <c r="V7" i="43" s="1"/>
  <c r="T9" i="43"/>
  <c r="V9" i="43" s="1"/>
  <c r="T2" i="43"/>
  <c r="V2" i="43" s="1"/>
  <c r="T14" i="43"/>
  <c r="V14" i="43" s="1"/>
  <c r="C39" i="43"/>
  <c r="T15" i="43"/>
  <c r="V15" i="43" s="1"/>
  <c r="T8" i="43"/>
  <c r="V8" i="43" s="1"/>
  <c r="T10" i="43"/>
  <c r="V10" i="43" s="1"/>
  <c r="C38" i="43"/>
  <c r="T6" i="43"/>
  <c r="V6" i="43" s="1"/>
  <c r="C33" i="43"/>
  <c r="G36" i="43" l="1"/>
  <c r="I36" i="43" s="1"/>
  <c r="E36" i="43"/>
  <c r="E29" i="43"/>
  <c r="C30" i="43"/>
  <c r="E30" i="43" s="1"/>
  <c r="E34" i="43"/>
  <c r="G34" i="43"/>
  <c r="I34" i="43" s="1"/>
  <c r="E37" i="43"/>
  <c r="G37" i="43"/>
  <c r="I37" i="43" s="1"/>
  <c r="E33" i="43"/>
  <c r="G33" i="43"/>
  <c r="I33" i="43" s="1"/>
  <c r="E38" i="43"/>
  <c r="G38" i="43"/>
  <c r="I38" i="43" s="1"/>
  <c r="E39" i="43"/>
  <c r="G39" i="43"/>
  <c r="I39" i="43" s="1"/>
  <c r="E35" i="43"/>
  <c r="G35" i="43"/>
  <c r="I35" i="43" s="1"/>
  <c r="C27" i="43" l="1"/>
  <c r="C26" i="43"/>
  <c r="E6" i="76"/>
  <c r="E2" i="76" l="1"/>
  <c r="C6" i="68"/>
  <c r="B2" i="43"/>
  <c r="B6" i="76"/>
  <c r="B2" i="76" l="1"/>
  <c r="B3" i="76" s="1"/>
  <c r="B3" i="43"/>
  <c r="C7" i="68"/>
  <c r="C5" i="68" s="1"/>
  <c r="C23" i="68" l="1"/>
  <c r="C20" i="68"/>
  <c r="C25" i="68" s="1"/>
  <c r="C22" i="68" l="1"/>
  <c r="C28" i="68"/>
  <c r="C27" i="68" s="1"/>
  <c r="C31" i="68" l="1"/>
  <c r="C52" i="68" s="1"/>
  <c r="B2" i="68" s="1"/>
  <c r="C19" i="9"/>
  <c r="C57" i="68" l="1"/>
  <c r="C56" i="68" s="1"/>
  <c r="C21" i="9"/>
  <c r="C102" i="9"/>
  <c r="G19" i="9"/>
  <c r="D22" i="9"/>
  <c r="B3" i="68"/>
  <c r="C20" i="9"/>
  <c r="C103" i="9" l="1"/>
  <c r="G20" i="9"/>
  <c r="C32" i="9" s="1"/>
  <c r="C35" i="9" s="1"/>
  <c r="C34" i="9" s="1"/>
  <c r="D14" i="74"/>
  <c r="G21" i="9"/>
  <c r="G14" i="74" l="1"/>
  <c r="B6" i="74" s="1"/>
  <c r="E14" i="74"/>
  <c r="F14" i="74"/>
  <c r="B5" i="74"/>
  <c r="D5" i="74" l="1"/>
  <c r="C5" i="74"/>
  <c r="C6" i="74"/>
  <c r="D6" i="74"/>
  <c r="I4" i="52"/>
  <c r="C105" i="9"/>
  <c r="M64" i="9"/>
  <c r="B47" i="72"/>
  <c r="N69" i="9"/>
  <c r="H5" i="52"/>
  <c r="M69" i="9"/>
  <c r="M48" i="9"/>
  <c r="N58" i="9"/>
  <c r="P57" i="9"/>
  <c r="D52" i="9"/>
  <c r="D53" i="9"/>
  <c r="C104" i="9"/>
  <c r="H119" i="9"/>
  <c r="H4" i="52"/>
  <c r="B30" i="72"/>
  <c r="B48" i="72"/>
  <c r="M68" i="9"/>
  <c r="C93" i="9"/>
  <c r="C86" i="9"/>
  <c r="L68" i="9"/>
  <c r="L64" i="9"/>
  <c r="C81" i="9"/>
  <c r="B20" i="72"/>
  <c r="L65" i="9"/>
  <c r="M65" i="9"/>
  <c r="M55" i="9"/>
  <c r="D59" i="9"/>
  <c r="B49" i="72"/>
  <c r="D5" i="52"/>
  <c r="N57" i="9"/>
  <c r="E81" i="9"/>
  <c r="D8" i="52"/>
  <c r="H108" i="9"/>
  <c r="D15" i="53"/>
  <c r="B31" i="72"/>
  <c r="L63" i="9"/>
  <c r="M63" i="9"/>
  <c r="N60" i="9"/>
  <c r="N59" i="9"/>
  <c r="N61" i="9"/>
  <c r="B52" i="72"/>
  <c r="L66" i="9"/>
  <c r="M66" i="9"/>
  <c r="D4" i="52"/>
  <c r="D119" i="9"/>
  <c r="D118" i="9"/>
  <c r="E118" i="9"/>
  <c r="E4" i="52"/>
  <c r="D13" i="53"/>
  <c r="D14" i="53"/>
  <c r="B32" i="72"/>
  <c r="G4" i="52"/>
  <c r="H102" i="9"/>
  <c r="D7" i="53"/>
  <c r="B21" i="72"/>
  <c r="C78" i="9"/>
  <c r="C73" i="9"/>
  <c r="D58" i="9"/>
  <c r="D56" i="9"/>
  <c r="M54" i="9"/>
  <c r="C67" i="9"/>
  <c r="C68" i="9"/>
  <c r="D54" i="9"/>
  <c r="D5" i="53"/>
  <c r="D6" i="53"/>
  <c r="B22" i="72"/>
  <c r="F4" i="52"/>
  <c r="B51" i="72"/>
  <c r="C80" i="9"/>
  <c r="E80" i="9"/>
  <c r="D122" i="9"/>
  <c r="D123" i="9"/>
  <c r="D9" i="52"/>
  <c r="H107" i="9"/>
  <c r="M49" i="9"/>
  <c r="L67" i="9"/>
  <c r="M67" i="9"/>
  <c r="C72" i="9"/>
  <c r="C79" i="9"/>
  <c r="C97" i="9"/>
  <c r="C85" i="9"/>
  <c r="C95" i="9"/>
  <c r="C96" i="9"/>
  <c r="E96" i="9"/>
  <c r="E97" i="9"/>
  <c r="D55" i="9"/>
  <c r="M53" i="9"/>
  <c r="G118" i="9"/>
  <c r="F118" i="9"/>
  <c r="F119" i="9"/>
  <c r="F5" i="52"/>
  <c r="B53" i="72"/>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<sst xmlns="http://schemas.openxmlformats.org/spreadsheetml/2006/main" count="7683" uniqueCount="3363">
  <si>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</si>
  <si>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</si>
  <si>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</si>
  <si>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</si>
  <si>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</si>
  <si>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</si>
  <si>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</si>
  <si>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</si>
  <si>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</si>
  <si>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</si>
  <si>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</si>
  <si>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</si>
  <si>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</si>
  <si>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</si>
  <si>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</si>
  <si>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</si>
  <si>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</si>
  <si>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</si>
  <si>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</si>
  <si>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</si>
  <si>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</si>
  <si>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</si>
  <si>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</si>
  <si>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</si>
  <si>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</si>
  <si>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</si>
  <si>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</si>
  <si>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</si>
  <si>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</si>
  <si>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</si>
  <si>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</si>
  <si>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</si>
  <si>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</si>
  <si>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</si>
  <si>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</si>
  <si>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</si>
  <si>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</si>
  <si>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</si>
  <si>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</si>
  <si>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</si>
  <si>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</si>
  <si>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</si>
  <si>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</si>
  <si>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</si>
  <si>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</si>
  <si>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</si>
  <si>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</si>
  <si>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</si>
  <si>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</si>
  <si>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</si>
  <si>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</si>
  <si>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</si>
  <si>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</si>
  <si>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</si>
  <si>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</si>
  <si>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</si>
  <si>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</si>
  <si>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</si>
  <si>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</si>
  <si>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</si>
  <si>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</si>
  <si>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</si>
  <si>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</si>
  <si>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</si>
  <si>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</si>
  <si>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</si>
  <si>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</si>
  <si>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</si>
  <si>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</si>
  <si>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</si>
  <si>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</si>
  <si>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</si>
  <si>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</si>
  <si>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</si>
  <si>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</si>
  <si>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</si>
  <si>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</si>
  <si>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</si>
  <si>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</si>
  <si>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</si>
  <si>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</si>
  <si>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</si>
  <si>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</si>
  <si>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</si>
  <si>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</si>
  <si>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</si>
  <si>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</si>
  <si>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</si>
  <si>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</si>
  <si>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</si>
  <si>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</si>
  <si>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</si>
  <si>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</si>
  <si>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</si>
  <si>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</si>
  <si>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</si>
  <si>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</si>
  <si>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</si>
  <si>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</si>
  <si>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</si>
  <si>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</si>
  <si>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</si>
  <si>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</si>
  <si>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</si>
  <si>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</si>
  <si>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</si>
  <si>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</si>
  <si>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</si>
  <si>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</si>
  <si>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</si>
  <si>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</si>
  <si>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</si>
  <si>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</si>
  <si>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</si>
  <si>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</si>
  <si>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</si>
  <si>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</si>
  <si>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</si>
  <si>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</si>
  <si>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</si>
  <si>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</si>
  <si>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</si>
  <si>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</si>
  <si>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</si>
  <si>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</si>
  <si>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</si>
  <si>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</si>
  <si>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</si>
  <si>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</si>
  <si>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</si>
  <si>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</si>
  <si>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</si>
  <si>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</si>
  <si>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</si>
  <si>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</si>
  <si>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</si>
  <si>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</si>
  <si>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</si>
  <si>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</si>
  <si>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</si>
  <si>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</si>
  <si>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</si>
  <si>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</si>
  <si>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</si>
  <si>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</si>
  <si>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</si>
  <si>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</si>
  <si>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</si>
  <si>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</si>
  <si>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</si>
  <si>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</si>
  <si>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</si>
  <si>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</si>
  <si>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</si>
  <si>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</si>
  <si>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</si>
  <si>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</si>
  <si>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</si>
  <si>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</si>
  <si>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</si>
  <si>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</si>
  <si>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</si>
  <si>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</si>
  <si>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</si>
  <si>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</si>
  <si>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</si>
  <si>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</si>
  <si>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</si>
  <si>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</si>
  <si>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</si>
  <si>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</si>
  <si>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</si>
  <si>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</si>
  <si>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</si>
  <si>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</si>
  <si>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</si>
  <si>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</si>
  <si>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</si>
  <si>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</si>
  <si>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</si>
  <si>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</si>
  <si>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</si>
  <si>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</si>
  <si>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</si>
  <si>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</si>
  <si>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</si>
  <si>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</si>
  <si>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</si>
  <si>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</si>
  <si>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</si>
  <si>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</si>
  <si>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</si>
  <si>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</si>
  <si>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</si>
  <si>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</si>
  <si>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</si>
  <si>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</si>
  <si>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</si>
  <si>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</si>
  <si>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</si>
  <si>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</si>
  <si>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</si>
  <si>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</si>
  <si>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</si>
  <si>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</si>
  <si>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</si>
  <si>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</si>
  <si>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</si>
  <si>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</si>
  <si>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</si>
  <si>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</si>
  <si>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</si>
  <si>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</si>
  <si>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</si>
  <si>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</si>
  <si>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</si>
  <si>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</si>
  <si>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</si>
  <si>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</si>
  <si>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</si>
  <si>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</si>
  <si>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</si>
  <si>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</si>
  <si>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</si>
  <si>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</si>
  <si>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</si>
  <si>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</si>
  <si>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</si>
  <si>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</si>
  <si>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</si>
  <si>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</si>
  <si>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</si>
  <si>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</si>
  <si>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</si>
  <si>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</si>
  <si>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</si>
  <si>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</si>
  <si>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</si>
  <si>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</si>
  <si>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</si>
  <si>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</si>
  <si>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</si>
  <si>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</si>
  <si>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</si>
  <si>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</si>
  <si>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</si>
  <si>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</si>
  <si>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</si>
  <si>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</si>
  <si>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</si>
  <si>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</si>
  <si>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</si>
  <si>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</si>
  <si>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</si>
  <si>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</si>
  <si>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</si>
  <si>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</si>
  <si>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</si>
  <si>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</si>
  <si>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</si>
  <si>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</si>
  <si>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</si>
  <si>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</si>
  <si>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</si>
  <si>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</si>
  <si>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</si>
  <si>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</si>
  <si>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</si>
  <si>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</si>
  <si>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</si>
  <si>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</si>
  <si>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</si>
  <si>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</si>
  <si>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</si>
  <si>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</si>
  <si>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</si>
  <si>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</si>
  <si>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</si>
  <si>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</si>
  <si>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</si>
  <si>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</si>
  <si>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</si>
  <si>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</si>
  <si>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</si>
  <si>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</si>
  <si>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</si>
  <si>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</si>
  <si>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</si>
  <si>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</si>
  <si>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</si>
  <si>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</si>
  <si>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</si>
  <si>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</si>
  <si>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</si>
  <si>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</si>
  <si>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</si>
  <si>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</si>
  <si>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</si>
  <si>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</si>
  <si>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</si>
  <si>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</si>
  <si>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</si>
  <si>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</si>
  <si>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</si>
  <si>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</si>
  <si>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</si>
  <si>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</si>
  <si>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</si>
  <si>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</si>
  <si>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</si>
  <si>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</si>
  <si>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</si>
  <si>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</si>
  <si>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</si>
  <si>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</si>
  <si>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</si>
  <si>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</si>
  <si>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</si>
  <si>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</si>
  <si>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</si>
  <si>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</si>
  <si>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</si>
  <si>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</si>
  <si>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</si>
  <si>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</si>
  <si>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</si>
  <si>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</si>
  <si>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</si>
  <si>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</si>
  <si>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</si>
  <si>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</si>
  <si>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</si>
  <si>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</si>
  <si>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</si>
  <si>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</si>
  <si>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</si>
  <si>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</si>
  <si>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</si>
  <si>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</si>
  <si>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</si>
  <si>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</si>
  <si>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</si>
  <si>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</si>
  <si>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</si>
  <si>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</si>
  <si>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</si>
  <si>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</si>
  <si>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</si>
  <si>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</si>
  <si>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</si>
  <si>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</si>
  <si>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</si>
  <si>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</si>
  <si>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</si>
  <si>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</si>
  <si>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</si>
  <si>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</si>
  <si>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</si>
  <si>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</si>
  <si>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</si>
  <si>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</si>
  <si>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</si>
  <si>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</si>
  <si>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</si>
  <si>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</si>
  <si>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</si>
  <si>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</si>
  <si>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</si>
  <si>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</si>
  <si>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</si>
  <si>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</si>
  <si>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</si>
  <si>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</si>
  <si>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</si>
  <si>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</si>
  <si>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</si>
  <si>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</si>
  <si>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</si>
  <si>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</si>
  <si>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</si>
  <si>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</si>
  <si>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</si>
  <si>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</si>
  <si>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</si>
  <si>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</si>
  <si>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</si>
  <si>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</si>
  <si>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</si>
  <si>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</si>
  <si>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</si>
  <si>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</si>
  <si>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</si>
  <si>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</si>
  <si>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</si>
  <si>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</si>
  <si>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</si>
  <si>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</si>
  <si>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</si>
  <si>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</si>
  <si>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</si>
  <si>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</si>
  <si>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</si>
  <si>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</si>
  <si>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</si>
  <si>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</si>
  <si>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</si>
  <si>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</si>
  <si>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</si>
  <si>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</si>
  <si>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</si>
  <si>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</si>
  <si>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</si>
  <si>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</si>
  <si>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</si>
  <si>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</si>
  <si>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</si>
  <si>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</si>
  <si>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</si>
  <si>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</si>
  <si>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</si>
  <si>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</si>
  <si>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</si>
  <si>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</si>
  <si>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</si>
  <si>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</si>
  <si>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</si>
  <si>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</si>
  <si>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</si>
  <si>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</si>
  <si>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</si>
  <si>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</si>
  <si>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</si>
  <si>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</si>
  <si>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</si>
  <si>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</si>
  <si>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</si>
  <si>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</si>
  <si>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</si>
  <si>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</si>
  <si>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</si>
  <si>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</si>
  <si>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</si>
  <si>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</si>
  <si>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</si>
  <si>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</si>
  <si>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</si>
  <si>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</si>
  <si>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</si>
  <si>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</si>
  <si>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</si>
  <si>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</si>
  <si>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</si>
  <si>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</si>
  <si>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</si>
  <si>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</si>
  <si>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</si>
  <si>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</si>
  <si>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</si>
  <si>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</si>
  <si>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</si>
  <si>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</si>
  <si>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</si>
  <si>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</si>
  <si>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</si>
  <si>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</si>
  <si>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</si>
  <si>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</si>
  <si>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</si>
  <si>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</si>
  <si>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</si>
  <si>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</si>
  <si>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</si>
  <si>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</si>
  <si>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</si>
  <si>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</si>
  <si>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</si>
  <si>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</si>
  <si>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</si>
  <si>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</si>
  <si>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</si>
  <si>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</si>
  <si>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</si>
  <si>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</si>
  <si>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</si>
  <si>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</si>
  <si>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</si>
  <si>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</si>
  <si>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</si>
  <si>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</si>
  <si>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</si>
  <si>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</si>
  <si>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</si>
  <si>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</si>
  <si>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</si>
  <si>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</si>
  <si>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</si>
  <si>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</si>
  <si>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</si>
  <si>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</si>
  <si>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</si>
  <si>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</si>
  <si>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</si>
  <si>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</si>
  <si>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</si>
  <si>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</si>
  <si>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</si>
  <si>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</si>
  <si>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</si>
  <si>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</si>
  <si>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</si>
  <si>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</si>
  <si>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</si>
  <si>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</si>
  <si>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</si>
  <si>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</si>
  <si>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</si>
  <si>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</si>
  <si>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</si>
  <si>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</si>
  <si>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</si>
  <si>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</si>
  <si>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</si>
  <si>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</si>
  <si>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</si>
  <si>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</si>
  <si>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</si>
  <si>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</si>
  <si>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</si>
  <si>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</si>
  <si>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</si>
  <si>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</si>
  <si>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</si>
  <si>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</si>
  <si>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</si>
  <si>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</si>
  <si>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</si>
  <si>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</si>
  <si>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</si>
  <si>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</si>
  <si>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</si>
  <si>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</si>
  <si>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</si>
  <si>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</si>
  <si>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</si>
  <si>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</si>
  <si>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</si>
  <si>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</si>
  <si>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</si>
  <si>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</si>
  <si>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</si>
  <si>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</si>
  <si>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</si>
  <si>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</si>
  <si>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</si>
  <si>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</si>
  <si>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</si>
  <si>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</si>
  <si>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</si>
  <si>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</si>
  <si>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</si>
  <si>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</si>
  <si>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</si>
  <si>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</si>
  <si>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</si>
  <si>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</si>
  <si>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</si>
  <si>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</si>
  <si>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</si>
  <si>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</si>
  <si>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</si>
  <si>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</si>
  <si>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</si>
  <si>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</si>
  <si>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</si>
  <si>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</si>
  <si>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</si>
  <si>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</si>
  <si>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</si>
  <si>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</si>
  <si>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</si>
  <si>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</si>
  <si>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</si>
  <si>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</si>
  <si>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</si>
  <si>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</si>
  <si>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</si>
  <si>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</si>
  <si>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</si>
  <si>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</si>
  <si>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</si>
  <si>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</si>
  <si>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</si>
  <si>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</si>
  <si>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</si>
  <si>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</si>
  <si>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</si>
  <si>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</si>
  <si>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</si>
  <si>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</si>
  <si>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</si>
  <si>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</si>
  <si>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</si>
  <si>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</si>
  <si>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</si>
  <si>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</si>
  <si>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</si>
  <si>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</si>
  <si>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</si>
  <si>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</si>
  <si>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</si>
  <si>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</si>
  <si>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</si>
  <si>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</si>
  <si>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</si>
  <si>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</si>
  <si>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</si>
  <si>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</si>
  <si>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</si>
  <si>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</si>
  <si>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</si>
  <si>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</si>
  <si>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</si>
  <si>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</si>
  <si>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</si>
  <si>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</si>
  <si>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</si>
  <si>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</si>
  <si>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</si>
  <si>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</si>
  <si>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</si>
  <si>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</si>
  <si>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</si>
  <si>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</si>
  <si>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</si>
  <si>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</si>
  <si>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</si>
  <si>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</si>
  <si>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</si>
  <si>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</si>
  <si>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</si>
  <si>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</si>
  <si>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</si>
  <si>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</si>
  <si>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</si>
  <si>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</si>
  <si>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</si>
  <si>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</si>
  <si>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</si>
  <si>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</si>
  <si>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</si>
  <si>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</si>
  <si>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</si>
  <si>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</si>
  <si>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</si>
  <si>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</si>
  <si>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</si>
  <si>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</si>
  <si>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</si>
  <si>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</si>
  <si>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</si>
  <si>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</si>
  <si>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</si>
  <si>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</si>
  <si>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</si>
  <si>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</si>
  <si>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</si>
  <si>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</si>
  <si>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</si>
  <si>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</si>
  <si>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</si>
  <si>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</si>
  <si>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</si>
  <si>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</si>
  <si>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</si>
  <si>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</si>
  <si>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</si>
  <si>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</si>
  <si>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</si>
  <si>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</si>
  <si>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</si>
  <si>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</si>
  <si>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</si>
  <si>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</si>
  <si>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</si>
  <si>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</si>
  <si>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</si>
  <si>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</si>
  <si>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</si>
  <si>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</si>
  <si>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</si>
  <si>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</si>
  <si>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</si>
  <si>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</si>
  <si>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</si>
  <si>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</si>
  <si>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</si>
  <si>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</si>
  <si>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</si>
  <si>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</si>
  <si>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</si>
  <si>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</si>
  <si>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</si>
  <si>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</si>
  <si>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</si>
  <si>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</si>
  <si>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</si>
  <si>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</si>
  <si>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</si>
  <si>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</si>
  <si>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</si>
  <si>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</si>
  <si>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</si>
  <si>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</si>
  <si>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</si>
  <si>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</si>
  <si>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</si>
  <si>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</si>
  <si>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</si>
  <si>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</si>
  <si>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</si>
  <si>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</si>
  <si>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</si>
  <si>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</si>
  <si>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</si>
  <si>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</si>
  <si>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</si>
  <si>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</si>
  <si>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</si>
  <si>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</si>
  <si>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</si>
  <si>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</si>
  <si>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</si>
  <si>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</si>
  <si>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</si>
  <si>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</si>
  <si>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</si>
  <si>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</si>
  <si>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</si>
  <si>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</si>
  <si>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</si>
  <si>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</si>
  <si>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</si>
  <si>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</si>
  <si>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</si>
  <si>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</si>
  <si>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</si>
  <si>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</si>
  <si>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</si>
  <si>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</si>
  <si>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</si>
  <si>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</si>
  <si>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</si>
  <si>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</si>
  <si>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</si>
  <si>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</si>
  <si>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</si>
  <si>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</si>
  <si>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</si>
  <si>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</si>
  <si>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</si>
  <si>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</si>
  <si>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</si>
  <si>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</si>
  <si>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</si>
  <si>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</si>
  <si>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</si>
  <si>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</si>
  <si>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</si>
  <si>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</si>
  <si>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</si>
  <si>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</si>
  <si>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</si>
  <si>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</si>
  <si>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</si>
  <si>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</si>
  <si>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</si>
  <si>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</si>
  <si>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</si>
  <si>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</si>
  <si>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</si>
  <si>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</si>
  <si>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</si>
  <si>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</si>
  <si>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</si>
  <si>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</si>
  <si>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</si>
  <si>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</si>
  <si>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</si>
  <si>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</si>
  <si>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</si>
  <si>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</si>
  <si>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</si>
  <si>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</si>
  <si>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</si>
  <si>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</si>
  <si>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</si>
  <si>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</si>
  <si>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</si>
  <si>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</si>
  <si>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</si>
  <si>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</si>
  <si>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</si>
  <si>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</si>
  <si>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</si>
  <si>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</si>
  <si>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</si>
  <si>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</si>
  <si>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</si>
  <si>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</si>
  <si>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</si>
  <si>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</si>
  <si>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</si>
  <si>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</si>
  <si>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</si>
  <si>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</si>
  <si>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</si>
  <si>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</si>
  <si>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</si>
  <si>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</si>
  <si>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</si>
  <si>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</si>
  <si>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</si>
  <si>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</si>
  <si>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</si>
  <si>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</si>
  <si>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</si>
  <si>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</si>
  <si>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</si>
  <si>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</si>
  <si>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</si>
  <si>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</si>
  <si>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</si>
  <si>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</si>
  <si>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</si>
  <si>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</si>
  <si>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</si>
  <si>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</si>
  <si>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</si>
  <si>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</si>
  <si>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</si>
  <si>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</si>
  <si>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</si>
  <si>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</si>
  <si>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</si>
  <si>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</si>
  <si>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</si>
  <si>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</si>
  <si>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</si>
  <si>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</si>
  <si>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</si>
  <si>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</si>
  <si>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</si>
  <si>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</si>
  <si>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</si>
  <si>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</si>
  <si>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</si>
  <si>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</si>
  <si>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</si>
  <si>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</si>
  <si>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</si>
  <si>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</si>
  <si>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</si>
  <si>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</si>
  <si>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</si>
  <si>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</si>
  <si>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</si>
  <si>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</si>
  <si>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</si>
  <si>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</si>
  <si>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</si>
  <si>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</si>
  <si>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</si>
  <si>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</si>
  <si>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</si>
  <si>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</si>
  <si>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</si>
  <si>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</si>
  <si>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</si>
  <si>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</si>
  <si>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</si>
  <si>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</si>
  <si>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</si>
  <si>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</si>
  <si>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</si>
  <si>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</si>
  <si>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</si>
  <si>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</si>
  <si>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</si>
  <si>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</si>
  <si>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</si>
  <si>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</si>
  <si>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</si>
  <si>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</si>
  <si>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</si>
  <si>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</si>
  <si>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</si>
  <si>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</si>
  <si>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</si>
  <si>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</si>
  <si>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</si>
  <si>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</si>
  <si>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</si>
  <si>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</si>
  <si>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</si>
  <si>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</si>
  <si>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</si>
  <si>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</si>
  <si>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</si>
  <si>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</si>
  <si>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</si>
  <si>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</si>
  <si>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</si>
  <si>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</si>
  <si>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</si>
  <si>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</si>
  <si>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</si>
  <si>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</si>
  <si>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</si>
  <si>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</si>
  <si>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</si>
  <si>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</si>
  <si>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</si>
  <si>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</si>
  <si>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</si>
  <si>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</si>
  <si>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</si>
  <si>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</si>
  <si>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</si>
  <si>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</si>
  <si>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</si>
  <si>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</si>
  <si>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</si>
  <si>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</si>
  <si>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</si>
  <si>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</si>
  <si>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</si>
  <si>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</si>
  <si>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</si>
  <si>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</si>
  <si>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</si>
  <si>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</si>
  <si>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</si>
  <si>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</si>
  <si>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</si>
  <si>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</si>
  <si>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</si>
  <si>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</si>
  <si>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</si>
  <si>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</si>
  <si>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</si>
  <si>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</si>
  <si>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</si>
  <si>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</si>
  <si>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</si>
  <si>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</si>
  <si>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</si>
  <si>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</si>
  <si>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</si>
  <si>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</si>
  <si>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</si>
  <si>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</si>
  <si>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</si>
  <si>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</si>
  <si>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</si>
  <si>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</si>
  <si>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</si>
  <si>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</si>
  <si>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</si>
  <si>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</si>
  <si>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</si>
  <si>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</si>
  <si>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</si>
  <si>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</si>
  <si>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</si>
  <si>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</si>
  <si>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</si>
  <si>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</si>
  <si>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</si>
  <si>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</si>
  <si>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</si>
  <si>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</si>
  <si>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</si>
  <si>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</si>
  <si>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</si>
  <si>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</si>
  <si>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</si>
  <si>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</si>
  <si>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</si>
  <si>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</si>
  <si>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</si>
  <si>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</si>
  <si>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</si>
  <si>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</si>
  <si>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</si>
  <si>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</si>
  <si>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</si>
  <si>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</si>
  <si>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</si>
  <si>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</si>
  <si>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</si>
  <si>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</si>
  <si>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</si>
  <si>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</si>
  <si>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</si>
  <si>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</si>
  <si>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</si>
  <si>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</si>
  <si>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</si>
  <si>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</si>
  <si>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</si>
  <si>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</si>
  <si>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</si>
  <si>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</si>
  <si>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</si>
  <si>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</si>
  <si>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</si>
  <si>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</si>
  <si>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</si>
  <si>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</si>
  <si>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</si>
  <si>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</si>
  <si>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</si>
  <si>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</si>
  <si>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</si>
  <si>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</si>
  <si>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</si>
  <si>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</si>
  <si>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</si>
  <si>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</si>
  <si>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</si>
  <si>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</si>
  <si>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</si>
  <si>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</si>
  <si>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</si>
  <si>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</si>
  <si>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</si>
  <si>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</si>
  <si>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</si>
  <si>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</si>
  <si>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</si>
  <si>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</si>
  <si>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</si>
  <si>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</si>
  <si>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</si>
  <si>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</si>
  <si>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</si>
  <si>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</si>
  <si>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</si>
  <si>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</si>
  <si>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</si>
  <si>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</si>
  <si>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</si>
  <si>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</si>
  <si>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</si>
  <si>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</si>
  <si>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</si>
  <si>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</si>
  <si>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</si>
  <si>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</si>
  <si>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</si>
  <si>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</si>
  <si>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</si>
  <si>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</si>
  <si>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</si>
  <si>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</si>
  <si>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</si>
  <si>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</si>
  <si>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</si>
  <si>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</si>
  <si>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</si>
  <si>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</si>
  <si>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</si>
  <si>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</si>
  <si>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</si>
  <si>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</si>
  <si>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</si>
  <si>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</si>
  <si>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</si>
  <si>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</si>
  <si>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</si>
  <si>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</si>
  <si>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</si>
  <si>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</si>
  <si>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</si>
  <si>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</si>
  <si>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</si>
  <si>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</si>
  <si>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</si>
  <si>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</si>
  <si>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</si>
  <si>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</si>
  <si>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</si>
  <si>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</si>
  <si>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</si>
  <si>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</si>
  <si>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</si>
  <si>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</si>
  <si>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</si>
  <si>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</si>
  <si>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</si>
  <si>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</si>
  <si>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</si>
  <si>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</si>
  <si>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</si>
  <si>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</si>
  <si>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</si>
  <si>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</si>
  <si>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</si>
  <si>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</si>
  <si>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</si>
  <si>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</si>
  <si>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</si>
  <si>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</si>
  <si>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</si>
  <si>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</si>
  <si>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</si>
  <si>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</si>
  <si>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</si>
  <si>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</si>
  <si>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</si>
  <si>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</si>
  <si>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</si>
  <si>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</si>
  <si>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</si>
  <si>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</si>
  <si>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</si>
  <si>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</si>
  <si>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</si>
  <si>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</si>
  <si>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</si>
  <si>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</si>
  <si>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</si>
  <si>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</si>
  <si>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</si>
  <si>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</si>
  <si>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</si>
  <si>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</si>
  <si>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</si>
  <si>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</si>
  <si>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</si>
  <si>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</si>
  <si>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</si>
  <si>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</si>
  <si>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</si>
  <si>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</si>
  <si>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</si>
  <si>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</si>
  <si>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</si>
  <si>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</si>
  <si>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</si>
  <si>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</si>
  <si>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</si>
  <si>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</si>
  <si>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</si>
  <si>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</si>
  <si>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</si>
  <si>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</si>
  <si>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</si>
  <si>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</si>
  <si>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</si>
  <si>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</si>
  <si>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</si>
  <si>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</si>
  <si>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</si>
  <si>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</si>
  <si>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</si>
  <si>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</si>
  <si>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</si>
  <si>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</si>
  <si>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</si>
  <si>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</si>
  <si>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</si>
  <si>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</si>
  <si>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</si>
  <si>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</si>
  <si>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</si>
  <si>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</si>
  <si>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</si>
  <si>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</si>
  <si>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</si>
  <si>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</si>
  <si>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</si>
  <si>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</si>
  <si>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</si>
  <si>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</si>
  <si>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</si>
  <si>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</si>
  <si>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</si>
  <si>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</si>
  <si>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</si>
  <si>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</si>
  <si>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</si>
  <si>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</si>
  <si>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</si>
  <si>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</si>
  <si>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</si>
  <si>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</si>
  <si>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</si>
  <si>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</si>
  <si>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</si>
  <si>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</si>
  <si>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</si>
  <si>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</si>
  <si>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</si>
  <si>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</si>
  <si>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</si>
  <si>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</si>
  <si>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</si>
  <si>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</si>
  <si>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</si>
  <si>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</si>
  <si>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</si>
  <si>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</si>
  <si>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</si>
  <si>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</si>
  <si>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</si>
  <si>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</si>
  <si>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</si>
  <si>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</si>
  <si>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</si>
  <si>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</si>
  <si>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</si>
  <si>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</si>
  <si>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</si>
  <si>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</si>
  <si>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</si>
  <si>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</si>
  <si>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</si>
  <si>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</si>
  <si>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</si>
  <si>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</si>
  <si>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</si>
  <si>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</si>
  <si>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</si>
  <si>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</si>
  <si>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</si>
  <si>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</si>
  <si>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</si>
  <si>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</si>
  <si>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</si>
  <si>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</si>
  <si>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</si>
  <si>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</si>
  <si>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</si>
  <si>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</si>
  <si>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</si>
  <si>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</si>
  <si>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</si>
  <si>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</si>
  <si>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</si>
  <si>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</si>
  <si>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</si>
  <si>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</si>
  <si>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</si>
  <si>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</si>
  <si>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</si>
  <si>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</si>
  <si>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</si>
  <si>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</si>
  <si>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</si>
  <si>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</si>
  <si>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</si>
  <si>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</si>
  <si>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</si>
  <si>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</si>
  <si>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</si>
  <si>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</si>
  <si>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</si>
  <si>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</si>
  <si>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</si>
  <si>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</si>
  <si>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</si>
  <si>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</si>
  <si>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</si>
  <si>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</si>
  <si>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</si>
  <si>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</si>
  <si>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</si>
  <si>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</si>
  <si>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</si>
  <si>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</si>
  <si>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</si>
  <si>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</si>
  <si>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</si>
  <si>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</si>
  <si>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</si>
  <si>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</si>
  <si>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</si>
  <si>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</si>
  <si>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</si>
  <si>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</si>
  <si>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</si>
  <si>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</si>
  <si>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</si>
  <si>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</si>
  <si>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</si>
  <si>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</si>
  <si>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</si>
  <si>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</si>
  <si>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</si>
  <si>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</si>
  <si>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</si>
  <si>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</si>
  <si>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</si>
  <si>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</si>
  <si>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</si>
  <si>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</si>
  <si>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</si>
  <si>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</si>
  <si>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</si>
  <si>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</si>
  <si>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</si>
  <si>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</si>
  <si>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</si>
  <si>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</si>
  <si>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</si>
  <si>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</si>
  <si>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</si>
  <si>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</si>
  <si>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</si>
  <si>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</si>
  <si>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</si>
  <si>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</si>
  <si>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</si>
  <si>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</si>
  <si>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</si>
  <si>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</si>
  <si>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</si>
  <si>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</si>
  <si>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</si>
  <si>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</si>
  <si>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</si>
  <si>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</si>
  <si>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</si>
  <si>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</si>
  <si>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</si>
  <si>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</si>
  <si>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</si>
  <si>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</si>
  <si>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</si>
  <si>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</si>
  <si>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</si>
  <si>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</si>
  <si>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</si>
  <si>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</si>
  <si>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</si>
  <si>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</si>
  <si>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</si>
  <si>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</si>
  <si>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</si>
  <si>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</si>
  <si>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</si>
  <si>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</si>
  <si>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</si>
  <si>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</si>
  <si>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</si>
  <si>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</si>
  <si>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</si>
  <si>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</si>
  <si>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</si>
  <si>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</si>
  <si>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</si>
  <si>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</si>
  <si>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</si>
  <si>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</si>
  <si>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</si>
  <si>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</si>
  <si>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</si>
  <si>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</si>
  <si>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</si>
  <si>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</si>
  <si>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</si>
  <si>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</si>
  <si>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</si>
  <si>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</si>
  <si>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</si>
  <si>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</si>
  <si>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</si>
  <si>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</si>
  <si>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</si>
  <si>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</si>
  <si>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</si>
  <si>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</si>
  <si>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</si>
  <si>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</si>
  <si>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</si>
  <si>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</si>
  <si>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</si>
  <si>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</si>
  <si>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</si>
  <si>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</si>
  <si>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</si>
  <si>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</si>
  <si>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</si>
  <si>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</si>
  <si>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</si>
  <si>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</si>
  <si>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</si>
  <si>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</si>
  <si>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</si>
  <si>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</si>
  <si>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</si>
  <si>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</si>
  <si>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</si>
  <si>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</si>
  <si>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</si>
  <si>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</si>
  <si>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</si>
  <si>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</si>
  <si>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</si>
  <si>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</si>
  <si>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</si>
  <si>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</si>
  <si>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</si>
  <si>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</si>
  <si>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</si>
  <si>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</si>
  <si>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</si>
  <si>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</si>
  <si>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</si>
  <si>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</si>
  <si>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</si>
  <si>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</si>
  <si>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</si>
  <si>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</si>
  <si>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</si>
  <si>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</si>
  <si>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</si>
  <si>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</si>
  <si>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</si>
  <si>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</si>
  <si>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</si>
  <si>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</si>
  <si>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</si>
  <si>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</si>
  <si>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</si>
  <si>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</si>
  <si>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</si>
  <si>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</si>
  <si>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</si>
  <si>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</si>
  <si>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</si>
  <si>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</si>
  <si>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</si>
  <si>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</si>
  <si>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</si>
  <si>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</si>
  <si>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</si>
  <si>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</si>
  <si>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</si>
  <si>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</si>
  <si>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</si>
  <si>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</si>
  <si>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</si>
  <si>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</si>
  <si>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</si>
  <si>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</si>
  <si>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</si>
  <si>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</si>
  <si>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</si>
  <si>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</si>
  <si>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</si>
  <si>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</si>
  <si>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</si>
  <si>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</si>
  <si>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</si>
  <si>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</si>
  <si>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</si>
  <si>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</si>
  <si>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</si>
  <si>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</si>
  <si>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</si>
  <si>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</si>
  <si>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</si>
  <si>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</si>
  <si>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</si>
  <si>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</si>
  <si>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</si>
  <si>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</si>
  <si>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</si>
  <si>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</si>
  <si>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</si>
  <si>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</si>
  <si>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</si>
  <si>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</si>
  <si>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</si>
  <si>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</si>
  <si>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</si>
  <si>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</si>
  <si>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</si>
  <si>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</si>
  <si>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</si>
  <si>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</si>
  <si>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</si>
  <si>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</si>
  <si>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</si>
  <si>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</si>
  <si>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</si>
  <si>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</si>
  <si>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</si>
  <si>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</si>
  <si>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</si>
  <si>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</si>
  <si>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</si>
  <si>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</si>
  <si>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</si>
  <si>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</si>
  <si>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</si>
  <si>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</si>
  <si>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</si>
  <si>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</si>
  <si>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</si>
  <si>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</si>
  <si>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</si>
  <si>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</si>
  <si>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</si>
  <si>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</si>
  <si>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</si>
  <si>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</si>
  <si>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</si>
  <si>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</si>
  <si>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</si>
  <si>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</si>
  <si>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</si>
  <si>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</si>
  <si>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</si>
  <si>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</si>
  <si>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</si>
  <si>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</si>
  <si>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</si>
  <si>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</si>
  <si>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</si>
  <si>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</si>
  <si>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</si>
  <si>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</si>
  <si>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</si>
  <si>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</si>
  <si>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</si>
  <si>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</si>
  <si>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</si>
  <si>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</si>
  <si>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</si>
  <si>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</si>
  <si>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</si>
  <si>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</si>
  <si>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</si>
  <si>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</si>
  <si>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</si>
  <si>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</si>
  <si>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</si>
  <si>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</si>
  <si>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</si>
  <si>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</si>
  <si>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</si>
  <si>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</si>
  <si>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</si>
  <si>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</si>
  <si>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</si>
  <si>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</si>
  <si>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</si>
  <si>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</si>
  <si>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</si>
  <si>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</si>
  <si>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</si>
  <si>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</si>
  <si>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</si>
  <si>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</si>
  <si>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</si>
  <si>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</si>
  <si>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</si>
  <si>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</si>
  <si>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</si>
  <si>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</si>
  <si>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</si>
  <si>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</si>
  <si>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</si>
  <si>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</si>
  <si>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</si>
  <si>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</si>
  <si>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</si>
  <si>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</si>
  <si>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</si>
  <si>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</si>
  <si>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</si>
  <si>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</si>
  <si>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</si>
  <si>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</si>
  <si>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</si>
  <si>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</si>
  <si>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</si>
  <si>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</si>
  <si>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</si>
  <si>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</si>
  <si>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</si>
  <si>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</si>
  <si>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</si>
  <si>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</si>
  <si>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</si>
  <si>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</si>
  <si>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</si>
  <si>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</si>
  <si>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</si>
  <si>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</si>
  <si>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</si>
  <si>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</si>
  <si>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</si>
  <si>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</si>
  <si>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</si>
  <si>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</si>
  <si>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</si>
  <si>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</si>
  <si>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</si>
  <si>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</si>
  <si>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</si>
  <si>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</si>
  <si>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</si>
  <si>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</si>
  <si>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</si>
  <si>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</si>
  <si>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</si>
  <si>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</si>
  <si>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</si>
  <si>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</si>
  <si>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</si>
  <si>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</si>
  <si>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</si>
  <si>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</si>
  <si>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</si>
  <si>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</si>
  <si>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</si>
  <si>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</si>
  <si>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</si>
  <si>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</si>
  <si>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</si>
  <si>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</si>
  <si>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</si>
  <si>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</si>
  <si>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</si>
  <si>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</si>
  <si>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</si>
  <si>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</si>
  <si>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</si>
  <si>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</si>
  <si>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</si>
  <si>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</si>
  <si>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</si>
  <si>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</si>
  <si>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</si>
  <si>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</si>
  <si>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</si>
  <si>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</si>
  <si>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</si>
  <si>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</si>
  <si>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</si>
  <si>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</si>
  <si>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</si>
  <si>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</si>
  <si>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</si>
  <si>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</si>
  <si>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</si>
  <si>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</si>
  <si>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</si>
  <si>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</si>
  <si>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</si>
  <si>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</si>
  <si>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</si>
  <si>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</si>
  <si>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</si>
  <si>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</si>
  <si>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</si>
  <si>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</si>
  <si>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</si>
  <si>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</si>
  <si>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</si>
  <si>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</si>
  <si>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</si>
  <si>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</si>
  <si>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</si>
  <si>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</si>
  <si>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</si>
  <si>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</si>
  <si>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</si>
  <si>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</si>
  <si>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</si>
  <si>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</si>
  <si>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</si>
  <si>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</si>
  <si>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</si>
  <si>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</si>
  <si>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</si>
  <si>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</si>
  <si>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</si>
  <si>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</si>
  <si>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</si>
  <si>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</si>
  <si>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</si>
  <si>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</si>
  <si>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</si>
  <si>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</si>
  <si>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</si>
  <si>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</si>
  <si>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</si>
  <si>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</si>
  <si>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</si>
  <si>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</si>
  <si>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</si>
  <si>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</si>
  <si>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</si>
  <si>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</si>
  <si>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</si>
  <si>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</si>
  <si>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</si>
  <si>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</si>
  <si>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</si>
  <si>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</si>
  <si>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</si>
  <si>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</si>
  <si>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</si>
  <si>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</si>
  <si>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</si>
  <si>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</si>
  <si>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</si>
  <si>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</si>
  <si>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</si>
  <si>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</si>
  <si>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</si>
  <si>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</si>
  <si>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</si>
  <si>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</si>
  <si>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</si>
  <si>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</si>
  <si>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</si>
  <si>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</si>
  <si>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</si>
  <si>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</si>
  <si>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</si>
  <si>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</si>
  <si>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</si>
  <si>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</si>
  <si>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</si>
  <si>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</si>
  <si>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</si>
  <si>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</si>
  <si>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</si>
  <si>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</si>
  <si>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</si>
  <si>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</si>
  <si>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</si>
  <si>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</si>
  <si>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</si>
  <si>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</si>
  <si>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</si>
  <si>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</si>
  <si>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</si>
  <si>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</si>
  <si>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</si>
  <si>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</si>
  <si>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</si>
  <si>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</si>
  <si>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</si>
  <si>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</si>
  <si>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</si>
  <si>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</si>
  <si>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</si>
  <si>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</si>
  <si>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</si>
  <si>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</si>
  <si>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</si>
  <si>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</si>
  <si>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</si>
  <si>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</si>
  <si>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</si>
  <si>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</si>
  <si>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</si>
  <si>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</si>
  <si>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</si>
  <si>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</si>
  <si>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</si>
  <si>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</si>
  <si>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</si>
  <si>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</si>
  <si>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</si>
  <si>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</si>
  <si>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</si>
  <si>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</si>
  <si>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</si>
  <si>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</si>
  <si>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</si>
  <si>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</si>
  <si>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</si>
  <si>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</si>
  <si>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</si>
  <si>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</si>
  <si>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</si>
  <si>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</si>
  <si>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</si>
  <si>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</si>
  <si>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</si>
  <si>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</si>
  <si>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</si>
  <si>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</si>
  <si>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</si>
  <si>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</si>
  <si>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</si>
  <si>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</si>
  <si>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</si>
  <si>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</si>
  <si>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</si>
  <si>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</si>
  <si>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</si>
  <si>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</si>
  <si>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</si>
  <si>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</si>
  <si>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</si>
  <si>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</si>
  <si>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</si>
  <si>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</si>
  <si>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</si>
  <si>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</si>
  <si>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</si>
  <si>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</si>
  <si>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</si>
  <si>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</si>
  <si>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</si>
  <si>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</si>
  <si>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</si>
  <si>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</si>
  <si>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</si>
  <si>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</si>
  <si>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</si>
  <si>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</si>
  <si>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</si>
  <si>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</si>
  <si>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</si>
  <si>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</si>
  <si>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</si>
  <si>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</si>
  <si>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</si>
  <si>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</si>
  <si>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</si>
  <si>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</si>
  <si>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</si>
  <si>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</si>
  <si>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</si>
  <si>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</si>
  <si>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</si>
  <si>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</si>
  <si>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</si>
  <si>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</si>
  <si>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</si>
  <si>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</si>
  <si>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</si>
  <si>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</si>
  <si>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</si>
  <si>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</si>
  <si>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</si>
  <si>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</si>
  <si>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</si>
  <si>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</si>
  <si>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</si>
  <si>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</si>
  <si>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</si>
  <si>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</si>
  <si>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</si>
  <si>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</si>
  <si>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</si>
  <si>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</si>
  <si>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</si>
  <si>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</si>
  <si>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</si>
  <si>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</si>
  <si>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</si>
  <si>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</si>
  <si>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</si>
  <si>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</si>
  <si>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</si>
  <si>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</si>
  <si>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</si>
  <si>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</si>
  <si>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</si>
  <si>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</si>
  <si>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</si>
  <si>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</si>
  <si>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</si>
  <si>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</si>
  <si>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</si>
  <si>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</si>
  <si>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</si>
  <si>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</si>
  <si>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</si>
  <si>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</si>
  <si>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</si>
  <si>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</si>
  <si>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</si>
  <si>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</si>
  <si>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</si>
  <si>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</si>
  <si>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</si>
  <si>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</si>
  <si>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</si>
  <si>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</si>
  <si>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</si>
  <si>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</si>
  <si>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</si>
  <si>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</si>
  <si>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</si>
  <si>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</si>
  <si>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</si>
  <si>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</si>
  <si>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</si>
  <si>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</si>
  <si>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</si>
  <si>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</si>
  <si>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</si>
  <si>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</si>
  <si>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</si>
  <si>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</si>
  <si>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</si>
  <si>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</si>
  <si>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</si>
  <si>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</si>
  <si>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</si>
  <si>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</si>
  <si>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</si>
  <si>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</si>
  <si>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</si>
  <si>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</si>
  <si>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</si>
  <si>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</si>
  <si>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</si>
  <si>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</si>
  <si>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</si>
  <si>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</si>
  <si>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</si>
  <si>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</si>
  <si>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</si>
  <si>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</si>
  <si>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</si>
  <si>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</si>
  <si>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</si>
  <si>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</si>
  <si>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</si>
  <si>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</si>
  <si>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</si>
  <si>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</si>
  <si>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</si>
  <si>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</si>
  <si>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</si>
  <si>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</si>
  <si>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</si>
  <si>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</si>
  <si>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</si>
  <si>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</si>
  <si>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</si>
  <si>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</si>
  <si>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</si>
  <si>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</si>
  <si>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</si>
  <si>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</si>
  <si>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</si>
  <si>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</si>
  <si>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</si>
  <si>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</si>
  <si>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</si>
  <si>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</si>
  <si>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</si>
  <si>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</si>
  <si>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</si>
  <si>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</si>
  <si>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</si>
  <si>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</si>
  <si>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</si>
  <si>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</si>
  <si>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</si>
  <si>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</si>
  <si>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</si>
  <si>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</si>
  <si>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</si>
  <si>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</si>
  <si>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</si>
  <si>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</si>
  <si>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</si>
  <si>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</si>
  <si>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</si>
  <si>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</si>
  <si>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</si>
  <si>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</si>
  <si>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</si>
  <si>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</si>
  <si>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</si>
  <si>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</si>
  <si>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</si>
  <si>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</si>
  <si>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</si>
  <si>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</si>
  <si>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</si>
  <si>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</si>
  <si>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</si>
  <si>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</si>
  <si>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</si>
  <si>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</si>
  <si>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</si>
  <si>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</si>
  <si>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</si>
  <si>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</si>
  <si>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</si>
  <si>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</si>
  <si>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</si>
  <si>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</si>
  <si>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</si>
  <si>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</si>
  <si>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</si>
  <si>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</si>
  <si>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</si>
  <si>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</si>
  <si>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</si>
  <si>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</si>
  <si>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</si>
  <si>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</si>
  <si>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</si>
  <si>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</si>
  <si>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</si>
  <si>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</si>
  <si>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</si>
  <si>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</si>
  <si>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</si>
  <si>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</si>
  <si>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</si>
  <si>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</si>
  <si>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</si>
  <si>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</si>
  <si>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</si>
  <si>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</si>
  <si>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</si>
  <si>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</si>
  <si>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</si>
  <si>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</si>
  <si>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</si>
  <si>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</si>
  <si>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</si>
  <si>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</si>
  <si>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</si>
  <si>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</si>
  <si>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</si>
  <si>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</si>
  <si>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</si>
  <si>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</si>
  <si>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</si>
  <si>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</si>
  <si>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</si>
  <si>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</si>
  <si>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</si>
  <si>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</si>
  <si>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</si>
  <si>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</si>
  <si>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</si>
  <si>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</si>
  <si>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</si>
  <si>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</si>
  <si>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</si>
  <si>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</si>
  <si>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</si>
  <si>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</si>
  <si>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</si>
  <si>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</si>
  <si>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</si>
  <si>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</si>
  <si>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</si>
  <si>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</si>
  <si>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</si>
  <si>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</si>
  <si>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</si>
  <si>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</si>
  <si>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</si>
  <si>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</si>
  <si>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</si>
  <si>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</si>
  <si>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</si>
  <si>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</si>
  <si>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</si>
  <si>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</si>
  <si>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</si>
  <si>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</si>
  <si>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</si>
  <si>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</si>
  <si>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</si>
  <si>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</si>
  <si>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</si>
  <si>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</si>
  <si>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</si>
  <si>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</si>
  <si>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</si>
  <si>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</si>
  <si>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</si>
  <si>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</si>
  <si>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</si>
  <si>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</si>
  <si>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</si>
  <si>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</si>
  <si>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</si>
  <si>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</si>
  <si>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</si>
  <si>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</si>
  <si>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</si>
  <si>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</si>
  <si>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</si>
  <si>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</si>
  <si>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</si>
  <si>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</si>
  <si>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</si>
  <si>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</si>
  <si>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</si>
  <si>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</si>
  <si>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</si>
  <si>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</si>
  <si>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</si>
  <si>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</si>
  <si>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</si>
  <si>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</si>
  <si>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</si>
  <si>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</si>
  <si>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</si>
  <si>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</si>
  <si>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</si>
  <si>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</si>
  <si>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</si>
  <si>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</si>
  <si>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</si>
  <si>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</si>
  <si>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</si>
  <si>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</si>
  <si>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</si>
  <si>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</si>
  <si>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</si>
  <si>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</si>
  <si>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</si>
  <si>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</si>
  <si>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</si>
  <si>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</si>
  <si>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</si>
  <si>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</si>
  <si>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</si>
  <si>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</si>
  <si>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</si>
  <si>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</si>
  <si>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</si>
  <si>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</si>
  <si>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</si>
  <si>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</si>
  <si>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</si>
  <si>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</si>
  <si>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</si>
  <si>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</si>
  <si>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</si>
  <si>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</si>
  <si>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</si>
  <si>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</si>
  <si>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</si>
  <si>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</si>
  <si>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</si>
  <si>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</si>
  <si>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</si>
  <si>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</si>
  <si>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</si>
  <si>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</si>
  <si>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</si>
  <si>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</si>
  <si>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</si>
  <si>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</si>
  <si>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</si>
  <si>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</si>
  <si>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</si>
  <si>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</si>
  <si>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</si>
  <si>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</si>
  <si>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</si>
  <si>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</si>
  <si>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</si>
  <si>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</si>
  <si>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</si>
  <si>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</si>
  <si>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</si>
  <si>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</si>
  <si>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</si>
  <si>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</si>
  <si>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</si>
  <si>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</si>
  <si>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</si>
  <si>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</si>
  <si>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</si>
  <si>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</si>
  <si>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</si>
  <si>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</si>
  <si>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</si>
  <si>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</si>
  <si>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</si>
  <si>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</si>
  <si>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</si>
  <si>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</si>
  <si>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</si>
  <si>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</si>
  <si>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</si>
  <si>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</si>
  <si>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</si>
  <si>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</si>
  <si>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</si>
  <si>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</si>
  <si>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</si>
  <si>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</si>
  <si>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</si>
  <si>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</si>
  <si>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</si>
  <si>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</si>
  <si>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</si>
  <si>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</si>
  <si>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</si>
  <si>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</si>
  <si>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</si>
  <si>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</si>
  <si>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</si>
  <si>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</si>
  <si>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</si>
  <si>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</si>
  <si>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</si>
  <si>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</si>
  <si>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</si>
  <si>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</si>
  <si>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</si>
  <si>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</si>
  <si>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</si>
  <si>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</si>
  <si>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</si>
  <si>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</si>
  <si>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</si>
  <si>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</si>
  <si>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</si>
  <si>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</si>
  <si>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</si>
  <si>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</si>
  <si>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</si>
  <si>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</si>
  <si>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</si>
  <si>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</si>
  <si>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</si>
  <si>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</si>
  <si>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</si>
  <si>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</si>
  <si>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</si>
  <si>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</si>
  <si>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</si>
  <si>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</si>
  <si>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</si>
  <si>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</si>
  <si>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</si>
  <si>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</si>
  <si>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</si>
  <si>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</si>
  <si>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</si>
  <si>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</si>
  <si>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</si>
  <si>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</si>
  <si>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</si>
  <si>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</si>
  <si>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</si>
  <si>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</si>
  <si>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</si>
  <si>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</si>
  <si>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</si>
  <si>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</si>
  <si>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</si>
  <si>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</si>
  <si>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</si>
  <si>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</si>
  <si>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</si>
  <si>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</si>
  <si>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</si>
  <si>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</si>
  <si>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</si>
  <si>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</si>
  <si>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</si>
  <si>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</si>
  <si>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</si>
  <si>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</si>
  <si>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</si>
  <si>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</si>
  <si>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</si>
  <si>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</si>
  <si>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</si>
  <si>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</si>
  <si>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</si>
  <si>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</si>
  <si>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</si>
  <si>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</si>
  <si>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</si>
  <si>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</si>
  <si>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</si>
  <si>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</si>
  <si>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</si>
  <si>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</si>
  <si>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</si>
  <si>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</si>
  <si>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</si>
  <si>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</si>
  <si>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</si>
  <si>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</si>
  <si>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</si>
  <si>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</si>
  <si>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</si>
  <si>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</si>
  <si>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</si>
  <si>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</si>
  <si>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</si>
  <si>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</si>
  <si>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</si>
  <si>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</si>
  <si>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</si>
  <si>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</si>
  <si>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</si>
  <si>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</si>
  <si>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</si>
  <si>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</si>
  <si>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</si>
  <si>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</si>
  <si>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</si>
  <si>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</si>
  <si>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</si>
  <si>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</si>
  <si>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</si>
  <si>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</si>
  <si>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</si>
  <si>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</si>
  <si>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</si>
  <si>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</si>
  <si>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</si>
  <si>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</si>
  <si>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</si>
  <si>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</si>
  <si>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</si>
  <si>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</si>
  <si>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</si>
  <si>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</si>
  <si>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</si>
  <si>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</si>
  <si>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</si>
  <si>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</si>
  <si>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</si>
  <si>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</si>
  <si>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</si>
  <si>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</si>
  <si>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</si>
  <si>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</si>
  <si>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</si>
  <si>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</si>
  <si>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</si>
  <si>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</si>
  <si>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</si>
  <si>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</si>
  <si>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</si>
  <si>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</si>
  <si>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</si>
  <si>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</si>
  <si>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</si>
  <si>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</si>
  <si>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</si>
  <si>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</si>
  <si>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</si>
  <si>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</si>
  <si>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</si>
  <si>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</si>
  <si>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</si>
  <si>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</si>
  <si>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</si>
  <si>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</si>
  <si>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</si>
  <si>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</si>
  <si>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</si>
  <si>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</si>
  <si>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</si>
  <si>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</si>
  <si>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</si>
  <si>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</si>
  <si>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</si>
  <si>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</si>
  <si>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</si>
  <si>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</si>
  <si>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</si>
  <si>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</si>
  <si>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</si>
  <si>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</si>
  <si>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</si>
  <si>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</si>
  <si>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</si>
  <si>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</si>
  <si>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</si>
  <si>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</si>
  <si>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</si>
  <si>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</si>
  <si>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</si>
  <si>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</si>
  <si>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</si>
  <si>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</si>
  <si>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</si>
  <si>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</si>
  <si>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</si>
  <si>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</si>
  <si>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</si>
  <si>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</si>
  <si>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</si>
  <si>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</si>
  <si>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</si>
  <si>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</si>
  <si>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</si>
  <si>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</si>
  <si>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</si>
  <si>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</si>
  <si>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</si>
  <si>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</si>
  <si>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</si>
  <si>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</si>
  <si>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</si>
  <si>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</si>
  <si>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</si>
  <si>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</si>
  <si>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</si>
  <si>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</si>
  <si>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</si>
  <si>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</si>
  <si>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</si>
  <si>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</si>
  <si>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</si>
  <si>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</si>
  <si>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</si>
  <si>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</si>
  <si>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</si>
  <si>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</si>
  <si>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</si>
  <si>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</si>
  <si>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</si>
  <si>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</si>
  <si>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</si>
  <si>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</si>
  <si>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</si>
  <si>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</si>
  <si>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</si>
  <si>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</si>
  <si>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</si>
  <si>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</si>
  <si>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</si>
  <si>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</si>
  <si>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</si>
  <si>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</si>
  <si>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</si>
  <si>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</si>
  <si>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</si>
  <si>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</si>
  <si>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</si>
  <si>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</si>
  <si>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</si>
  <si>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</si>
  <si>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</si>
  <si>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</si>
  <si>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</si>
  <si>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</si>
  <si>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</si>
  <si>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</si>
  <si>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</si>
  <si>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</si>
  <si>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</si>
  <si>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</si>
  <si>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</si>
  <si>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</si>
  <si>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</si>
  <si>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</si>
  <si>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</si>
  <si>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</si>
  <si>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</si>
  <si>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</si>
  <si>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</si>
  <si>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</si>
  <si>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</si>
  <si>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</si>
  <si>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</si>
  <si>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</si>
  <si>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</si>
  <si>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</si>
  <si>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</si>
  <si>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</si>
  <si>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</si>
  <si>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</si>
  <si>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</si>
  <si>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</si>
  <si>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</si>
  <si>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</si>
  <si>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</si>
  <si>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</si>
  <si>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</si>
  <si>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</si>
  <si>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</si>
  <si>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</si>
  <si>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</si>
  <si>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</si>
  <si>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</si>
  <si>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</si>
  <si>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</si>
  <si>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</si>
  <si>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</si>
  <si>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</si>
  <si>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</si>
  <si>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</si>
  <si>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</si>
  <si>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</si>
  <si>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</si>
  <si>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</si>
  <si>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</si>
  <si>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</si>
  <si>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</si>
  <si>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</si>
  <si>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</si>
  <si>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</si>
  <si>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</si>
  <si>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</si>
  <si>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</si>
  <si>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</si>
  <si>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</si>
  <si>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</si>
  <si>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</si>
  <si>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</si>
  <si>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</si>
  <si>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</si>
  <si>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</si>
  <si>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</si>
  <si>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</si>
  <si>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</si>
  <si>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</si>
  <si>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</si>
  <si>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</si>
  <si>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</si>
  <si>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</si>
  <si>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</si>
  <si>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</si>
  <si>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</si>
  <si>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</si>
  <si>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</si>
  <si>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</si>
  <si>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</si>
  <si>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</si>
  <si>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</si>
  <si>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</si>
  <si>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</si>
  <si>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</si>
  <si>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</si>
  <si>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</si>
  <si>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</si>
  <si>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</si>
  <si>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</si>
  <si>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</si>
  <si>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</si>
  <si>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</si>
  <si>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</si>
  <si>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</si>
  <si>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</si>
  <si>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</si>
  <si>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</si>
  <si>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</si>
  <si>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</si>
  <si>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</si>
  <si>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</si>
  <si>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</si>
  <si>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</si>
  <si>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</si>
  <si>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</si>
  <si>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</si>
  <si>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</si>
  <si>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</si>
  <si>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</si>
  <si>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</si>
  <si>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</si>
  <si>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</si>
  <si>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</si>
  <si>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</si>
  <si>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</si>
  <si>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</si>
  <si>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</si>
  <si>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</si>
  <si>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</si>
  <si>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</si>
  <si>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</si>
  <si>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</si>
  <si>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</si>
  <si>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</si>
  <si>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</si>
  <si>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</si>
  <si>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</si>
  <si>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</si>
  <si>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</si>
  <si>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</si>
  <si>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</si>
  <si>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</si>
  <si>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</si>
  <si>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</si>
  <si>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</si>
  <si>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</si>
  <si>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</si>
  <si>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</si>
  <si>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</si>
  <si>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</si>
  <si>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</si>
  <si>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</si>
  <si>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</si>
  <si>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</si>
  <si>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</si>
  <si>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</si>
  <si>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</si>
  <si>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</si>
  <si>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</si>
  <si>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</si>
  <si>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</si>
  <si>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</si>
  <si>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</si>
  <si>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</si>
  <si>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</si>
  <si>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</si>
  <si>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</si>
  <si>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</si>
  <si>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</si>
  <si>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</si>
  <si>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</si>
  <si>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</si>
  <si>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</si>
  <si>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</si>
  <si>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</si>
  <si>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</si>
  <si>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</si>
  <si>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</si>
  <si>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</si>
  <si>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</si>
  <si>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</si>
  <si>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</si>
  <si>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</si>
  <si>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</si>
  <si>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</si>
  <si>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</si>
  <si>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</si>
  <si>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</si>
  <si>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</si>
  <si>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</si>
  <si>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</si>
  <si>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</si>
  <si>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</si>
  <si>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</si>
  <si>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</si>
  <si>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</si>
  <si>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</si>
  <si>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</si>
  <si>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</si>
  <si>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</si>
  <si>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</si>
  <si>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</si>
  <si>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</si>
  <si>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</si>
  <si>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</si>
  <si>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</si>
  <si>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</si>
  <si>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</si>
  <si>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</si>
  <si>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</si>
  <si>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</si>
  <si>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</si>
  <si>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</si>
  <si>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</si>
  <si>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</si>
  <si>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</si>
  <si>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</si>
  <si>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</si>
  <si>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</si>
  <si>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</si>
  <si>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</si>
  <si>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</si>
  <si>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</si>
  <si>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</si>
  <si>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</si>
  <si>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</si>
  <si>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</si>
  <si>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</si>
  <si>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</si>
  <si>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</si>
  <si>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</si>
  <si>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</si>
  <si>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</si>
  <si>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</si>
  <si>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</si>
  <si>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</si>
  <si>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</si>
  <si>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</si>
  <si>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</si>
  <si>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</si>
  <si>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</si>
  <si>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</si>
  <si>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</si>
  <si>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</si>
  <si>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</si>
  <si>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</si>
  <si>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</si>
  <si>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</si>
  <si>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</si>
  <si>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</si>
  <si>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</si>
  <si>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</si>
  <si>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</si>
  <si>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</si>
  <si>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</si>
  <si>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</si>
  <si>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</si>
  <si>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</si>
  <si>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</si>
  <si>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</si>
  <si>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</si>
  <si>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</si>
  <si>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</si>
  <si>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</si>
  <si>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</si>
  <si>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</si>
  <si>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</si>
  <si>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</si>
  <si>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</si>
  <si>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</si>
  <si>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</si>
  <si>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</si>
  <si>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</si>
  <si>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</si>
  <si>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</si>
  <si>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</si>
  <si>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</si>
  <si>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</si>
  <si>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</si>
  <si>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</si>
  <si>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</si>
  <si>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</si>
  <si>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</si>
  <si>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</si>
  <si>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</si>
  <si>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</si>
  <si>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</si>
  <si>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</si>
  <si>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</si>
  <si>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</si>
  <si>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</si>
  <si>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</si>
  <si>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</si>
  <si>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</si>
  <si>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</si>
  <si>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</si>
  <si>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</si>
  <si>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</si>
  <si>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</si>
  <si>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</si>
  <si>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</si>
  <si>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</si>
  <si>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</si>
  <si>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</si>
  <si>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</si>
  <si>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</si>
  <si>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</si>
  <si>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</si>
  <si>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</si>
  <si>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</si>
  <si>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</si>
  <si>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</si>
  <si>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</si>
  <si>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</si>
  <si>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</si>
  <si>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</si>
  <si>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</si>
  <si>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</si>
  <si>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</si>
  <si>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</si>
  <si>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</si>
  <si>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</si>
  <si>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</si>
  <si>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</si>
  <si>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</si>
  <si>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</si>
  <si>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</si>
  <si>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</si>
  <si>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</si>
  <si>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</si>
  <si>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</si>
  <si>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</si>
  <si>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</si>
  <si>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</si>
  <si>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</si>
  <si>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</si>
  <si>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</si>
  <si>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</si>
  <si>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</si>
  <si>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</si>
  <si>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</si>
  <si>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</si>
  <si>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</si>
  <si>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</si>
  <si>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</si>
  <si>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</si>
  <si>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</si>
  <si>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</si>
  <si>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</si>
  <si>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</si>
  <si>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</si>
  <si>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</si>
  <si>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</si>
  <si>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</si>
  <si>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</si>
  <si>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</si>
  <si>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</si>
  <si>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</si>
  <si>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</si>
  <si>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</si>
  <si>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</si>
  <si>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</si>
  <si>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</si>
  <si>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</si>
  <si>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</si>
  <si>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</si>
  <si>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</si>
  <si>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</si>
  <si>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</si>
  <si>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</si>
  <si>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</si>
  <si>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</si>
  <si>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</si>
  <si>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</si>
  <si>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</si>
  <si>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</si>
  <si>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</si>
  <si>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</si>
  <si>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</si>
  <si>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</si>
  <si>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</si>
  <si>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</si>
  <si>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</si>
  <si>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</si>
  <si>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</si>
  <si>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</si>
  <si>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</si>
  <si>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</si>
  <si>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</si>
  <si>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</si>
  <si>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</si>
  <si>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</si>
  <si>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</si>
  <si>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</si>
  <si>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</si>
  <si>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</si>
  <si>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</si>
  <si>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</si>
  <si>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</si>
  <si>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</si>
  <si>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</si>
  <si>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</si>
  <si>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</si>
  <si>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</si>
  <si>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</si>
  <si>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</si>
  <si>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</si>
  <si>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</si>
  <si>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</si>
  <si>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</si>
  <si>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</si>
  <si>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</si>
  <si>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</si>
  <si>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</si>
  <si>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</si>
  <si>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</si>
  <si>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</si>
  <si>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</si>
  <si>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</si>
  <si>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</si>
  <si>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</si>
  <si>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</si>
  <si>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</si>
  <si>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</si>
  <si>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</si>
  <si>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</si>
  <si>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</si>
  <si>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</si>
  <si>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</si>
  <si>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</si>
  <si>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</si>
  <si>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</si>
  <si>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</si>
  <si>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</si>
  <si>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</si>
  <si>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</si>
  <si>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</si>
  <si>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</si>
  <si>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</si>
  <si>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</si>
  <si>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</si>
  <si>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</si>
  <si>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</si>
  <si>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</si>
  <si>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</si>
  <si>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</si>
  <si>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</si>
  <si>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</si>
  <si>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</si>
  <si>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</si>
  <si>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</si>
  <si>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</si>
  <si>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</si>
  <si>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</si>
  <si>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</si>
  <si>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</si>
  <si>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</si>
  <si>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</si>
  <si>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</si>
  <si>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</si>
  <si>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</si>
  <si>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</si>
  <si>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</si>
  <si>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</si>
  <si>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</si>
  <si>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</si>
  <si>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</si>
  <si>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</si>
  <si>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</si>
  <si>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</si>
  <si>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</si>
  <si>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</si>
  <si>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</si>
  <si>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</si>
  <si>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</si>
  <si>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</si>
  <si>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</si>
  <si>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</si>
  <si>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</si>
  <si>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</si>
  <si>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</si>
  <si>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</si>
  <si>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</si>
  <si>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</si>
  <si>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</si>
  <si>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</si>
  <si>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</si>
  <si>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</si>
  <si>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</si>
  <si>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</si>
  <si>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</si>
  <si>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</si>
  <si>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</si>
  <si>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</si>
  <si>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</si>
  <si>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</si>
  <si>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</si>
  <si>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</si>
  <si>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</si>
  <si>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</si>
  <si>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</si>
  <si>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</si>
  <si>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</si>
  <si>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</si>
  <si>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</si>
  <si>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</si>
  <si>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</si>
  <si>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</si>
  <si>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</si>
  <si>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</si>
  <si>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</si>
  <si>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</si>
  <si>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</si>
  <si>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</si>
  <si>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</si>
  <si>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</si>
  <si>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</si>
  <si>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</si>
  <si>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</si>
  <si>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</si>
  <si>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</si>
  <si>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</si>
  <si>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</si>
  <si>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</si>
  <si>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</si>
  <si>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</si>
  <si>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</si>
  <si>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</si>
  <si>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</si>
  <si>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</si>
  <si>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</si>
  <si>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</si>
  <si>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</si>
  <si>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</si>
  <si>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</si>
  <si>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</si>
  <si>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</si>
  <si>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</si>
  <si>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</si>
  <si>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</si>
  <si>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</si>
  <si>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</si>
  <si>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</si>
  <si>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</si>
  <si>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</si>
  <si>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</si>
  <si>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</si>
  <si>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</si>
  <si>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</si>
  <si>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</si>
  <si>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</si>
  <si>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</si>
  <si>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</si>
  <si>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</si>
  <si>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</si>
  <si>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</si>
  <si>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</si>
  <si>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</si>
  <si>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</si>
  <si>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</si>
  <si>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</si>
  <si>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</si>
  <si>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</si>
  <si>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</si>
  <si>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</si>
  <si>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</si>
  <si>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</si>
  <si>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</si>
  <si>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</si>
  <si>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</si>
  <si>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</si>
  <si>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</si>
  <si>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</si>
  <si>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</si>
  <si>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</si>
  <si>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</si>
  <si>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</si>
  <si>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</si>
  <si>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</si>
  <si>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</si>
  <si>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</si>
  <si>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</si>
  <si>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</si>
  <si>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</si>
  <si>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</si>
  <si>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</si>
  <si>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</si>
  <si>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</si>
  <si>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</si>
  <si>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</si>
  <si>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</si>
  <si>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</si>
  <si>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</si>
  <si>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</si>
  <si>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</si>
  <si>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</si>
  <si>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</si>
  <si>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</si>
  <si>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</si>
  <si>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</si>
  <si>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</si>
  <si>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</si>
  <si>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</si>
  <si>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</si>
  <si>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</si>
  <si>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</si>
  <si>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</si>
  <si>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</si>
  <si>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</si>
  <si>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</si>
  <si>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</si>
  <si>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</si>
  <si>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</si>
  <si>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</si>
  <si>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</si>
  <si>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</si>
  <si>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</si>
  <si>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</si>
  <si>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</si>
  <si>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</si>
  <si>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</si>
  <si>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</si>
  <si>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</si>
  <si>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</si>
  <si>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</si>
  <si>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</si>
  <si>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</si>
  <si>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</si>
  <si>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</si>
  <si>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</si>
  <si>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</si>
  <si>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</si>
  <si>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</si>
  <si>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</si>
  <si>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</si>
  <si>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</si>
  <si>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</si>
  <si>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</si>
  <si>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</si>
  <si>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</si>
  <si>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</si>
  <si>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</si>
  <si>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</si>
  <si>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</si>
  <si>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</si>
  <si>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</si>
  <si>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</si>
  <si>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</si>
  <si>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</si>
  <si>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</si>
  <si>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</si>
  <si>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</si>
  <si>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</si>
  <si>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</si>
  <si>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</si>
  <si>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</si>
  <si>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</si>
  <si>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</si>
  <si>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</si>
  <si>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</si>
  <si>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</si>
  <si>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</si>
  <si>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</si>
  <si>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</si>
  <si>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</si>
  <si>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</si>
  <si>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</si>
  <si>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</si>
  <si>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</si>
  <si>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</si>
  <si>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</si>
  <si>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</si>
  <si>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</si>
  <si>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</si>
  <si>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</si>
  <si>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</si>
  <si>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综合项目（商业、办公）</t>
  </si>
  <si>
    <t>现房</t>
  </si>
  <si>
    <t>Ⅶ-兴1</t>
  </si>
  <si>
    <t>地上</t>
  </si>
  <si>
    <t>地下</t>
  </si>
  <si>
    <t>车库—商业</t>
  </si>
  <si>
    <t>商业</t>
    <phoneticPr fontId="3" type="noConversion"/>
  </si>
  <si>
    <t>车库</t>
    <phoneticPr fontId="3" type="noConversion"/>
  </si>
  <si>
    <r>
      <rPr>
        <sz val="10"/>
        <color indexed="8"/>
        <rFont val="宋体"/>
        <family val="3"/>
        <charset val="134"/>
      </rPr>
      <t>地下</t>
    </r>
    <r>
      <rPr>
        <sz val="10"/>
        <color indexed="8"/>
        <rFont val="Arial"/>
        <family val="2"/>
      </rPr>
      <t>1</t>
    </r>
    <r>
      <rPr>
        <sz val="10"/>
        <color indexed="8"/>
        <rFont val="宋体"/>
        <family val="3"/>
        <charset val="134"/>
      </rPr>
      <t>层自行车库</t>
    </r>
    <phoneticPr fontId="3" type="noConversion"/>
  </si>
  <si>
    <t>附属用房</t>
    <phoneticPr fontId="3" type="noConversion"/>
  </si>
  <si>
    <t>是</t>
  </si>
  <si>
    <t>商业</t>
    <phoneticPr fontId="7" type="noConversion"/>
  </si>
  <si>
    <t>成新度</t>
  </si>
  <si>
    <t>收益法</t>
  </si>
  <si>
    <t>利息：取LPR加浮动点数</t>
  </si>
  <si>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</si>
  <si>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</si>
  <si>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</si>
  <si>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</si>
  <si>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</si>
  <si>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</si>
  <si>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</si>
  <si>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</si>
  <si>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</si>
  <si>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</si>
  <si>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</si>
  <si>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</si>
  <si>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</si>
  <si>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</si>
  <si>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</si>
  <si>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</si>
  <si>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</si>
  <si>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</si>
  <si>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</si>
  <si>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</si>
  <si>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</si>
  <si>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</si>
  <si>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</si>
  <si>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</si>
  <si>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</si>
  <si>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</si>
  <si>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</si>
  <si>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</si>
  <si>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</si>
  <si>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</si>
  <si>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</si>
  <si>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</si>
  <si>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</si>
  <si>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</si>
  <si>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</si>
  <si>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</si>
  <si>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</si>
  <si>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</si>
  <si>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</si>
  <si>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</si>
  <si>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</si>
  <si>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</si>
  <si>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</si>
  <si>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</si>
  <si>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</si>
  <si>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</si>
  <si>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</si>
  <si>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</si>
  <si>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</si>
  <si>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</si>
  <si>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</si>
  <si>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</si>
  <si>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</si>
  <si>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</si>
  <si>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</si>
  <si>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</si>
  <si>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</si>
  <si>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</si>
  <si>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</si>
  <si>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</si>
  <si>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</si>
  <si>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</si>
  <si>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</si>
  <si>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</si>
  <si>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</si>
  <si>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</si>
  <si>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</si>
  <si>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</si>
  <si>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</si>
  <si>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</si>
  <si>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</si>
  <si>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</si>
  <si>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</si>
  <si>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</si>
  <si>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</si>
  <si>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sz val="10"/>
        <rFont val="宋体"/>
        <family val="3"/>
        <charset val="134"/>
      </rPr>
      <t>按比例</t>
    </r>
  </si>
  <si>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</si>
  <si>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</si>
  <si>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</si>
  <si>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</si>
  <si>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</si>
  <si>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</si>
  <si>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</si>
  <si>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</si>
  <si>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</si>
  <si>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</si>
  <si>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</si>
  <si>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</si>
  <si>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</si>
  <si>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</si>
  <si>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</si>
  <si>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</si>
  <si>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</si>
  <si>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</si>
  <si>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</si>
  <si>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</si>
  <si>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</si>
  <si>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</si>
  <si>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</si>
  <si>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</si>
  <si>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</si>
  <si>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</si>
  <si>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</si>
  <si>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</si>
  <si>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</si>
  <si>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</si>
  <si>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</si>
  <si>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</si>
  <si>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</si>
  <si>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</si>
  <si>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</si>
  <si>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</si>
  <si>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</si>
  <si>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</si>
  <si>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</si>
  <si>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</si>
  <si>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</si>
  <si>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</si>
  <si>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</si>
  <si>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周边办公租金</t>
    </r>
    <phoneticPr fontId="3" type="noConversion"/>
  </si>
  <si>
    <r>
      <rPr>
        <sz val="10"/>
        <rFont val="宋体"/>
        <family val="3"/>
        <charset val="134"/>
      </rPr>
      <t>周边商业租金</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</si>
  <si>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</si>
  <si>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</si>
  <si>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</si>
  <si>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</si>
  <si>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</si>
  <si>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</si>
  <si>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</si>
  <si>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</si>
  <si>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</si>
  <si>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</si>
  <si>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</si>
  <si>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</si>
  <si>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</si>
  <si>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</si>
  <si>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</si>
  <si>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</si>
  <si>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t>押一</t>
  </si>
  <si>
    <t>按租金收入计税</t>
  </si>
  <si>
    <t>钢混</t>
  </si>
  <si>
    <t>非生产用房</t>
  </si>
  <si>
    <t>批发零售用地</t>
  </si>
  <si>
    <t>不临58条商业街</t>
  </si>
  <si>
    <t>与级别开发程度一致</t>
  </si>
  <si>
    <t>地价指数</t>
  </si>
  <si>
    <t>楼层修正</t>
  </si>
  <si>
    <t>分层建筑面积</t>
  </si>
  <si>
    <t>层次</t>
  </si>
  <si>
    <t>非人防</t>
  </si>
  <si>
    <t>汽车库</t>
  </si>
  <si>
    <t>超市、自行车库</t>
  </si>
  <si>
    <t>商业用房</t>
  </si>
  <si>
    <t>附属用房</t>
  </si>
  <si>
    <t>未包含在土地购买价格中</t>
  </si>
  <si>
    <t>已包含在土地取得成本中</t>
  </si>
  <si>
    <t>北京市大兴区黄村镇DX00-0201-6001地块B14旅馆用地</t>
  </si>
  <si>
    <t> 32021</t>
  </si>
  <si>
    <t>京土整储挂(兴)[2021]089号</t>
  </si>
  <si>
    <t>商业/办公用地</t>
  </si>
  <si>
    <t>挂牌</t>
  </si>
  <si>
    <t>2021年第3批次</t>
  </si>
  <si>
    <t>已成交</t>
  </si>
  <si>
    <t>北京大兴宾馆有限责任公司</t>
  </si>
  <si>
    <t>北京经济技术开发区路东区G4F-4、G6F-1、G6F-5、G7F-1、G7F-2、G7F-3地块F3其他类多功能用地国有建设用地</t>
  </si>
  <si>
    <t>京土整储挂(开)[2020]029号</t>
  </si>
  <si>
    <t>g4f-4≤3,g6f-1、g6f-5、g7f-1、g7f-2≤2.5,g7f-3≤1.96</t>
  </si>
  <si>
    <t>F3其他类多功能用地</t>
  </si>
  <si>
    <t>北京通明湖信息城发展有限公司</t>
  </si>
  <si>
    <t>北京经济技术开发区河西区X78C2地块B4综合性商业金融服务业用地</t>
  </si>
  <si>
    <t>京土整储挂(开)[2019]019号</t>
  </si>
  <si>
    <t>≤2</t>
  </si>
  <si>
    <t>北京尚恒锦瑞商业运营管理有限公司</t>
  </si>
  <si>
    <t>北京经济技术开发区南海子郊野公园B片区B-04/ B-06/B-11地块F3其他类多功能用地</t>
  </si>
  <si>
    <t>京土整储挂(开)[2019]006号</t>
  </si>
  <si>
    <t>b-04、b-06≤1.5,b-11≤2</t>
  </si>
  <si>
    <t>北京国苑体育文化投资有限责任公司</t>
  </si>
  <si>
    <t>成交日期</t>
    <phoneticPr fontId="140" type="noConversion"/>
  </si>
  <si>
    <t>成交状态</t>
    <phoneticPr fontId="140" type="noConversion"/>
  </si>
  <si>
    <t>受让单位</t>
    <phoneticPr fontId="140" type="noConversion"/>
  </si>
  <si>
    <t>成交价</t>
    <phoneticPr fontId="140" type="noConversion"/>
  </si>
  <si>
    <t>成交楼面</t>
    <phoneticPr fontId="140" type="noConversion"/>
  </si>
  <si>
    <t>溢价率</t>
    <phoneticPr fontId="140" type="noConversion"/>
  </si>
  <si>
    <t>正常</t>
  </si>
  <si>
    <t>建筑面积</t>
    <phoneticPr fontId="140" type="noConversion"/>
  </si>
  <si>
    <t>土地面积</t>
    <phoneticPr fontId="140" type="noConversion"/>
  </si>
  <si>
    <t>容积率</t>
    <phoneticPr fontId="140" type="noConversion"/>
  </si>
  <si>
    <t>商业</t>
    <phoneticPr fontId="31" type="noConversion"/>
  </si>
  <si>
    <r>
      <t>B14</t>
    </r>
    <r>
      <rPr>
        <sz val="9"/>
        <color rgb="FF333333"/>
        <rFont val="宋体"/>
        <family val="3"/>
        <charset val="134"/>
      </rPr>
      <t>旅馆用地</t>
    </r>
    <phoneticPr fontId="140" type="noConversion"/>
  </si>
  <si>
    <r>
      <t>B14</t>
    </r>
    <r>
      <rPr>
        <sz val="11"/>
        <rFont val="宋体"/>
        <family val="3"/>
        <charset val="134"/>
      </rPr>
      <t>旅馆用地</t>
    </r>
    <phoneticPr fontId="31" type="noConversion"/>
  </si>
  <si>
    <r>
      <t>B4</t>
    </r>
    <r>
      <rPr>
        <sz val="9"/>
        <color rgb="FF333333"/>
        <rFont val="宋体"/>
        <family val="3"/>
        <charset val="134"/>
      </rPr>
      <t>综合性商业金融服务业用地</t>
    </r>
    <phoneticPr fontId="140" type="noConversion"/>
  </si>
  <si>
    <r>
      <t>B4</t>
    </r>
    <r>
      <rPr>
        <sz val="11"/>
        <rFont val="宋体"/>
        <family val="3"/>
        <charset val="134"/>
      </rPr>
      <t>综合性商业金融服务业用地</t>
    </r>
    <phoneticPr fontId="31" type="noConversion"/>
  </si>
  <si>
    <r>
      <t>F3</t>
    </r>
    <r>
      <rPr>
        <sz val="9"/>
        <color rgb="FF333333"/>
        <rFont val="宋体"/>
        <family val="3"/>
        <charset val="134"/>
      </rPr>
      <t>其他类多功能用地</t>
    </r>
    <phoneticPr fontId="140" type="noConversion"/>
  </si>
  <si>
    <r>
      <t>F3</t>
    </r>
    <r>
      <rPr>
        <sz val="11"/>
        <rFont val="宋体"/>
        <family val="3"/>
        <charset val="134"/>
      </rPr>
      <t>其他类多功能用地</t>
    </r>
    <phoneticPr fontId="31" type="noConversion"/>
  </si>
  <si>
    <t>成本法</t>
  </si>
  <si>
    <t>租金</t>
    <phoneticPr fontId="140" type="noConversion"/>
  </si>
  <si>
    <t>比例</t>
    <phoneticPr fontId="140" type="noConversion"/>
  </si>
  <si>
    <t>较好</t>
  </si>
  <si>
    <t>好</t>
  </si>
  <si>
    <t>一般</t>
  </si>
  <si>
    <t>七通</t>
  </si>
  <si>
    <t>租金</t>
    <phoneticPr fontId="140" type="noConversion"/>
  </si>
  <si>
    <t>综合租金</t>
    <phoneticPr fontId="140" type="noConversion"/>
  </si>
  <si>
    <t>三通</t>
  </si>
  <si>
    <t>三通</t>
    <phoneticPr fontId="31" type="noConversion"/>
  </si>
  <si>
    <t>七通</t>
    <phoneticPr fontId="31" type="noConversion"/>
  </si>
  <si>
    <t>六通</t>
  </si>
  <si>
    <t>六通</t>
    <phoneticPr fontId="31" type="noConversion"/>
  </si>
  <si>
    <t>五通</t>
  </si>
  <si>
    <t>四通</t>
  </si>
  <si>
    <t>楼层</t>
    <phoneticPr fontId="3" type="noConversion"/>
  </si>
  <si>
    <t>租赁面积</t>
    <phoneticPr fontId="3" type="noConversion"/>
  </si>
  <si>
    <t>平均租金</t>
    <phoneticPr fontId="3" type="noConversion"/>
  </si>
  <si>
    <t>影城</t>
    <phoneticPr fontId="3" type="noConversion"/>
  </si>
  <si>
    <t>地下1</t>
    <phoneticPr fontId="3" type="noConversion"/>
  </si>
  <si>
    <t>地下1</t>
    <phoneticPr fontId="140" type="noConversion"/>
  </si>
  <si>
    <t>出租面积占房本面积比例</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</si>
</sst>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rgb="FF333333"/>
      <name val="Verdana"/>
      <family val="2"/>
    </font>
    <font>
      <u/>
      <sz val="11"/>
      <color theme="10"/>
      <name val="宋体"/>
      <family val="3"/>
      <charset val="134"/>
      <scheme val="minor"/>
    </font>
    <font>
      <sz val="9"/>
      <color rgb="FF33333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xf numFmtId="0" fontId="98" fillId="0" borderId="0">
      <alignment vertical="center"/>
    </xf>
    <xf numFmtId="0" fontId="55" fillId="0" borderId="0"/>
    <xf numFmtId="0" fontId="257" fillId="0" borderId="0" applyNumberFormat="0" applyFill="0" applyBorder="0" applyAlignment="0" applyProtection="0">
      <alignment vertical="center"/>
    </xf>
  </cellStyleXfs>
  <cellXfs count="36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184" fontId="63" fillId="0" borderId="1" xfId="0" applyNumberFormat="1" applyFont="1" applyFill="1" applyBorder="1" applyAlignment="1" applyProtection="1">
      <alignment horizontal="center" vertical="center" shrinkToFit="1"/>
      <protection locked="0"/>
    </xf>
    <xf numFmtId="0" fontId="63" fillId="5" borderId="1" xfId="0" applyNumberFormat="1"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49" fontId="59" fillId="2" borderId="27" xfId="4" applyNumberFormat="1" applyFont="1" applyFill="1" applyBorder="1" applyAlignment="1" applyProtection="1">
      <alignment horizontal="right"/>
      <protection locked="0"/>
    </xf>
    <xf numFmtId="0" fontId="60" fillId="5" borderId="0" xfId="4" applyFont="1" applyFill="1" applyAlignment="1" applyProtection="1">
      <alignment horizontal="right" vertical="center"/>
      <protection locked="0"/>
    </xf>
    <xf numFmtId="176"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xf>
    <xf numFmtId="0" fontId="56" fillId="5" borderId="16" xfId="4" applyFont="1" applyFill="1" applyBorder="1" applyAlignment="1">
      <alignment vertical="center"/>
    </xf>
    <xf numFmtId="0" fontId="56" fillId="5" borderId="19" xfId="4" applyFont="1" applyFill="1" applyBorder="1" applyAlignment="1">
      <alignment vertical="center"/>
    </xf>
    <xf numFmtId="0" fontId="56" fillId="5" borderId="31" xfId="4" applyFont="1" applyFill="1" applyBorder="1" applyAlignment="1">
      <alignment vertical="center"/>
    </xf>
    <xf numFmtId="0" fontId="55" fillId="0" borderId="0" xfId="4" applyFont="1" applyAlignment="1">
      <alignment horizontal="left" vertical="center"/>
    </xf>
    <xf numFmtId="0" fontId="56" fillId="6" borderId="1" xfId="18" applyFont="1" applyFill="1" applyBorder="1" applyAlignment="1" applyProtection="1">
      <alignment vertical="center"/>
    </xf>
    <xf numFmtId="49" fontId="56" fillId="0" borderId="0" xfId="4" applyNumberFormat="1" applyFont="1" applyFill="1" applyBorder="1" applyAlignment="1" applyProtection="1"/>
    <xf numFmtId="0" fontId="55" fillId="0" borderId="0" xfId="4" applyFont="1" applyAlignment="1">
      <alignment horizontal="left"/>
    </xf>
    <xf numFmtId="0" fontId="56" fillId="0" borderId="1" xfId="4" applyFont="1" applyFill="1" applyBorder="1" applyAlignment="1">
      <alignment horizontal="left" vertical="center"/>
    </xf>
    <xf numFmtId="0" fontId="56" fillId="0" borderId="24" xfId="4" applyFont="1" applyFill="1" applyBorder="1" applyAlignment="1">
      <alignment horizontal="left" vertical="center"/>
    </xf>
    <xf numFmtId="0" fontId="56" fillId="6" borderId="13" xfId="18" applyFont="1" applyFill="1" applyBorder="1" applyAlignment="1" applyProtection="1">
      <alignment vertical="center"/>
    </xf>
    <xf numFmtId="177" fontId="103" fillId="0" borderId="1" xfId="18" applyNumberFormat="1" applyFont="1" applyBorder="1" applyAlignment="1" applyProtection="1">
      <alignment horizontal="left" vertical="center"/>
      <protection hidden="1"/>
    </xf>
    <xf numFmtId="177" fontId="103" fillId="0" borderId="24" xfId="18" applyNumberFormat="1" applyFont="1" applyBorder="1" applyAlignment="1" applyProtection="1">
      <alignment horizontal="left" vertical="center"/>
      <protection hidden="1"/>
    </xf>
    <xf numFmtId="177" fontId="55" fillId="6" borderId="24" xfId="4" applyNumberFormat="1" applyFont="1" applyFill="1" applyBorder="1" applyAlignment="1">
      <alignment horizontal="left" vertical="center"/>
    </xf>
    <xf numFmtId="0" fontId="55" fillId="0" borderId="1" xfId="4" applyFont="1" applyFill="1" applyBorder="1" applyAlignment="1">
      <alignment horizontal="left" vertical="center"/>
    </xf>
    <xf numFmtId="0" fontId="55" fillId="0" borderId="13" xfId="4" applyFont="1" applyFill="1" applyBorder="1" applyAlignment="1">
      <alignment horizontal="left" vertical="center"/>
    </xf>
    <xf numFmtId="0" fontId="55" fillId="0" borderId="61" xfId="4" applyFont="1" applyFill="1" applyBorder="1" applyAlignment="1">
      <alignment horizontal="left" vertical="center"/>
    </xf>
    <xf numFmtId="0" fontId="55" fillId="6" borderId="61" xfId="4" applyFont="1" applyFill="1" applyBorder="1" applyAlignment="1">
      <alignment horizontal="left" vertical="center"/>
    </xf>
    <xf numFmtId="0" fontId="83" fillId="6" borderId="0" xfId="18" applyFont="1" applyFill="1" applyBorder="1" applyAlignment="1" applyProtection="1">
      <alignment vertical="center"/>
    </xf>
    <xf numFmtId="0" fontId="49" fillId="0" borderId="32" xfId="4" applyFont="1" applyFill="1" applyBorder="1" applyAlignment="1" applyProtection="1">
      <alignment horizontal="left" vertical="center"/>
    </xf>
    <xf numFmtId="0" fontId="106" fillId="6" borderId="37" xfId="4" applyFont="1" applyFill="1" applyBorder="1" applyAlignment="1">
      <alignment vertical="center"/>
    </xf>
    <xf numFmtId="0" fontId="106" fillId="6" borderId="54" xfId="4" applyFont="1" applyFill="1" applyBorder="1" applyAlignment="1">
      <alignment vertical="center"/>
    </xf>
    <xf numFmtId="0" fontId="56" fillId="6" borderId="54" xfId="4" applyFont="1" applyFill="1" applyBorder="1" applyAlignment="1">
      <alignment vertical="center"/>
    </xf>
    <xf numFmtId="0" fontId="56" fillId="0" borderId="34" xfId="4" applyFont="1" applyFill="1" applyBorder="1" applyAlignment="1">
      <alignment horizontal="left" vertical="center"/>
    </xf>
    <xf numFmtId="0" fontId="56" fillId="0" borderId="0" xfId="4" applyFont="1" applyFill="1" applyBorder="1" applyAlignment="1">
      <alignment vertical="center"/>
    </xf>
    <xf numFmtId="0" fontId="55" fillId="6" borderId="5" xfId="4" applyFont="1" applyFill="1" applyBorder="1" applyAlignment="1">
      <alignment vertical="center"/>
    </xf>
    <xf numFmtId="176" fontId="56" fillId="0" borderId="0" xfId="4" applyNumberFormat="1" applyFont="1" applyFill="1" applyBorder="1" applyAlignment="1">
      <alignment horizontal="left" vertical="center"/>
    </xf>
    <xf numFmtId="0" fontId="55" fillId="0" borderId="5" xfId="4" applyFont="1" applyFill="1" applyBorder="1" applyAlignment="1">
      <alignment vertical="center"/>
    </xf>
    <xf numFmtId="0" fontId="103" fillId="0" borderId="1" xfId="4" applyFont="1" applyFill="1" applyBorder="1" applyAlignment="1">
      <alignment horizontal="left" vertical="center"/>
    </xf>
    <xf numFmtId="9" fontId="55" fillId="0" borderId="1" xfId="4" applyNumberFormat="1" applyFont="1" applyFill="1" applyBorder="1" applyAlignment="1">
      <alignment horizontal="left" vertical="center"/>
    </xf>
    <xf numFmtId="177" fontId="55" fillId="0" borderId="1" xfId="4" applyNumberFormat="1" applyFont="1" applyFill="1" applyBorder="1" applyAlignment="1">
      <alignment horizontal="left" vertical="center"/>
    </xf>
    <xf numFmtId="0" fontId="55" fillId="0" borderId="24" xfId="4" applyFont="1" applyFill="1" applyBorder="1" applyAlignment="1">
      <alignment horizontal="left" vertical="center"/>
    </xf>
    <xf numFmtId="0" fontId="56" fillId="0" borderId="0" xfId="4" applyFont="1" applyFill="1" applyBorder="1" applyAlignment="1">
      <alignment horizontal="left" vertical="center"/>
    </xf>
    <xf numFmtId="9" fontId="56" fillId="0" borderId="1" xfId="4" applyNumberFormat="1" applyFont="1" applyFill="1" applyBorder="1" applyAlignment="1">
      <alignment horizontal="left" vertical="center"/>
    </xf>
    <xf numFmtId="176" fontId="55" fillId="0" borderId="1" xfId="4" applyNumberFormat="1" applyFont="1" applyFill="1" applyBorder="1" applyAlignment="1">
      <alignment horizontal="left" vertical="center"/>
    </xf>
    <xf numFmtId="178" fontId="55" fillId="0" borderId="1" xfId="4" applyNumberFormat="1" applyFont="1" applyFill="1" applyBorder="1" applyAlignment="1">
      <alignment horizontal="left" vertical="center"/>
    </xf>
    <xf numFmtId="0" fontId="56" fillId="6" borderId="5" xfId="4" applyFont="1" applyFill="1" applyBorder="1" applyAlignment="1">
      <alignment vertical="center"/>
    </xf>
    <xf numFmtId="0" fontId="106" fillId="6" borderId="1" xfId="4" applyFont="1" applyFill="1" applyBorder="1" applyAlignment="1">
      <alignment horizontal="left" vertical="center"/>
    </xf>
    <xf numFmtId="9" fontId="56" fillId="6" borderId="1" xfId="4" applyNumberFormat="1" applyFont="1" applyFill="1" applyBorder="1" applyAlignment="1">
      <alignment horizontal="left" vertical="center"/>
    </xf>
    <xf numFmtId="177" fontId="56" fillId="6" borderId="1" xfId="4" applyNumberFormat="1" applyFont="1" applyFill="1" applyBorder="1" applyAlignment="1">
      <alignment horizontal="left" vertical="center"/>
    </xf>
    <xf numFmtId="186" fontId="55" fillId="0" borderId="1" xfId="4" applyNumberFormat="1" applyFont="1" applyFill="1" applyBorder="1" applyAlignment="1">
      <alignment horizontal="left" vertical="center"/>
    </xf>
    <xf numFmtId="177" fontId="55" fillId="0" borderId="24" xfId="4" applyNumberFormat="1" applyFont="1" applyFill="1" applyBorder="1" applyAlignment="1">
      <alignment horizontal="left" vertical="center"/>
    </xf>
    <xf numFmtId="181" fontId="55" fillId="0" borderId="1" xfId="4" applyNumberFormat="1" applyFont="1" applyFill="1" applyBorder="1" applyAlignment="1">
      <alignment horizontal="left" vertical="center"/>
    </xf>
    <xf numFmtId="181" fontId="56" fillId="0" borderId="32" xfId="4" applyNumberFormat="1" applyFont="1" applyFill="1" applyBorder="1" applyAlignment="1">
      <alignment horizontal="left" vertical="center"/>
    </xf>
    <xf numFmtId="181" fontId="56" fillId="0" borderId="60" xfId="4" applyNumberFormat="1" applyFont="1" applyFill="1" applyBorder="1" applyAlignment="1">
      <alignment horizontal="left" vertical="center"/>
    </xf>
    <xf numFmtId="177" fontId="55" fillId="5" borderId="1" xfId="4" applyNumberFormat="1" applyFont="1" applyFill="1" applyBorder="1" applyAlignment="1">
      <alignment horizontal="left" vertical="center"/>
    </xf>
    <xf numFmtId="0" fontId="106" fillId="6" borderId="24" xfId="4" applyFont="1" applyFill="1" applyBorder="1" applyAlignment="1">
      <alignment horizontal="left" vertical="center"/>
    </xf>
    <xf numFmtId="0" fontId="103" fillId="0" borderId="1" xfId="4" applyFont="1" applyFill="1" applyBorder="1" applyAlignment="1">
      <alignment horizontal="left" vertical="center" wrapText="1"/>
    </xf>
    <xf numFmtId="0" fontId="55" fillId="0" borderId="0" xfId="4" applyFont="1" applyFill="1" applyAlignment="1">
      <alignment horizontal="left" vertical="center"/>
    </xf>
    <xf numFmtId="0" fontId="103" fillId="0" borderId="24" xfId="4" applyFont="1" applyFill="1" applyBorder="1" applyAlignment="1">
      <alignment horizontal="left" vertical="center"/>
    </xf>
    <xf numFmtId="0" fontId="253" fillId="0" borderId="5" xfId="4" applyFont="1" applyFill="1" applyBorder="1" applyAlignment="1">
      <alignment horizontal="left" vertical="center"/>
    </xf>
    <xf numFmtId="0" fontId="253" fillId="0" borderId="158" xfId="4" applyFont="1" applyFill="1" applyBorder="1" applyAlignment="1">
      <alignment horizontal="left" vertical="center"/>
    </xf>
    <xf numFmtId="0" fontId="253" fillId="0" borderId="3" xfId="4" applyFont="1" applyFill="1" applyBorder="1" applyAlignment="1">
      <alignment horizontal="left" vertical="center"/>
    </xf>
    <xf numFmtId="0" fontId="55" fillId="0" borderId="0" xfId="4" applyFont="1" applyFill="1" applyBorder="1" applyAlignment="1">
      <alignment horizontal="left" vertical="center"/>
    </xf>
    <xf numFmtId="0" fontId="55" fillId="0" borderId="0" xfId="4" applyFont="1" applyFill="1" applyBorder="1" applyAlignment="1">
      <alignment horizontal="right" vertical="center"/>
    </xf>
    <xf numFmtId="181" fontId="55" fillId="0" borderId="158" xfId="4" applyNumberFormat="1" applyFont="1" applyFill="1" applyBorder="1" applyAlignment="1">
      <alignment horizontal="right" vertical="center"/>
    </xf>
    <xf numFmtId="181" fontId="55" fillId="0" borderId="3" xfId="4" applyNumberFormat="1" applyFont="1" applyFill="1" applyBorder="1" applyAlignment="1">
      <alignment horizontal="right" vertical="center"/>
    </xf>
    <xf numFmtId="0" fontId="56" fillId="6" borderId="23" xfId="4" applyFont="1" applyFill="1" applyBorder="1" applyAlignment="1">
      <alignment horizontal="left" vertical="center" wrapText="1"/>
    </xf>
    <xf numFmtId="0" fontId="56" fillId="6" borderId="5" xfId="4" applyFont="1" applyFill="1" applyBorder="1" applyAlignment="1">
      <alignment vertical="center" wrapText="1"/>
    </xf>
    <xf numFmtId="0" fontId="56" fillId="6" borderId="54" xfId="4" applyFont="1" applyFill="1" applyBorder="1" applyAlignment="1">
      <alignment vertical="center" wrapText="1"/>
    </xf>
    <xf numFmtId="0" fontId="56" fillId="6" borderId="3" xfId="4" applyFont="1" applyFill="1" applyBorder="1" applyAlignment="1">
      <alignment vertical="center" wrapText="1"/>
    </xf>
    <xf numFmtId="9" fontId="103" fillId="0" borderId="1" xfId="4" applyNumberFormat="1" applyFont="1" applyFill="1" applyBorder="1" applyAlignment="1">
      <alignment horizontal="left" vertical="center"/>
    </xf>
    <xf numFmtId="0" fontId="55" fillId="0" borderId="0" xfId="4" applyFont="1" applyAlignment="1">
      <alignment horizontal="right"/>
    </xf>
    <xf numFmtId="0" fontId="106" fillId="6" borderId="46" xfId="4" applyFont="1" applyFill="1" applyBorder="1" applyAlignment="1">
      <alignment vertical="center"/>
    </xf>
    <xf numFmtId="0" fontId="106" fillId="6" borderId="36" xfId="4" applyFont="1" applyFill="1" applyBorder="1" applyAlignment="1">
      <alignment vertical="center"/>
    </xf>
    <xf numFmtId="0" fontId="106" fillId="6" borderId="22" xfId="4" applyFont="1" applyFill="1" applyBorder="1" applyAlignment="1">
      <alignment vertical="center"/>
    </xf>
    <xf numFmtId="0" fontId="103" fillId="6" borderId="1" xfId="4" applyFont="1" applyFill="1" applyBorder="1" applyAlignment="1">
      <alignment horizontal="left" vertical="center"/>
    </xf>
    <xf numFmtId="9" fontId="103" fillId="6" borderId="1" xfId="4" applyNumberFormat="1" applyFont="1" applyFill="1" applyBorder="1" applyAlignment="1">
      <alignment horizontal="left" vertical="center"/>
    </xf>
    <xf numFmtId="0" fontId="56" fillId="0" borderId="0" xfId="4" applyFont="1" applyFill="1" applyAlignment="1">
      <alignment horizontal="left" vertical="center"/>
    </xf>
    <xf numFmtId="0" fontId="106" fillId="6" borderId="4" xfId="4" applyFont="1" applyFill="1" applyBorder="1" applyAlignment="1">
      <alignment vertical="center"/>
    </xf>
    <xf numFmtId="0" fontId="106" fillId="6" borderId="60" xfId="4" applyFont="1" applyFill="1" applyBorder="1" applyAlignment="1">
      <alignment vertical="center"/>
    </xf>
    <xf numFmtId="0" fontId="106" fillId="6" borderId="7" xfId="4" applyFont="1" applyFill="1" applyBorder="1" applyAlignment="1">
      <alignment vertical="center"/>
    </xf>
    <xf numFmtId="0" fontId="106" fillId="0" borderId="1" xfId="4" applyFont="1" applyFill="1" applyBorder="1" applyAlignment="1">
      <alignment horizontal="left" vertical="center"/>
    </xf>
    <xf numFmtId="9" fontId="106" fillId="0" borderId="1" xfId="4" applyNumberFormat="1" applyFont="1" applyFill="1" applyBorder="1" applyAlignment="1">
      <alignment horizontal="left" vertical="center"/>
    </xf>
    <xf numFmtId="0" fontId="83" fillId="6" borderId="12" xfId="4" applyFont="1" applyFill="1" applyBorder="1" applyAlignment="1">
      <alignment horizontal="left" vertical="center" wrapText="1"/>
    </xf>
    <xf numFmtId="0" fontId="142" fillId="6" borderId="74" xfId="4" applyFont="1" applyFill="1" applyBorder="1" applyAlignment="1">
      <alignment vertical="center"/>
    </xf>
    <xf numFmtId="0" fontId="19" fillId="6" borderId="74" xfId="4" applyFont="1" applyFill="1" applyBorder="1" applyAlignment="1">
      <alignment vertical="center"/>
    </xf>
    <xf numFmtId="0" fontId="37" fillId="0" borderId="74" xfId="4" applyFill="1" applyBorder="1" applyAlignment="1">
      <alignment horizontal="left" vertical="center"/>
    </xf>
    <xf numFmtId="9" fontId="55" fillId="0" borderId="32" xfId="4" applyNumberFormat="1" applyFont="1" applyFill="1" applyBorder="1" applyAlignment="1">
      <alignment horizontal="left" vertical="center"/>
    </xf>
    <xf numFmtId="181" fontId="103" fillId="0" borderId="32" xfId="4" applyNumberFormat="1" applyFont="1" applyFill="1" applyBorder="1" applyAlignment="1">
      <alignment horizontal="left" vertical="center"/>
    </xf>
    <xf numFmtId="0" fontId="141" fillId="0" borderId="76" xfId="4" applyFont="1" applyFill="1" applyBorder="1" applyAlignment="1">
      <alignment horizontal="left" vertical="center"/>
    </xf>
    <xf numFmtId="181" fontId="55" fillId="0" borderId="5" xfId="4" applyNumberFormat="1" applyFont="1" applyFill="1" applyBorder="1" applyAlignment="1">
      <alignment horizontal="right" vertical="center"/>
    </xf>
    <xf numFmtId="177" fontId="55" fillId="6" borderId="1" xfId="4" applyNumberFormat="1" applyFont="1" applyFill="1" applyBorder="1" applyAlignment="1">
      <alignment horizontal="left" vertical="center"/>
    </xf>
    <xf numFmtId="10" fontId="55" fillId="0" borderId="5" xfId="4" applyNumberFormat="1" applyFont="1" applyFill="1" applyBorder="1" applyAlignment="1">
      <alignment horizontal="left" vertical="center"/>
    </xf>
    <xf numFmtId="10" fontId="55" fillId="0" borderId="158" xfId="4" applyNumberFormat="1" applyFont="1" applyFill="1" applyBorder="1" applyAlignment="1">
      <alignment horizontal="left" vertical="center"/>
    </xf>
    <xf numFmtId="10" fontId="55" fillId="0" borderId="3" xfId="4" applyNumberFormat="1" applyFont="1" applyFill="1" applyBorder="1" applyAlignment="1">
      <alignment horizontal="left" vertical="center"/>
    </xf>
    <xf numFmtId="0" fontId="55" fillId="6" borderId="13" xfId="4" applyFont="1" applyFill="1" applyBorder="1" applyAlignment="1">
      <alignment horizontal="left" vertical="center"/>
    </xf>
    <xf numFmtId="181" fontId="55" fillId="0" borderId="5" xfId="4" applyNumberFormat="1" applyFont="1" applyFill="1" applyBorder="1" applyAlignment="1">
      <alignment horizontal="left" vertical="center"/>
    </xf>
    <xf numFmtId="181" fontId="55" fillId="0" borderId="158" xfId="4" applyNumberFormat="1" applyFont="1" applyFill="1" applyBorder="1" applyAlignment="1">
      <alignment horizontal="left" vertical="center"/>
    </xf>
    <xf numFmtId="181" fontId="55" fillId="0" borderId="3" xfId="4" applyNumberFormat="1" applyFont="1" applyFill="1" applyBorder="1" applyAlignment="1">
      <alignment horizontal="left" vertical="center"/>
    </xf>
    <xf numFmtId="176" fontId="55" fillId="0" borderId="0" xfId="4" applyNumberFormat="1" applyFont="1" applyFill="1" applyBorder="1" applyAlignment="1">
      <alignment horizontal="left" vertical="center"/>
    </xf>
    <xf numFmtId="176" fontId="55" fillId="0" borderId="33" xfId="4" applyNumberFormat="1" applyFont="1" applyFill="1" applyBorder="1" applyAlignment="1">
      <alignment horizontal="left" vertical="center"/>
    </xf>
    <xf numFmtId="176" fontId="55" fillId="0" borderId="159" xfId="4" applyNumberFormat="1" applyFont="1" applyFill="1" applyBorder="1" applyAlignment="1">
      <alignment horizontal="left" vertical="center"/>
    </xf>
    <xf numFmtId="176" fontId="55" fillId="0" borderId="66" xfId="4" applyNumberFormat="1" applyFont="1" applyFill="1" applyBorder="1" applyAlignment="1">
      <alignment horizontal="left" vertical="center"/>
    </xf>
    <xf numFmtId="0" fontId="55" fillId="0" borderId="0" xfId="4" applyFont="1" applyFill="1" applyBorder="1" applyAlignment="1">
      <alignment horizontal="left"/>
    </xf>
    <xf numFmtId="0" fontId="19" fillId="0" borderId="0" xfId="4" applyFont="1" applyFill="1" applyAlignment="1">
      <alignment horizontal="left"/>
    </xf>
    <xf numFmtId="0" fontId="3" fillId="0" borderId="0" xfId="4" applyFont="1" applyFill="1" applyAlignment="1">
      <alignment horizontal="left"/>
    </xf>
    <xf numFmtId="0" fontId="252" fillId="0" borderId="0" xfId="4" applyFont="1" applyAlignment="1">
      <alignment horizontal="left" vertical="center"/>
    </xf>
    <xf numFmtId="0" fontId="83" fillId="6" borderId="74" xfId="4" applyFont="1" applyFill="1" applyBorder="1" applyAlignment="1">
      <alignment vertical="center"/>
    </xf>
    <xf numFmtId="186" fontId="3" fillId="0" borderId="0" xfId="4" applyNumberFormat="1" applyFont="1" applyAlignment="1">
      <alignment horizontal="left"/>
    </xf>
    <xf numFmtId="0" fontId="128" fillId="0" borderId="0" xfId="0" applyFont="1" applyFill="1" applyAlignment="1">
      <alignment horizontal="center" vertical="center" wrapText="1"/>
    </xf>
    <xf numFmtId="0" fontId="128" fillId="0" borderId="1" xfId="0" applyFont="1" applyFill="1" applyBorder="1" applyAlignment="1">
      <alignment horizontal="center" vertical="center" wrapText="1"/>
    </xf>
    <xf numFmtId="0" fontId="128" fillId="0" borderId="58" xfId="0" applyFont="1" applyFill="1" applyBorder="1" applyAlignment="1">
      <alignment vertical="center" wrapText="1"/>
    </xf>
    <xf numFmtId="0" fontId="257" fillId="12" borderId="1" xfId="20" applyFill="1" applyBorder="1" applyAlignment="1">
      <alignment horizontal="left" vertical="center" wrapText="1"/>
    </xf>
    <xf numFmtId="0" fontId="0" fillId="0" borderId="1" xfId="0" applyBorder="1">
      <alignment vertical="center"/>
    </xf>
    <xf numFmtId="0" fontId="98" fillId="0" borderId="0" xfId="0" applyFont="1">
      <alignment vertical="center"/>
    </xf>
    <xf numFmtId="0" fontId="46" fillId="6" borderId="30"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9" fontId="49" fillId="12" borderId="0" xfId="0" applyNumberFormat="1" applyFont="1" applyFill="1" applyAlignment="1" applyProtection="1">
      <alignment vertical="center"/>
      <protection locked="0"/>
    </xf>
    <xf numFmtId="9" fontId="49" fillId="12" borderId="0" xfId="17" applyFont="1" applyFill="1" applyAlignment="1" applyProtection="1">
      <alignment vertical="center"/>
      <protection locked="0"/>
    </xf>
    <xf numFmtId="0" fontId="98" fillId="0" borderId="0" xfId="0" applyFont="1" applyAlignment="1">
      <alignment horizontal="center" vertical="center"/>
    </xf>
    <xf numFmtId="0" fontId="0" fillId="0" borderId="0" xfId="0" applyAlignment="1">
      <alignment horizontal="center" vertical="center"/>
    </xf>
    <xf numFmtId="0" fontId="0" fillId="5" borderId="0" xfId="0" applyFill="1" applyAlignment="1">
      <alignment horizontal="center" vertical="center"/>
    </xf>
    <xf numFmtId="9" fontId="134" fillId="2" borderId="37" xfId="0" applyNumberFormat="1" applyFont="1" applyFill="1" applyBorder="1" applyAlignment="1" applyProtection="1">
      <alignment horizontal="center" vertical="center" wrapText="1"/>
      <protection locked="0"/>
    </xf>
    <xf numFmtId="0" fontId="46" fillId="20" borderId="23" xfId="0" applyFont="1" applyFill="1" applyBorder="1" applyAlignment="1" applyProtection="1">
      <alignment vertical="center"/>
      <protection locked="0"/>
    </xf>
    <xf numFmtId="181" fontId="46" fillId="20" borderId="1" xfId="0" applyNumberFormat="1" applyFont="1" applyFill="1" applyBorder="1" applyAlignment="1" applyProtection="1">
      <alignment vertical="center"/>
      <protection locked="0"/>
    </xf>
    <xf numFmtId="176" fontId="46" fillId="20" borderId="23" xfId="0"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186" fontId="52" fillId="18"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6" fillId="19" borderId="69" xfId="4" applyFont="1" applyFill="1" applyBorder="1" applyAlignment="1">
      <alignment vertical="center"/>
    </xf>
    <xf numFmtId="0" fontId="56" fillId="19" borderId="7" xfId="4" applyFont="1" applyFill="1" applyBorder="1" applyAlignment="1">
      <alignment vertical="center"/>
    </xf>
    <xf numFmtId="0" fontId="56" fillId="6" borderId="37" xfId="4" applyFont="1" applyFill="1" applyBorder="1" applyAlignment="1">
      <alignment horizontal="left" vertical="center"/>
    </xf>
    <xf numFmtId="0" fontId="56" fillId="6" borderId="23" xfId="4" applyFont="1" applyFill="1" applyBorder="1" applyAlignment="1">
      <alignment horizontal="left" vertical="center" wrapText="1"/>
    </xf>
    <xf numFmtId="0" fontId="56" fillId="6" borderId="13" xfId="4" applyFont="1" applyFill="1" applyBorder="1" applyAlignment="1">
      <alignment horizontal="left" vertical="center" wrapText="1"/>
    </xf>
    <xf numFmtId="0" fontId="56" fillId="6" borderId="15" xfId="4" applyFont="1" applyFill="1" applyBorder="1" applyAlignment="1">
      <alignment horizontal="left" vertical="center" wrapText="1"/>
    </xf>
    <xf numFmtId="0" fontId="56" fillId="6" borderId="2" xfId="4" applyFont="1" applyFill="1" applyBorder="1" applyAlignment="1">
      <alignment horizontal="left" vertical="center" wrapText="1"/>
    </xf>
    <xf numFmtId="0" fontId="56" fillId="20" borderId="5" xfId="4" applyFont="1" applyFill="1" applyBorder="1" applyAlignment="1">
      <alignment horizontal="left" vertical="center"/>
    </xf>
    <xf numFmtId="0" fontId="56" fillId="20" borderId="3" xfId="4" applyFont="1" applyFill="1" applyBorder="1" applyAlignment="1">
      <alignment horizontal="left" vertical="center"/>
    </xf>
    <xf numFmtId="0" fontId="55" fillId="20" borderId="5" xfId="4" applyFont="1" applyFill="1" applyBorder="1" applyAlignment="1">
      <alignment horizontal="left" vertical="center"/>
    </xf>
    <xf numFmtId="0" fontId="55" fillId="20" borderId="3" xfId="4" applyFont="1" applyFill="1" applyBorder="1" applyAlignment="1">
      <alignment horizontal="left" vertical="center"/>
    </xf>
    <xf numFmtId="0" fontId="106" fillId="6" borderId="11" xfId="4" applyFont="1" applyFill="1" applyBorder="1" applyAlignment="1">
      <alignment horizontal="left" vertical="center"/>
    </xf>
    <xf numFmtId="0" fontId="106" fillId="6" borderId="41" xfId="4" applyFont="1" applyFill="1" applyBorder="1" applyAlignment="1">
      <alignment horizontal="left" vertical="center"/>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28" fillId="0" borderId="58" xfId="0" applyFont="1" applyFill="1" applyBorder="1" applyAlignment="1">
      <alignment horizontal="center" vertical="center" wrapText="1"/>
    </xf>
    <xf numFmtId="0" fontId="128" fillId="0" borderId="0" xfId="0" applyFont="1" applyFill="1" applyAlignment="1">
      <alignment horizontal="center" vertical="center" wrapText="1"/>
    </xf>
    <xf numFmtId="14" fontId="256" fillId="12" borderId="1" xfId="0" applyNumberFormat="1" applyFont="1" applyFill="1" applyBorder="1" applyAlignment="1">
      <alignment horizontal="center" vertical="center"/>
    </xf>
    <xf numFmtId="0" fontId="256" fillId="12" borderId="1" xfId="0" applyFont="1" applyFill="1" applyBorder="1" applyAlignment="1">
      <alignment horizontal="center" vertical="center"/>
    </xf>
    <xf numFmtId="0" fontId="256" fillId="12" borderId="1" xfId="0" applyFont="1" applyFill="1" applyBorder="1" applyAlignment="1">
      <alignment horizontal="left" vertical="center" wrapText="1"/>
    </xf>
    <xf numFmtId="0" fontId="256" fillId="12" borderId="1" xfId="0" applyFont="1" applyFill="1" applyBorder="1" applyAlignment="1">
      <alignment horizontal="left" vertical="center"/>
    </xf>
    <xf numFmtId="0" fontId="256" fillId="12" borderId="1" xfId="0" applyFont="1" applyFill="1" applyBorder="1" applyAlignment="1">
      <alignment horizontal="right" vertical="center"/>
    </xf>
    <xf numFmtId="0" fontId="257" fillId="12" borderId="1" xfId="20" applyFill="1" applyBorder="1" applyAlignment="1">
      <alignment horizontal="left" vertical="center" wrapText="1"/>
    </xf>
    <xf numFmtId="0" fontId="257" fillId="12" borderId="1" xfId="20" applyFill="1" applyBorder="1" applyAlignment="1">
      <alignment horizontal="left" vertical="center"/>
    </xf>
    <xf numFmtId="0" fontId="0" fillId="0" borderId="1" xfId="0" applyBorder="1" applyAlignment="1">
      <alignment horizontal="center" vertical="center"/>
    </xf>
    <xf numFmtId="0" fontId="0" fillId="0" borderId="58" xfId="0" applyBorder="1" applyAlignment="1">
      <alignment horizontal="center" vertical="center"/>
    </xf>
  </cellXfs>
  <cellStyles count="21">
    <cellStyle name="百分比" xfId="17" builtinId="5"/>
    <cellStyle name="百分比 2" xfId="14"/>
    <cellStyle name="常规" xfId="0" builtinId="0"/>
    <cellStyle name="常规 10" xfId="19"/>
    <cellStyle name="常规 16" xfId="10"/>
    <cellStyle name="常规 2" xfId="1"/>
    <cellStyle name="常规 2 2" xfId="8"/>
    <cellStyle name="常规 2 2 2 2 3" xfId="15"/>
    <cellStyle name="常规 2 3"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23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199315</xdr:colOff>
      <xdr:row>31</xdr:row>
      <xdr:rowOff>46955</xdr:rowOff>
    </xdr:to>
    <xdr:pic>
      <xdr:nvPicPr>
        <xdr:cNvPr id="2" name="图片 1">
          <a:extLst>
            <a:ext uri="{FF2B5EF4-FFF2-40B4-BE49-F238E27FC236}">
              <a16:creationId xmlns=""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5685715" cy="5361905"/>
        </a:xfrm>
        <a:prstGeom prst="rect">
          <a:avLst/>
        </a:prstGeom>
      </xdr:spPr>
    </xdr:pic>
    <xdr:clientData/>
  </xdr:twoCellAnchor>
  <xdr:twoCellAnchor editAs="oneCell">
    <xdr:from>
      <xdr:col>0</xdr:col>
      <xdr:colOff>152400</xdr:colOff>
      <xdr:row>28</xdr:row>
      <xdr:rowOff>161925</xdr:rowOff>
    </xdr:from>
    <xdr:to>
      <xdr:col>8</xdr:col>
      <xdr:colOff>199334</xdr:colOff>
      <xdr:row>53</xdr:row>
      <xdr:rowOff>66151</xdr:rowOff>
    </xdr:to>
    <xdr:pic>
      <xdr:nvPicPr>
        <xdr:cNvPr id="3" name="图片 2">
          <a:extLst>
            <a:ext uri="{FF2B5EF4-FFF2-40B4-BE49-F238E27FC236}">
              <a16:creationId xmlns=""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152400" y="4962525"/>
          <a:ext cx="5533334" cy="4190476"/>
        </a:xfrm>
        <a:prstGeom prst="rect">
          <a:avLst/>
        </a:prstGeom>
      </xdr:spPr>
    </xdr:pic>
    <xdr:clientData/>
  </xdr:twoCellAnchor>
  <xdr:twoCellAnchor editAs="oneCell">
    <xdr:from>
      <xdr:col>9</xdr:col>
      <xdr:colOff>0</xdr:colOff>
      <xdr:row>0</xdr:row>
      <xdr:rowOff>0</xdr:rowOff>
    </xdr:from>
    <xdr:to>
      <xdr:col>17</xdr:col>
      <xdr:colOff>332648</xdr:colOff>
      <xdr:row>30</xdr:row>
      <xdr:rowOff>94596</xdr:rowOff>
    </xdr:to>
    <xdr:pic>
      <xdr:nvPicPr>
        <xdr:cNvPr id="4" name="图片 3">
          <a:extLst>
            <a:ext uri="{FF2B5EF4-FFF2-40B4-BE49-F238E27FC236}">
              <a16:creationId xmlns=""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6172200" y="0"/>
          <a:ext cx="5819048" cy="5238096"/>
        </a:xfrm>
        <a:prstGeom prst="rect">
          <a:avLst/>
        </a:prstGeom>
      </xdr:spPr>
    </xdr:pic>
    <xdr:clientData/>
  </xdr:twoCellAnchor>
  <xdr:twoCellAnchor editAs="oneCell">
    <xdr:from>
      <xdr:col>9</xdr:col>
      <xdr:colOff>0</xdr:colOff>
      <xdr:row>30</xdr:row>
      <xdr:rowOff>76200</xdr:rowOff>
    </xdr:from>
    <xdr:to>
      <xdr:col>17</xdr:col>
      <xdr:colOff>399315</xdr:colOff>
      <xdr:row>56</xdr:row>
      <xdr:rowOff>37548</xdr:rowOff>
    </xdr:to>
    <xdr:pic>
      <xdr:nvPicPr>
        <xdr:cNvPr id="5" name="图片 4">
          <a:extLst>
            <a:ext uri="{FF2B5EF4-FFF2-40B4-BE49-F238E27FC236}">
              <a16:creationId xmlns=""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6172200" y="5219700"/>
          <a:ext cx="5885715" cy="4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13</xdr:col>
      <xdr:colOff>684686</xdr:colOff>
      <xdr:row>27</xdr:row>
      <xdr:rowOff>161379</xdr:rowOff>
    </xdr:to>
    <xdr:pic>
      <xdr:nvPicPr>
        <xdr:cNvPr id="2" name="图片 1">
          <a:extLst>
            <a:ext uri="{FF2B5EF4-FFF2-40B4-BE49-F238E27FC236}">
              <a16:creationId xmlns=""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3867150" y="2733675"/>
          <a:ext cx="8914286" cy="4371429"/>
        </a:xfrm>
        <a:prstGeom prst="rect">
          <a:avLst/>
        </a:prstGeom>
      </xdr:spPr>
    </xdr:pic>
    <xdr:clientData/>
  </xdr:twoCellAnchor>
  <xdr:twoCellAnchor editAs="oneCell">
    <xdr:from>
      <xdr:col>1</xdr:col>
      <xdr:colOff>0</xdr:colOff>
      <xdr:row>28</xdr:row>
      <xdr:rowOff>0</xdr:rowOff>
    </xdr:from>
    <xdr:to>
      <xdr:col>13</xdr:col>
      <xdr:colOff>598972</xdr:colOff>
      <xdr:row>41</xdr:row>
      <xdr:rowOff>113884</xdr:rowOff>
    </xdr:to>
    <xdr:pic>
      <xdr:nvPicPr>
        <xdr:cNvPr id="3" name="图片 2">
          <a:extLst>
            <a:ext uri="{FF2B5EF4-FFF2-40B4-BE49-F238E27FC236}">
              <a16:creationId xmlns=""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3867150" y="7191375"/>
          <a:ext cx="8828572" cy="3333334"/>
        </a:xfrm>
        <a:prstGeom prst="rect">
          <a:avLst/>
        </a:prstGeom>
      </xdr:spPr>
    </xdr:pic>
    <xdr:clientData/>
  </xdr:twoCellAnchor>
  <xdr:twoCellAnchor editAs="oneCell">
    <xdr:from>
      <xdr:col>1</xdr:col>
      <xdr:colOff>0</xdr:colOff>
      <xdr:row>43</xdr:row>
      <xdr:rowOff>0</xdr:rowOff>
    </xdr:from>
    <xdr:to>
      <xdr:col>17</xdr:col>
      <xdr:colOff>131963</xdr:colOff>
      <xdr:row>62</xdr:row>
      <xdr:rowOff>18460</xdr:rowOff>
    </xdr:to>
    <xdr:pic>
      <xdr:nvPicPr>
        <xdr:cNvPr id="4" name="图片 3">
          <a:extLst>
            <a:ext uri="{FF2B5EF4-FFF2-40B4-BE49-F238E27FC236}">
              <a16:creationId xmlns="" xmlns:a16="http://schemas.microsoft.com/office/drawing/2014/main" id="{00000000-0008-0000-2F00-000004000000}"/>
            </a:ext>
          </a:extLst>
        </xdr:cNvPr>
        <xdr:cNvPicPr>
          <a:picLocks noChangeAspect="1"/>
        </xdr:cNvPicPr>
      </xdr:nvPicPr>
      <xdr:blipFill>
        <a:blip xmlns:r="http://schemas.openxmlformats.org/officeDocument/2006/relationships" r:embed="rId3"/>
        <a:stretch>
          <a:fillRect/>
        </a:stretch>
      </xdr:blipFill>
      <xdr:spPr>
        <a:xfrm>
          <a:off x="3867150" y="10906125"/>
          <a:ext cx="11104763" cy="4723810"/>
        </a:xfrm>
        <a:prstGeom prst="rect">
          <a:avLst/>
        </a:prstGeom>
      </xdr:spPr>
    </xdr:pic>
    <xdr:clientData/>
  </xdr:twoCellAnchor>
  <xdr:twoCellAnchor editAs="oneCell">
    <xdr:from>
      <xdr:col>1</xdr:col>
      <xdr:colOff>0</xdr:colOff>
      <xdr:row>62</xdr:row>
      <xdr:rowOff>0</xdr:rowOff>
    </xdr:from>
    <xdr:to>
      <xdr:col>13</xdr:col>
      <xdr:colOff>665639</xdr:colOff>
      <xdr:row>75</xdr:row>
      <xdr:rowOff>28169</xdr:rowOff>
    </xdr:to>
    <xdr:pic>
      <xdr:nvPicPr>
        <xdr:cNvPr id="5" name="图片 4">
          <a:extLst>
            <a:ext uri="{FF2B5EF4-FFF2-40B4-BE49-F238E27FC236}">
              <a16:creationId xmlns="" xmlns:a16="http://schemas.microsoft.com/office/drawing/2014/main" id="{00000000-0008-0000-2F00-000005000000}"/>
            </a:ext>
          </a:extLst>
        </xdr:cNvPr>
        <xdr:cNvPicPr>
          <a:picLocks noChangeAspect="1"/>
        </xdr:cNvPicPr>
      </xdr:nvPicPr>
      <xdr:blipFill>
        <a:blip xmlns:r="http://schemas.openxmlformats.org/officeDocument/2006/relationships" r:embed="rId4"/>
        <a:stretch>
          <a:fillRect/>
        </a:stretch>
      </xdr:blipFill>
      <xdr:spPr>
        <a:xfrm>
          <a:off x="3867150" y="15611475"/>
          <a:ext cx="8895239" cy="3247619"/>
        </a:xfrm>
        <a:prstGeom prst="rect">
          <a:avLst/>
        </a:prstGeom>
      </xdr:spPr>
    </xdr:pic>
    <xdr:clientData/>
  </xdr:twoCellAnchor>
  <xdr:twoCellAnchor editAs="oneCell">
    <xdr:from>
      <xdr:col>13</xdr:col>
      <xdr:colOff>638175</xdr:colOff>
      <xdr:row>62</xdr:row>
      <xdr:rowOff>57150</xdr:rowOff>
    </xdr:from>
    <xdr:to>
      <xdr:col>24</xdr:col>
      <xdr:colOff>351518</xdr:colOff>
      <xdr:row>77</xdr:row>
      <xdr:rowOff>56686</xdr:rowOff>
    </xdr:to>
    <xdr:pic>
      <xdr:nvPicPr>
        <xdr:cNvPr id="6" name="图片 5">
          <a:extLst>
            <a:ext uri="{FF2B5EF4-FFF2-40B4-BE49-F238E27FC236}">
              <a16:creationId xmlns=""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12734925" y="15668625"/>
          <a:ext cx="7257143" cy="3714286"/>
        </a:xfrm>
        <a:prstGeom prst="rect">
          <a:avLst/>
        </a:prstGeom>
      </xdr:spPr>
    </xdr:pic>
    <xdr:clientData/>
  </xdr:twoCellAnchor>
  <xdr:twoCellAnchor editAs="oneCell">
    <xdr:from>
      <xdr:col>14</xdr:col>
      <xdr:colOff>47625</xdr:colOff>
      <xdr:row>29</xdr:row>
      <xdr:rowOff>219075</xdr:rowOff>
    </xdr:from>
    <xdr:to>
      <xdr:col>20</xdr:col>
      <xdr:colOff>466159</xdr:colOff>
      <xdr:row>40</xdr:row>
      <xdr:rowOff>199687</xdr:rowOff>
    </xdr:to>
    <xdr:pic>
      <xdr:nvPicPr>
        <xdr:cNvPr id="7" name="图片 6">
          <a:extLst>
            <a:ext uri="{FF2B5EF4-FFF2-40B4-BE49-F238E27FC236}">
              <a16:creationId xmlns="" xmlns:a16="http://schemas.microsoft.com/office/drawing/2014/main" id="{00000000-0008-0000-2F00-000007000000}"/>
            </a:ext>
          </a:extLst>
        </xdr:cNvPr>
        <xdr:cNvPicPr>
          <a:picLocks noChangeAspect="1"/>
        </xdr:cNvPicPr>
      </xdr:nvPicPr>
      <xdr:blipFill>
        <a:blip xmlns:r="http://schemas.openxmlformats.org/officeDocument/2006/relationships" r:embed="rId6"/>
        <a:stretch>
          <a:fillRect/>
        </a:stretch>
      </xdr:blipFill>
      <xdr:spPr>
        <a:xfrm>
          <a:off x="12830175" y="7658100"/>
          <a:ext cx="4533334" cy="2704762"/>
        </a:xfrm>
        <a:prstGeom prst="rect">
          <a:avLst/>
        </a:prstGeom>
      </xdr:spPr>
    </xdr:pic>
    <xdr:clientData/>
  </xdr:twoCellAnchor>
  <xdr:twoCellAnchor editAs="oneCell">
    <xdr:from>
      <xdr:col>1</xdr:col>
      <xdr:colOff>0</xdr:colOff>
      <xdr:row>77</xdr:row>
      <xdr:rowOff>0</xdr:rowOff>
    </xdr:from>
    <xdr:to>
      <xdr:col>13</xdr:col>
      <xdr:colOff>160877</xdr:colOff>
      <xdr:row>94</xdr:row>
      <xdr:rowOff>142331</xdr:rowOff>
    </xdr:to>
    <xdr:pic>
      <xdr:nvPicPr>
        <xdr:cNvPr id="8" name="图片 7">
          <a:extLst>
            <a:ext uri="{FF2B5EF4-FFF2-40B4-BE49-F238E27FC236}">
              <a16:creationId xmlns="" xmlns:a16="http://schemas.microsoft.com/office/drawing/2014/main" id="{00000000-0008-0000-2F00-000008000000}"/>
            </a:ext>
          </a:extLst>
        </xdr:cNvPr>
        <xdr:cNvPicPr>
          <a:picLocks noChangeAspect="1"/>
        </xdr:cNvPicPr>
      </xdr:nvPicPr>
      <xdr:blipFill>
        <a:blip xmlns:r="http://schemas.openxmlformats.org/officeDocument/2006/relationships" r:embed="rId7"/>
        <a:stretch>
          <a:fillRect/>
        </a:stretch>
      </xdr:blipFill>
      <xdr:spPr>
        <a:xfrm>
          <a:off x="3867150" y="19326225"/>
          <a:ext cx="8390477" cy="4352381"/>
        </a:xfrm>
        <a:prstGeom prst="rect">
          <a:avLst/>
        </a:prstGeom>
      </xdr:spPr>
    </xdr:pic>
    <xdr:clientData/>
  </xdr:twoCellAnchor>
  <xdr:twoCellAnchor editAs="oneCell">
    <xdr:from>
      <xdr:col>14</xdr:col>
      <xdr:colOff>0</xdr:colOff>
      <xdr:row>78</xdr:row>
      <xdr:rowOff>0</xdr:rowOff>
    </xdr:from>
    <xdr:to>
      <xdr:col>22</xdr:col>
      <xdr:colOff>561219</xdr:colOff>
      <xdr:row>92</xdr:row>
      <xdr:rowOff>28138</xdr:rowOff>
    </xdr:to>
    <xdr:pic>
      <xdr:nvPicPr>
        <xdr:cNvPr id="9" name="图片 8">
          <a:extLst>
            <a:ext uri="{FF2B5EF4-FFF2-40B4-BE49-F238E27FC236}">
              <a16:creationId xmlns="" xmlns:a16="http://schemas.microsoft.com/office/drawing/2014/main" id="{00000000-0008-0000-2F00-000009000000}"/>
            </a:ext>
          </a:extLst>
        </xdr:cNvPr>
        <xdr:cNvPicPr>
          <a:picLocks noChangeAspect="1"/>
        </xdr:cNvPicPr>
      </xdr:nvPicPr>
      <xdr:blipFill>
        <a:blip xmlns:r="http://schemas.openxmlformats.org/officeDocument/2006/relationships" r:embed="rId8"/>
        <a:stretch>
          <a:fillRect/>
        </a:stretch>
      </xdr:blipFill>
      <xdr:spPr>
        <a:xfrm>
          <a:off x="12782550" y="19573875"/>
          <a:ext cx="6047619" cy="34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303734</xdr:colOff>
      <xdr:row>20</xdr:row>
      <xdr:rowOff>132905</xdr:rowOff>
    </xdr:to>
    <xdr:pic>
      <xdr:nvPicPr>
        <xdr:cNvPr id="2" name="图片 1">
          <a:extLst>
            <a:ext uri="{FF2B5EF4-FFF2-40B4-BE49-F238E27FC236}">
              <a16:creationId xmlns=""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8533334" cy="3561905"/>
        </a:xfrm>
        <a:prstGeom prst="rect">
          <a:avLst/>
        </a:prstGeom>
      </xdr:spPr>
    </xdr:pic>
    <xdr:clientData/>
  </xdr:twoCellAnchor>
  <xdr:twoCellAnchor editAs="oneCell">
    <xdr:from>
      <xdr:col>0</xdr:col>
      <xdr:colOff>0</xdr:colOff>
      <xdr:row>21</xdr:row>
      <xdr:rowOff>0</xdr:rowOff>
    </xdr:from>
    <xdr:to>
      <xdr:col>12</xdr:col>
      <xdr:colOff>351353</xdr:colOff>
      <xdr:row>51</xdr:row>
      <xdr:rowOff>75548</xdr:rowOff>
    </xdr:to>
    <xdr:pic>
      <xdr:nvPicPr>
        <xdr:cNvPr id="3" name="图片 2">
          <a:extLst>
            <a:ext uri="{FF2B5EF4-FFF2-40B4-BE49-F238E27FC236}">
              <a16:creationId xmlns=""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0" y="3600450"/>
          <a:ext cx="8580953" cy="5219048"/>
        </a:xfrm>
        <a:prstGeom prst="rect">
          <a:avLst/>
        </a:prstGeom>
      </xdr:spPr>
    </xdr:pic>
    <xdr:clientData/>
  </xdr:twoCellAnchor>
  <xdr:twoCellAnchor editAs="oneCell">
    <xdr:from>
      <xdr:col>0</xdr:col>
      <xdr:colOff>0</xdr:colOff>
      <xdr:row>52</xdr:row>
      <xdr:rowOff>0</xdr:rowOff>
    </xdr:from>
    <xdr:to>
      <xdr:col>12</xdr:col>
      <xdr:colOff>227543</xdr:colOff>
      <xdr:row>62</xdr:row>
      <xdr:rowOff>9310</xdr:rowOff>
    </xdr:to>
    <xdr:pic>
      <xdr:nvPicPr>
        <xdr:cNvPr id="4" name="图片 3">
          <a:extLst>
            <a:ext uri="{FF2B5EF4-FFF2-40B4-BE49-F238E27FC236}">
              <a16:creationId xmlns=""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0" y="8915400"/>
          <a:ext cx="8457143" cy="1723810"/>
        </a:xfrm>
        <a:prstGeom prst="rect">
          <a:avLst/>
        </a:prstGeom>
      </xdr:spPr>
    </xdr:pic>
    <xdr:clientData/>
  </xdr:twoCellAnchor>
  <xdr:twoCellAnchor editAs="oneCell">
    <xdr:from>
      <xdr:col>0</xdr:col>
      <xdr:colOff>0</xdr:colOff>
      <xdr:row>62</xdr:row>
      <xdr:rowOff>0</xdr:rowOff>
    </xdr:from>
    <xdr:to>
      <xdr:col>12</xdr:col>
      <xdr:colOff>151353</xdr:colOff>
      <xdr:row>71</xdr:row>
      <xdr:rowOff>133141</xdr:rowOff>
    </xdr:to>
    <xdr:pic>
      <xdr:nvPicPr>
        <xdr:cNvPr id="5" name="图片 4">
          <a:extLst>
            <a:ext uri="{FF2B5EF4-FFF2-40B4-BE49-F238E27FC236}">
              <a16:creationId xmlns=""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0" y="10629900"/>
          <a:ext cx="8380953" cy="16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1&#24180;/2021-1-0328-P01DYGJ2&#21512;&#32933;&#21271;&#22478;&#19975;&#36798;&#24191;&#22330;/&#26368;&#32456;/&#27979;&#31639;2021-1-0328-P01DYGJ2&#23433;&#24509;&#30465;&#21512;&#32933;&#24066;&#38271;&#20016;&#21439;&#21452;&#20964;&#24320;&#21457;&#21306;&#38428;&#38451;&#21271;&#36335;&#19996;19&#21495;&#21512;&#32933;&#21271;&#22478;&#19975;&#36798;&#24191;&#22330;&#20840;&#37096;&#21830;&#19994;&#21450;&#22320;&#19979;&#36710;&#24211;&#29992;&#25151;&#25151;&#22320;&#20135;&#24066;&#22330;&#20215;&#20540;&#21672;&#358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dministrator\&#26700;&#38754;\&#40511;&#22372;&#24191;&#22330;&#36141;&#29289;&#20013;&#24515;&#31199;&#36161;&#21488;&#3613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经营"/>
      <sheetName val="收益法"/>
      <sheetName val="收益法 (元)"/>
      <sheetName val="收益法（汇总）"/>
      <sheetName val="酒店收入计算"/>
      <sheetName val="比较法-住宅"/>
      <sheetName val="收益法车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合肥土地案例"/>
      <sheetName val="典型户型修正"/>
      <sheetName val="成本法（废）"/>
      <sheetName val="区片价"/>
      <sheetName val="因素修正幅度"/>
      <sheetName val="存贷款利率"/>
      <sheetName val="面积明细"/>
      <sheetName val="区片价（范围）"/>
      <sheetName val="土地案例位置图"/>
      <sheetName val="审计报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收益法车库</v>
          </cell>
        </row>
        <row r="19">
          <cell r="A19" t="str">
            <v>宿舍</v>
          </cell>
          <cell r="B19" t="str">
            <v>收益法-经营</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efreshError="1"/>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租赁进度"/>
      <sheetName val="Sheet1"/>
    </sheetNames>
    <sheetDataSet>
      <sheetData sheetId="0">
        <row r="6">
          <cell r="Y6">
            <v>60.832999999999998</v>
          </cell>
        </row>
      </sheetData>
      <sheetData sheetId="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8" Type="http://schemas.openxmlformats.org/officeDocument/2006/relationships/hyperlink" Target="https://creis.fang.com/land/4.0/land-detail/bidding-detail?landId=a9858500-1e82-4120-9f02-04ed3ba77468&amp;cityId=6679b8fe-0231-4c3e-95e2-1afa9e3fea5f&amp;cityName=%E5%8C%97%E4%BA%AC&amp;cityCode=110100" TargetMode="External"/><Relationship Id="rId3" Type="http://schemas.openxmlformats.org/officeDocument/2006/relationships/hyperlink" Target="https://creis.fang.com/land/4.0/land/company-info?companyName=%E5%8C%97%E4%BA%AC%E5%A4%A7%E5%85%B4%E5%AE%BE%E9%A6%86%E6%9C%89%E9%99%90%E8%B4%A3%E4%BB%BB%E5%85%AC%E5%8F%B8" TargetMode="External"/><Relationship Id="rId7" Type="http://schemas.openxmlformats.org/officeDocument/2006/relationships/hyperlink" Target="https://creis.fang.com/land/4.0/land/company-info?companyName=%E5%8C%97%E4%BA%AC%E5%B0%9A%E6%81%92%E9%94%A6%E7%91%9E%E5%95%86%E4%B8%9A%E8%BF%90%E8%90%A5%E7%AE%A1%E7%90%86%E6%9C%89%E9%99%90%E5%85%AC%E5%8F%B8" TargetMode="External"/><Relationship Id="rId2" Type="http://schemas.openxmlformats.org/officeDocument/2006/relationships/hyperlink" Target="https://creis.fang.com/land/4.0/land-detail/bidding-transfer?landId=b312a772-c783-45ea-b1ec-069c30393fdd&amp;cityId=6679b8fe-0231-4c3e-95e2-1afa9e3fea5f&amp;cityName=%E5%8C%97%E4%BA%AC&amp;cityCode=110100" TargetMode="External"/><Relationship Id="rId1" Type="http://schemas.openxmlformats.org/officeDocument/2006/relationships/hyperlink" Target="https://creis.fang.com/land/4.0/land-detail/bidding-detail?landId=b312a772-c783-45ea-b1ec-069c30393fdd&amp;cityId=6679b8fe-0231-4c3e-95e2-1afa9e3fea5f&amp;cityName=%E5%8C%97%E4%BA%AC&amp;cityCode=110100" TargetMode="External"/><Relationship Id="rId6" Type="http://schemas.openxmlformats.org/officeDocument/2006/relationships/hyperlink" Target="https://creis.fang.com/land/4.0/land-detail/bidding-detail?landId=670048a0-4c06-4d9f-a996-8c3efb69e3a9&amp;cityId=6679b8fe-0231-4c3e-95e2-1afa9e3fea5f&amp;cityName=%E5%8C%97%E4%BA%AC&amp;cityCode=110100" TargetMode="External"/><Relationship Id="rId11" Type="http://schemas.openxmlformats.org/officeDocument/2006/relationships/drawing" Target="../drawings/drawing2.xml"/><Relationship Id="rId5" Type="http://schemas.openxmlformats.org/officeDocument/2006/relationships/hyperlink" Target="https://creis.fang.com/land/4.0/land/company-info?companyName=%E5%8C%97%E4%BA%AC%E9%80%9A%E6%98%8E%E6%B9%96%E4%BF%A1%E6%81%AF%E5%9F%8E%E5%8F%91%E5%B1%95%E6%9C%89%E9%99%90%E5%85%AC%E5%8F%B8" TargetMode="External"/><Relationship Id="rId10" Type="http://schemas.openxmlformats.org/officeDocument/2006/relationships/printerSettings" Target="../printerSettings/printerSettings41.bin"/><Relationship Id="rId4" Type="http://schemas.openxmlformats.org/officeDocument/2006/relationships/hyperlink" Target="https://creis.fang.com/land/4.0/land-detail/bidding-detail?landId=943e4ded-ddf7-4b11-a192-8593d26f1f10&amp;cityId=6679b8fe-0231-4c3e-95e2-1afa9e3fea5f&amp;cityName=%E5%8C%97%E4%BA%AC&amp;cityCode=110100" TargetMode="External"/><Relationship Id="rId9" Type="http://schemas.openxmlformats.org/officeDocument/2006/relationships/hyperlink" Target="https://creis.fang.com/land/4.0/land/company-info?companyName=%E5%8C%97%E4%BA%AC%E5%9B%BD%E8%8B%91%E4%BD%93%E8%82%B2%E6%96%87%E5%8C%96%E6%8A%95%E8%B5%84%E6%9C%89%E9%99%90%E8%B4%A3%E4%BB%BB%E5%85%AC%E5%8F%B8" TargetMode="Externa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'预评函-封皮'!B46</f>
        <v>（注册号：0)、（注册号：0)</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估价对象为北京市房地产，为所有。根据《国有土地使用证》[]，估价对象（分摊）出让国有建设用地使用权面积为25666.1平方米，建筑面积为101504.34平方米。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综合项目（商业、办公），该项目尚在开发建设中。根据《国有土地使用证》[]，估价对象（分摊）出让国有建设用地使用权面积为25666.1平方米，规划建筑面积为101504.34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2022年1月6日（评估专业人员实地查勘之日）</v>
      </c>
    </row>
    <row r="13" spans="1:2" s="1336" customFormat="1">
      <c r="A13" s="1334" t="s">
        <v>1135</v>
      </c>
      <c r="B13" s="1335" t="str">
        <f>'预评函-1'!A18</f>
        <v>本次估价的“房地产价值”是指在正常市场情况下，在价值时点2022年1月6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本次评估采用的主估价方法为成本法和收益法。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t="e">
        <f ca="1">'预评函-2'!D5</f>
        <v>#REF!</v>
      </c>
    </row>
    <row r="21" spans="1:2" s="1336" customFormat="1">
      <c r="A21" s="1334" t="s">
        <v>1143</v>
      </c>
      <c r="B21" s="1335" t="e">
        <f ca="1">'预评函-2'!D7</f>
        <v>#REF!</v>
      </c>
    </row>
    <row r="22" spans="1:2" s="1336" customFormat="1">
      <c r="A22" s="1334" t="s">
        <v>1144</v>
      </c>
      <c r="B22" s="1335" t="e">
        <f ca="1">'预评函-2'!D6</f>
        <v>#REF!</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t="e">
        <f ca="1">'预评函-2'!D13</f>
        <v>#REF!</v>
      </c>
    </row>
    <row r="31" spans="1:2" s="1336" customFormat="1">
      <c r="A31" s="1334" t="s">
        <v>1182</v>
      </c>
      <c r="B31" s="1335" t="e">
        <f ca="1">'预评函-2'!D15</f>
        <v>#REF!</v>
      </c>
    </row>
    <row r="32" spans="1:2" s="1336" customFormat="1">
      <c r="A32" s="1334" t="s">
        <v>1149</v>
      </c>
      <c r="B32" s="1335" t="e">
        <f ca="1">'预评函-2'!D14</f>
        <v>#REF!</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101504.34</v>
      </c>
    </row>
    <row r="44" spans="1:2" s="1336" customFormat="1">
      <c r="A44" s="1334" t="s">
        <v>1181</v>
      </c>
      <c r="B44" s="1335" t="str">
        <f>'预评函-3'!C2</f>
        <v>(分摊)土地面积</v>
      </c>
    </row>
    <row r="45" spans="1:2" s="1336" customFormat="1">
      <c r="A45" s="1334" t="s">
        <v>1153</v>
      </c>
      <c r="B45" s="1335">
        <f>'预评函-3'!C4</f>
        <v>25666.1</v>
      </c>
    </row>
    <row r="46" spans="1:2" s="1336" customFormat="1">
      <c r="A46" s="1334" t="s">
        <v>1179</v>
      </c>
      <c r="B46" s="1335" t="str">
        <f>'预评函-3'!D2</f>
        <v>出让国有建设用地使用权价值</v>
      </c>
    </row>
    <row r="47" spans="1:2" s="1336" customFormat="1">
      <c r="A47" s="1334" t="s">
        <v>1154</v>
      </c>
      <c r="B47" s="1335" t="e">
        <f ca="1">'预评函-3'!D4</f>
        <v>#REF!</v>
      </c>
    </row>
    <row r="48" spans="1:2" s="1336" customFormat="1">
      <c r="A48" s="1334" t="s">
        <v>1155</v>
      </c>
      <c r="B48" s="1335" t="e">
        <f ca="1">'预评函-3'!E4</f>
        <v>#REF!</v>
      </c>
    </row>
    <row r="49" spans="1:2" s="1336" customFormat="1">
      <c r="A49" s="1334" t="s">
        <v>1156</v>
      </c>
      <c r="B49" s="1335" t="e">
        <f ca="1">'预评函-3'!D5</f>
        <v>#REF!</v>
      </c>
    </row>
    <row r="50" spans="1:2" s="1336" customFormat="1">
      <c r="A50" s="1334" t="s">
        <v>1180</v>
      </c>
      <c r="B50" s="1335" t="str">
        <f>'预评函-3'!F2</f>
        <v>在建建筑物价值</v>
      </c>
    </row>
    <row r="51" spans="1:2" s="1336" customFormat="1">
      <c r="A51" s="1334" t="s">
        <v>1157</v>
      </c>
      <c r="B51" s="1335" t="e">
        <f ca="1">'预评函-3'!F4</f>
        <v>#REF!</v>
      </c>
    </row>
    <row r="52" spans="1:2" s="1336" customFormat="1">
      <c r="A52" s="1334" t="s">
        <v>1158</v>
      </c>
      <c r="B52" s="1335" t="e">
        <f ca="1">'预评函-3'!G4</f>
        <v>#REF!</v>
      </c>
    </row>
    <row r="53" spans="1:2" s="1336" customFormat="1">
      <c r="A53" s="1334" t="s">
        <v>1186</v>
      </c>
      <c r="B53" s="1335" t="e">
        <f ca="1">'预评函-3'!F5</f>
        <v>#REF!</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f>'预评函-4'!A4</f>
        <v>0</v>
      </c>
    </row>
    <row r="71" spans="1:2">
      <c r="A71" s="1334" t="s">
        <v>1169</v>
      </c>
      <c r="B71" s="1335">
        <f>'预评函-4'!B4</f>
        <v>0</v>
      </c>
    </row>
    <row r="72" spans="1:2">
      <c r="A72" s="1334" t="s">
        <v>1170</v>
      </c>
      <c r="B72" s="1343">
        <f>'预评函-4'!A5</f>
        <v>0</v>
      </c>
    </row>
    <row r="73" spans="1:2" s="1330" customFormat="1" ht="15" thickBot="1">
      <c r="A73" s="1337" t="s">
        <v>1171</v>
      </c>
      <c r="B73" s="1338">
        <f>'预评函-4'!B5</f>
        <v>0</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2978</v>
      </c>
      <c r="C17" s="1701"/>
    </row>
    <row r="18" spans="1:3">
      <c r="A18" s="1700" t="s">
        <v>1672</v>
      </c>
      <c r="B18" s="1700" t="s">
        <v>3122</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378"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8"/>
      <c r="B54" s="1708" t="s">
        <v>832</v>
      </c>
      <c r="C54" s="1705" t="s">
        <v>1189</v>
      </c>
    </row>
    <row r="55" spans="1:4">
      <c r="A55" s="3378"/>
      <c r="B55" s="1708" t="s">
        <v>833</v>
      </c>
      <c r="C55" s="1705" t="s">
        <v>1190</v>
      </c>
    </row>
    <row r="56" spans="1:4">
      <c r="A56" s="3378"/>
      <c r="B56" s="1708" t="s">
        <v>834</v>
      </c>
      <c r="C56" s="1705" t="s">
        <v>1194</v>
      </c>
    </row>
    <row r="57" spans="1:4">
      <c r="A57" s="3378"/>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21" sqref="D21"/>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2853</v>
      </c>
      <c r="B1" s="3387" t="str">
        <f>IF(B10="北京市","北京市",C10)&amp;F10&amp;IF(结果表!G1="在建","出让国有建设用地使用权及在建建筑物",IF(结果表!G1="土地","出让国有建设用地使用权",))&amp;B9&amp;"预评估"</f>
        <v>北京市房地产抵押价值预评估</v>
      </c>
      <c r="C1" s="3388"/>
      <c r="D1" s="3388"/>
      <c r="E1" s="3388"/>
      <c r="F1" s="3388"/>
      <c r="G1" s="3388"/>
      <c r="H1" s="3388"/>
      <c r="I1" s="3389"/>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2854</v>
      </c>
      <c r="B2" s="2564"/>
      <c r="C2" s="2565"/>
      <c r="D2" s="2868"/>
      <c r="E2" s="2858"/>
      <c r="F2" s="2858"/>
      <c r="G2" s="2859"/>
      <c r="H2" s="2859"/>
      <c r="I2" s="2859"/>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2855</v>
      </c>
      <c r="B3" s="2566">
        <v>44567</v>
      </c>
      <c r="C3" s="2567" t="s">
        <v>2856</v>
      </c>
      <c r="D3" s="2566">
        <f>B3</f>
        <v>44567</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5" thickBot="1">
      <c r="A4" s="1222" t="s">
        <v>2857</v>
      </c>
      <c r="B4" s="2568"/>
      <c r="C4" s="2569">
        <f>SUMIF(注册房地产估价师,B4,估价师及机构信息!B3:B24)</f>
        <v>0</v>
      </c>
      <c r="D4" s="2568"/>
      <c r="E4" s="2570">
        <f>SUMIF(注册房地产估价师,D4,估价师及机构信息!B3:B24)</f>
        <v>0</v>
      </c>
      <c r="F4" s="2568"/>
      <c r="G4" s="2570">
        <f>SUMIF(注册房地产估价师,F4,估价师及机构信息!B3:B24)</f>
        <v>0</v>
      </c>
      <c r="H4" s="2568"/>
      <c r="I4" s="2570">
        <f>SUMIF(注册房地产估价师,H4,估价师及机构信息!B3:B24)</f>
        <v>0</v>
      </c>
      <c r="J4" s="2634"/>
      <c r="K4" s="2571" t="str">
        <f>CONCATENATE(B4,"（注册号：",C4,")、",D4,"（注册号：",E4,")")</f>
        <v>（注册号：0)、（注册号：0)</v>
      </c>
      <c r="L4" s="2562"/>
      <c r="M4" s="2562"/>
      <c r="N4" s="2563"/>
      <c r="O4" s="1730"/>
      <c r="P4" s="2563"/>
      <c r="Q4" s="2563"/>
      <c r="R4" s="2563"/>
      <c r="S4" s="1837"/>
      <c r="T4" s="1900"/>
      <c r="U4" s="1900"/>
      <c r="V4" s="1900"/>
      <c r="W4" s="1900"/>
      <c r="X4" s="1900"/>
      <c r="Y4" s="1900"/>
      <c r="Z4" s="1900"/>
      <c r="AA4" s="1900"/>
      <c r="AB4" s="1900"/>
    </row>
    <row r="5" spans="1:28" ht="13.5" thickTop="1">
      <c r="A5" s="2572" t="s">
        <v>2858</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2859</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2860</v>
      </c>
      <c r="B7" s="2580"/>
      <c r="C7" s="2578"/>
      <c r="D7" s="2579"/>
      <c r="E7" s="2858"/>
      <c r="F7" s="2860"/>
      <c r="G7" s="2860"/>
      <c r="H7" s="2860"/>
      <c r="I7" s="2860"/>
      <c r="J7" s="2634"/>
      <c r="K7" s="2811"/>
      <c r="L7" s="2808"/>
      <c r="M7" s="2808"/>
      <c r="N7" s="2634"/>
      <c r="O7" s="2645"/>
      <c r="P7" s="2634"/>
      <c r="Q7" s="2634"/>
      <c r="R7" s="2634"/>
    </row>
    <row r="8" spans="1:28">
      <c r="A8" s="2581" t="s">
        <v>2861</v>
      </c>
      <c r="B8" s="2582" t="s">
        <v>3127</v>
      </c>
      <c r="C8" s="2583"/>
      <c r="D8" s="3390" t="s">
        <v>2862</v>
      </c>
      <c r="E8" s="2584" t="s">
        <v>3128</v>
      </c>
      <c r="F8" s="2585"/>
      <c r="G8" s="2859"/>
      <c r="H8" s="2859"/>
      <c r="I8" s="2859"/>
      <c r="J8" s="2634"/>
      <c r="K8" s="2809"/>
      <c r="L8" s="2808"/>
      <c r="M8" s="2808"/>
      <c r="N8" s="2634"/>
      <c r="O8" s="2645"/>
      <c r="P8" s="2634"/>
      <c r="Q8" s="2634"/>
      <c r="R8" s="2634"/>
    </row>
    <row r="9" spans="1:28" ht="13.5" thickBot="1">
      <c r="A9" s="2586" t="s">
        <v>2863</v>
      </c>
      <c r="B9" s="2587" t="s">
        <v>3128</v>
      </c>
      <c r="C9" s="2588"/>
      <c r="D9" s="3391"/>
      <c r="E9" s="2587"/>
      <c r="F9" s="2589"/>
      <c r="G9" s="2861"/>
      <c r="H9" s="2861"/>
      <c r="I9" s="2861"/>
      <c r="J9" s="2634"/>
      <c r="K9" s="2811"/>
      <c r="L9" s="2808"/>
      <c r="M9" s="2808"/>
      <c r="N9" s="2634"/>
      <c r="O9" s="2645"/>
      <c r="P9" s="2634"/>
      <c r="Q9" s="2634"/>
      <c r="R9" s="2634"/>
    </row>
    <row r="10" spans="1:28" ht="13.5" thickTop="1">
      <c r="A10" s="2590" t="s">
        <v>2864</v>
      </c>
      <c r="B10" s="2591" t="s">
        <v>3129</v>
      </c>
      <c r="C10" s="2592"/>
      <c r="D10" s="2575"/>
      <c r="E10" s="2593" t="s">
        <v>2865</v>
      </c>
      <c r="F10" s="2862"/>
      <c r="G10" s="2863"/>
      <c r="H10" s="2864"/>
      <c r="I10" s="2865"/>
      <c r="J10" s="2634"/>
      <c r="K10" s="2811"/>
      <c r="L10" s="2808"/>
      <c r="M10" s="2808"/>
      <c r="N10" s="2634"/>
      <c r="O10" s="2645"/>
      <c r="P10" s="2634"/>
      <c r="Q10" s="2634"/>
      <c r="R10" s="2634"/>
    </row>
    <row r="11" spans="1:28">
      <c r="A11" s="2594" t="s">
        <v>2866</v>
      </c>
      <c r="B11" s="2595" t="s">
        <v>3130</v>
      </c>
      <c r="C11" s="2596"/>
      <c r="D11" s="2597"/>
      <c r="E11" s="2563"/>
      <c r="F11" s="2563"/>
      <c r="G11" s="2563"/>
      <c r="H11" s="2563"/>
      <c r="I11" s="2563"/>
      <c r="J11" s="2634"/>
      <c r="K11" s="2811"/>
      <c r="L11" s="2808"/>
      <c r="M11" s="2808"/>
      <c r="N11" s="2634"/>
      <c r="O11" s="2645"/>
      <c r="P11" s="2634"/>
      <c r="Q11" s="2634"/>
      <c r="R11" s="2634"/>
    </row>
    <row r="12" spans="1:28">
      <c r="A12" s="2598" t="s">
        <v>2867</v>
      </c>
      <c r="B12" s="2595" t="s">
        <v>3131</v>
      </c>
      <c r="C12" s="329" t="s">
        <v>2868</v>
      </c>
      <c r="D12" s="2599" t="s">
        <v>2869</v>
      </c>
      <c r="E12" s="2599" t="s">
        <v>2870</v>
      </c>
      <c r="F12" s="2599" t="s">
        <v>2871</v>
      </c>
      <c r="G12" s="2599" t="s">
        <v>2872</v>
      </c>
      <c r="H12" s="2599" t="s">
        <v>2873</v>
      </c>
      <c r="I12" s="2599" t="s">
        <v>2874</v>
      </c>
      <c r="J12" s="2634"/>
      <c r="K12" s="2811"/>
      <c r="L12" s="2808"/>
      <c r="M12" s="2808"/>
      <c r="N12" s="2634"/>
      <c r="O12" s="2645"/>
      <c r="P12" s="2634"/>
      <c r="Q12" s="2634"/>
      <c r="R12" s="2634"/>
    </row>
    <row r="13" spans="1:28" ht="15">
      <c r="A13" s="1213"/>
      <c r="B13" s="2600"/>
      <c r="C13" s="2601" t="s">
        <v>2875</v>
      </c>
      <c r="D13" s="965"/>
      <c r="E13" s="3210">
        <v>52093</v>
      </c>
      <c r="F13" s="3210"/>
      <c r="G13" s="3210">
        <v>55746</v>
      </c>
      <c r="H13" s="965"/>
      <c r="I13" s="965"/>
      <c r="J13" s="2634"/>
      <c r="K13" s="2811"/>
      <c r="L13" s="2808"/>
      <c r="M13" s="2808"/>
      <c r="N13" s="2634"/>
      <c r="O13" s="2645"/>
      <c r="P13" s="2634"/>
      <c r="Q13" s="2634"/>
      <c r="R13" s="2634"/>
    </row>
    <row r="14" spans="1:28">
      <c r="A14" s="1213"/>
      <c r="B14" s="2600"/>
      <c r="C14" s="2601" t="s">
        <v>2876</v>
      </c>
      <c r="D14" s="2602"/>
      <c r="E14" s="2602">
        <v>40</v>
      </c>
      <c r="F14" s="2602"/>
      <c r="G14" s="2602">
        <v>50</v>
      </c>
      <c r="H14" s="2602"/>
      <c r="I14" s="2602"/>
      <c r="J14" s="2634"/>
      <c r="K14" s="2812"/>
      <c r="L14" s="2808"/>
      <c r="M14" s="2808"/>
      <c r="N14" s="2634"/>
      <c r="O14" s="2645"/>
      <c r="P14" s="2634"/>
      <c r="Q14" s="2634"/>
      <c r="R14" s="2634"/>
    </row>
    <row r="15" spans="1:28">
      <c r="A15" s="326"/>
      <c r="B15" s="2603"/>
      <c r="C15" s="2604" t="s">
        <v>2877</v>
      </c>
      <c r="D15" s="2605" t="str">
        <f>IF(B12="出让",IF(D13="","",ROUNDDOWN(MIN((D13-$D$3)/365,D14),2)),D14)</f>
        <v/>
      </c>
      <c r="E15" s="2605">
        <f>IF(B12="出让",IF(E13="","",ROUNDDOWN(MIN((E13-$D$3)/365,E14),2)),E14)</f>
        <v>20.61</v>
      </c>
      <c r="F15" s="2605" t="str">
        <f>IF(B12="出让",IF(F13="","",ROUNDDOWN(MIN((F13-$D$3)/365,F14),2)),F14)</f>
        <v/>
      </c>
      <c r="G15" s="2605">
        <f>IF(B12="出让",IF(G13="","",ROUNDDOWN(MIN((G13-$D$3)/365,G14),2)),G14)</f>
        <v>30.62</v>
      </c>
      <c r="H15" s="2605" t="str">
        <f>IF(B12="出让",IF(H13="","",ROUNDDOWN(MIN((H13-$D$3)/365,H14),2)),H14)</f>
        <v/>
      </c>
      <c r="I15" s="2605" t="str">
        <f>IF(B12="出让",IF(I13="","",ROUNDDOWN(MIN((I13-$D$3)/365,I14),2)),I14)</f>
        <v/>
      </c>
      <c r="J15" s="2634"/>
      <c r="K15" s="2813"/>
      <c r="L15" s="2646"/>
      <c r="M15" s="2646"/>
      <c r="N15" s="2704"/>
      <c r="O15" s="2646"/>
      <c r="P15" s="2704"/>
      <c r="Q15" s="2634"/>
      <c r="R15" s="2634"/>
    </row>
    <row r="16" spans="1:28">
      <c r="A16" s="2593" t="s">
        <v>2878</v>
      </c>
      <c r="B16" s="3397"/>
      <c r="C16" s="3398"/>
      <c r="D16" s="3399"/>
      <c r="E16" s="2608" t="s">
        <v>2879</v>
      </c>
      <c r="F16" s="3400"/>
      <c r="G16" s="3401"/>
      <c r="H16" s="3401"/>
      <c r="I16" s="3402"/>
      <c r="J16" s="2634"/>
      <c r="K16" s="2813"/>
      <c r="L16" s="2646"/>
      <c r="M16" s="2646"/>
      <c r="N16" s="2704"/>
      <c r="O16" s="2646"/>
      <c r="P16" s="2704"/>
      <c r="Q16" s="2634"/>
      <c r="R16" s="2634"/>
    </row>
    <row r="17" spans="1:28">
      <c r="A17" s="319" t="s">
        <v>2880</v>
      </c>
      <c r="B17" s="308" t="s">
        <v>2881</v>
      </c>
      <c r="C17" s="11">
        <f>'数据-汇总表'!E3</f>
        <v>101504.34</v>
      </c>
      <c r="D17" s="2514" t="s">
        <v>2882</v>
      </c>
      <c r="E17" s="3403" t="s">
        <v>2883</v>
      </c>
      <c r="F17" s="3404"/>
      <c r="G17" s="3404"/>
      <c r="H17" s="3404"/>
      <c r="I17" s="3405"/>
      <c r="J17" s="2634"/>
      <c r="K17" s="2814"/>
      <c r="L17" s="2646"/>
      <c r="M17" s="2646"/>
      <c r="N17" s="2704"/>
      <c r="O17" s="2646"/>
      <c r="P17" s="2704"/>
      <c r="Q17" s="2634"/>
      <c r="R17" s="2634"/>
      <c r="S17" s="2634"/>
      <c r="T17" s="2634"/>
      <c r="U17" s="2634"/>
      <c r="V17" s="2634"/>
    </row>
    <row r="18" spans="1:28" ht="24.75" thickBot="1">
      <c r="A18" s="2609" t="s">
        <v>2884</v>
      </c>
      <c r="B18" s="1222" t="s">
        <v>2885</v>
      </c>
      <c r="C18" s="2610">
        <f>'数据-汇总表'!D3</f>
        <v>25666.1</v>
      </c>
      <c r="D18" s="1224" t="s">
        <v>2886</v>
      </c>
      <c r="E18" s="3406" t="s">
        <v>2887</v>
      </c>
      <c r="F18" s="3407"/>
      <c r="G18" s="3407"/>
      <c r="H18" s="3407"/>
      <c r="I18" s="3408"/>
      <c r="J18" s="2634"/>
      <c r="K18" s="2814"/>
      <c r="L18" s="2646"/>
      <c r="M18" s="2646"/>
      <c r="N18" s="2704"/>
      <c r="O18" s="2646"/>
      <c r="P18" s="2704"/>
      <c r="Q18" s="2634"/>
      <c r="R18" s="2634"/>
      <c r="S18" s="2634"/>
      <c r="T18" s="2634"/>
      <c r="U18" s="2634"/>
      <c r="V18" s="2634"/>
    </row>
    <row r="19" spans="1:28" ht="37.5" thickTop="1" thickBot="1">
      <c r="A19" s="333" t="s">
        <v>1681</v>
      </c>
      <c r="B19" s="313" t="s">
        <v>2888</v>
      </c>
      <c r="C19" s="1717"/>
      <c r="D19" s="1718" t="s">
        <v>2889</v>
      </c>
      <c r="E19" s="1719"/>
      <c r="F19" s="1720" t="str">
        <f>IF(AND(C19="是",E19="否"),"是否提供他项权证或相关说明","")</f>
        <v/>
      </c>
      <c r="G19" s="1721"/>
      <c r="H19" s="2860"/>
      <c r="I19" s="2860"/>
      <c r="J19" s="2634"/>
      <c r="K19" s="2811"/>
      <c r="L19" s="2808"/>
      <c r="M19" s="2808"/>
      <c r="N19" s="2704"/>
      <c r="O19" s="2646"/>
      <c r="P19" s="2704"/>
      <c r="Q19" s="2634"/>
      <c r="R19" s="2634"/>
      <c r="S19" s="2634"/>
      <c r="T19" s="2634"/>
      <c r="U19" s="2634"/>
      <c r="V19" s="2634"/>
    </row>
    <row r="20" spans="1:28">
      <c r="A20" s="2828" t="s">
        <v>2890</v>
      </c>
      <c r="B20" s="3393" t="s">
        <v>2891</v>
      </c>
      <c r="C20" s="3394"/>
      <c r="D20" s="3395" t="s">
        <v>2892</v>
      </c>
      <c r="E20" s="3396"/>
      <c r="F20" s="2843" t="s">
        <v>1682</v>
      </c>
      <c r="G20" s="2860"/>
      <c r="H20" s="2860"/>
      <c r="I20" s="2860"/>
      <c r="J20" s="2634"/>
      <c r="K20" s="3392"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2894</v>
      </c>
      <c r="C21" s="2830" t="s">
        <v>1683</v>
      </c>
      <c r="D21" s="1722" t="s">
        <v>2895</v>
      </c>
      <c r="E21" s="2831" t="s">
        <v>1683</v>
      </c>
      <c r="F21" s="2844"/>
      <c r="G21" s="2860"/>
      <c r="H21" s="2860"/>
      <c r="I21" s="2860"/>
      <c r="J21" s="2634"/>
      <c r="K21" s="339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2896</v>
      </c>
      <c r="C22" s="2830" t="s">
        <v>1684</v>
      </c>
      <c r="D22" s="2859"/>
      <c r="E22" s="2859"/>
      <c r="F22" s="2859"/>
      <c r="G22" s="2860"/>
      <c r="H22" s="2860"/>
      <c r="I22" s="2860"/>
      <c r="J22" s="2634"/>
      <c r="K22" s="339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2897</v>
      </c>
      <c r="B23" s="2697" t="s">
        <v>2898</v>
      </c>
      <c r="C23" s="2834"/>
      <c r="D23" s="2835" t="s">
        <v>2898</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380" t="s">
        <v>2899</v>
      </c>
      <c r="B27" s="326" t="s">
        <v>2900</v>
      </c>
      <c r="C27" s="2611" t="s">
        <v>3132</v>
      </c>
      <c r="D27" s="2612"/>
      <c r="E27" s="2860"/>
      <c r="F27" s="2860"/>
      <c r="G27" s="2860"/>
      <c r="H27" s="2860"/>
      <c r="I27" s="2860"/>
      <c r="J27" s="2634"/>
      <c r="K27" s="2813"/>
      <c r="L27" s="2646"/>
      <c r="M27" s="2646"/>
      <c r="N27" s="2704"/>
      <c r="O27" s="2646"/>
      <c r="P27" s="2704"/>
      <c r="Q27" s="2634"/>
      <c r="R27" s="2634"/>
      <c r="S27" s="2634"/>
      <c r="T27" s="2634"/>
      <c r="U27" s="2634"/>
      <c r="V27" s="2634"/>
    </row>
    <row r="28" spans="1:28">
      <c r="A28" s="3380"/>
      <c r="B28" s="308" t="s">
        <v>2901</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380"/>
      <c r="B29" s="308" t="s">
        <v>2902</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381"/>
      <c r="B30" s="308" t="s">
        <v>2903</v>
      </c>
      <c r="C30" s="3382"/>
      <c r="D30" s="3383"/>
      <c r="E30" s="2860"/>
      <c r="F30" s="2860"/>
      <c r="G30" s="2860"/>
      <c r="H30" s="2860"/>
      <c r="I30" s="2860"/>
      <c r="J30" s="2634"/>
      <c r="K30" s="2811"/>
      <c r="L30" s="2808"/>
      <c r="M30" s="2808"/>
      <c r="N30" s="2634"/>
      <c r="O30" s="2645"/>
      <c r="P30" s="2634"/>
      <c r="Q30" s="2634"/>
      <c r="R30" s="2634"/>
      <c r="S30" s="2634"/>
      <c r="T30" s="2634"/>
      <c r="U30" s="2634"/>
      <c r="V30" s="2634"/>
    </row>
    <row r="31" spans="1:28">
      <c r="A31" s="3384" t="s">
        <v>2904</v>
      </c>
      <c r="B31" s="2617" t="s">
        <v>3133</v>
      </c>
      <c r="C31" s="2515" t="str">
        <f>IF(B31="现房","成新及维护状况正常否",IF(B31="在建","工程状态是否正常",IF(B31="土地","是否闲置","-")))</f>
        <v>成新及维护状况正常否</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385"/>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385"/>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8" t="s">
        <v>2905</v>
      </c>
      <c r="B34" s="2183"/>
      <c r="C34" s="2183"/>
      <c r="D34" s="2183"/>
      <c r="E34" s="2183"/>
      <c r="F34" s="2183"/>
      <c r="G34" s="2183"/>
      <c r="H34" s="2183"/>
      <c r="I34" s="2860"/>
      <c r="J34" s="2634"/>
      <c r="K34" s="2622">
        <f>COUNTIF(B34:H34,"——")</f>
        <v>0</v>
      </c>
      <c r="L34" s="329" t="s">
        <v>2906</v>
      </c>
      <c r="M34" s="329" t="s">
        <v>2907</v>
      </c>
      <c r="N34" s="329" t="s">
        <v>2908</v>
      </c>
      <c r="O34" s="329" t="s">
        <v>2909</v>
      </c>
      <c r="P34" s="329" t="s">
        <v>2910</v>
      </c>
      <c r="Q34" s="329" t="s">
        <v>2911</v>
      </c>
      <c r="R34" s="329" t="s">
        <v>2912</v>
      </c>
      <c r="S34" s="3379" t="s">
        <v>2913</v>
      </c>
      <c r="T34" s="2623" t="str">
        <f>NUMBERSTRING(7-K34,1)&amp;"通"</f>
        <v>七通</v>
      </c>
      <c r="U34" s="2634"/>
      <c r="V34" s="2634"/>
    </row>
    <row r="35" spans="1:30">
      <c r="A35" s="2624"/>
      <c r="B35" s="3386" t="s">
        <v>2914</v>
      </c>
      <c r="C35" s="3386"/>
      <c r="D35" s="3386"/>
      <c r="E35" s="3386"/>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79"/>
      <c r="T35" s="335" t="str">
        <f>IF(T34="一通",L35,IF(T34="二通",M35,IF(T34="三通",N35,IF(T34="四通",O35,IF(T34="五通",P35,IF(T34="六通",Q35,R35))))))</f>
        <v>、、、、、、</v>
      </c>
      <c r="U35" s="2634"/>
      <c r="V35" s="2634"/>
    </row>
    <row r="36" spans="1:30">
      <c r="A36" s="2625"/>
      <c r="B36" s="673" t="s">
        <v>2870</v>
      </c>
      <c r="C36" s="673" t="s">
        <v>2871</v>
      </c>
      <c r="D36" s="673" t="s">
        <v>2869</v>
      </c>
      <c r="E36" s="673" t="s">
        <v>2874</v>
      </c>
      <c r="F36" s="2866"/>
      <c r="G36" s="2860"/>
      <c r="H36" s="2860"/>
      <c r="I36" s="2860"/>
      <c r="J36" s="2634"/>
      <c r="K36" s="2811"/>
      <c r="L36" s="2808"/>
      <c r="M36" s="2808"/>
      <c r="N36" s="2634"/>
      <c r="O36" s="2645"/>
      <c r="P36" s="2634"/>
      <c r="Q36" s="2634"/>
      <c r="R36" s="2634"/>
      <c r="S36" s="2634"/>
      <c r="T36" s="2634"/>
      <c r="U36" s="2634"/>
      <c r="V36" s="2634"/>
    </row>
    <row r="37" spans="1:30" ht="15">
      <c r="A37" s="2826" t="s">
        <v>2915</v>
      </c>
      <c r="B37" s="3211" t="s">
        <v>526</v>
      </c>
      <c r="C37" s="2626"/>
      <c r="D37" s="2626"/>
      <c r="E37" s="2626"/>
      <c r="F37" s="2866"/>
      <c r="G37" s="2860"/>
      <c r="H37" s="2860"/>
      <c r="I37" s="2860"/>
      <c r="J37" s="2634"/>
      <c r="K37" s="2811"/>
      <c r="L37" s="2808"/>
      <c r="M37" s="2808"/>
      <c r="N37" s="2634"/>
      <c r="O37" s="2645"/>
      <c r="P37" s="2634"/>
      <c r="Q37" s="2634"/>
      <c r="R37" s="2634"/>
      <c r="S37" s="2634"/>
      <c r="T37" s="2634"/>
      <c r="U37" s="2634"/>
      <c r="V37" s="2634"/>
    </row>
    <row r="38" spans="1:30" ht="15.75" thickBot="1">
      <c r="A38" s="2827" t="s">
        <v>2916</v>
      </c>
      <c r="B38" s="3212" t="s">
        <v>3134</v>
      </c>
      <c r="C38" s="2627"/>
      <c r="D38" s="2627"/>
      <c r="E38" s="2627"/>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2917</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2918</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5">
      <c r="A42" s="329" t="s">
        <v>2919</v>
      </c>
      <c r="B42" s="11" t="s">
        <v>2920</v>
      </c>
      <c r="C42" s="11" t="s">
        <v>2921</v>
      </c>
      <c r="D42" s="11" t="s">
        <v>2922</v>
      </c>
      <c r="E42" s="11" t="s">
        <v>2923</v>
      </c>
      <c r="F42" s="11" t="s">
        <v>2924</v>
      </c>
      <c r="G42" s="11" t="s">
        <v>2925</v>
      </c>
      <c r="H42" s="11" t="s">
        <v>2926</v>
      </c>
      <c r="I42" s="11" t="s">
        <v>2927</v>
      </c>
      <c r="J42" s="2822" t="s">
        <v>2928</v>
      </c>
      <c r="K42" s="2823" t="s">
        <v>2929</v>
      </c>
      <c r="L42" s="2823" t="s">
        <v>2930</v>
      </c>
      <c r="M42" s="2823" t="s">
        <v>2931</v>
      </c>
      <c r="N42" s="2816" t="s">
        <v>2932</v>
      </c>
      <c r="O42" s="2816" t="s">
        <v>2933</v>
      </c>
      <c r="P42" s="2816" t="s">
        <v>2934</v>
      </c>
      <c r="Q42" s="2817" t="s">
        <v>2935</v>
      </c>
      <c r="R42" s="2817" t="s">
        <v>2936</v>
      </c>
      <c r="S42" s="2634"/>
      <c r="T42" s="2634"/>
      <c r="U42" s="2634"/>
      <c r="V42" s="2634"/>
    </row>
    <row r="43" spans="1:30" s="1898" customFormat="1">
      <c r="A43" s="1724"/>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4"/>
      <c r="B44" s="1724"/>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4"/>
      <c r="B45" s="1724"/>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4"/>
      <c r="B46" s="1724"/>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4"/>
      <c r="B47" s="1724"/>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4"/>
      <c r="B48" s="1724"/>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4"/>
      <c r="B49" s="1724"/>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4"/>
      <c r="B50" s="1724"/>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4"/>
      <c r="B51" s="1724"/>
      <c r="C51" s="1182"/>
      <c r="D51" s="1182"/>
      <c r="E51" s="1182"/>
      <c r="F51" s="1182"/>
      <c r="G51" s="1182"/>
      <c r="H51" s="1182"/>
      <c r="I51" s="1182"/>
      <c r="J51" s="2632"/>
      <c r="K51" s="2633"/>
      <c r="L51" s="2633"/>
      <c r="M51" s="1182"/>
      <c r="N51" s="1182"/>
      <c r="O51" s="1182"/>
      <c r="P51" s="1182"/>
      <c r="Q51" s="1182"/>
      <c r="R51" s="1182"/>
    </row>
    <row r="52" spans="1:22" s="1898" customFormat="1">
      <c r="A52" s="1724"/>
      <c r="B52" s="1724"/>
      <c r="C52" s="1724"/>
      <c r="D52" s="1724"/>
      <c r="E52" s="1724"/>
      <c r="F52" s="1182"/>
      <c r="G52" s="1724"/>
      <c r="H52" s="1724"/>
      <c r="I52" s="1724"/>
      <c r="J52" s="2635"/>
      <c r="K52" s="2633"/>
      <c r="L52" s="2633"/>
      <c r="M52" s="2633"/>
      <c r="N52" s="1724"/>
      <c r="O52" s="1724"/>
      <c r="P52" s="1724"/>
      <c r="Q52" s="1724"/>
      <c r="R52" s="1724"/>
    </row>
    <row r="53" spans="1:22" s="1898" customFormat="1">
      <c r="A53" s="1724"/>
      <c r="B53" s="1724"/>
      <c r="C53" s="1724"/>
      <c r="D53" s="1724"/>
      <c r="E53" s="1724"/>
      <c r="F53" s="1182"/>
      <c r="G53" s="1724"/>
      <c r="H53" s="1724"/>
      <c r="I53" s="1724"/>
      <c r="J53" s="2635"/>
      <c r="K53" s="2633"/>
      <c r="L53" s="2633"/>
      <c r="M53" s="2633"/>
      <c r="N53" s="1724"/>
      <c r="O53" s="1724"/>
      <c r="P53" s="1724"/>
      <c r="Q53" s="1724"/>
      <c r="R53" s="1724"/>
    </row>
    <row r="54" spans="1:22" s="1898" customFormat="1">
      <c r="A54" s="1724"/>
      <c r="B54" s="1724"/>
      <c r="C54" s="1724"/>
      <c r="D54" s="1724"/>
      <c r="E54" s="1724"/>
      <c r="F54" s="1182"/>
      <c r="G54" s="1724"/>
      <c r="H54" s="1724"/>
      <c r="I54" s="1724"/>
      <c r="J54" s="2635"/>
      <c r="K54" s="2633"/>
      <c r="L54" s="2633"/>
      <c r="M54" s="2633"/>
      <c r="N54" s="1724"/>
      <c r="O54" s="1724"/>
      <c r="P54" s="1724"/>
      <c r="Q54" s="1724"/>
      <c r="R54" s="1724"/>
    </row>
    <row r="55" spans="1:22" s="1898" customFormat="1">
      <c r="A55" s="1724"/>
      <c r="B55" s="1724"/>
      <c r="C55" s="1724"/>
      <c r="D55" s="1724"/>
      <c r="E55" s="1724"/>
      <c r="F55" s="1182"/>
      <c r="G55" s="1724"/>
      <c r="H55" s="1724"/>
      <c r="I55" s="1724"/>
      <c r="J55" s="2635"/>
      <c r="K55" s="2633"/>
      <c r="L55" s="2633"/>
      <c r="M55" s="2633"/>
      <c r="N55" s="1724"/>
      <c r="O55" s="1724"/>
      <c r="P55" s="1724"/>
      <c r="Q55" s="1724"/>
      <c r="R55" s="1724"/>
    </row>
    <row r="56" spans="1:22" s="1898" customFormat="1">
      <c r="A56" s="1724"/>
      <c r="B56" s="1724"/>
      <c r="C56" s="1724"/>
      <c r="D56" s="1724"/>
      <c r="E56" s="1724"/>
      <c r="F56" s="1182"/>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N15" sqref="N15"/>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25666.1</v>
      </c>
      <c r="B3" s="14">
        <f>IF(C3="否",G5-AT5,G5)</f>
        <v>101504.34000000003</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140135.38000000003</v>
      </c>
      <c r="H5" s="16">
        <f t="shared" ref="H5:AT5" si="0">SUM(H13:H656)</f>
        <v>100560.83</v>
      </c>
      <c r="I5" s="16">
        <f t="shared" si="0"/>
        <v>60856.65</v>
      </c>
      <c r="J5" s="16">
        <f t="shared" si="0"/>
        <v>0</v>
      </c>
      <c r="K5" s="16">
        <f t="shared" si="0"/>
        <v>17703.810000000001</v>
      </c>
      <c r="L5" s="16">
        <f t="shared" si="0"/>
        <v>0</v>
      </c>
      <c r="M5" s="16">
        <f t="shared" si="0"/>
        <v>22000.37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943.51</v>
      </c>
      <c r="AD5" s="16">
        <f t="shared" si="0"/>
        <v>0</v>
      </c>
      <c r="AE5" s="16">
        <f t="shared" si="0"/>
        <v>0</v>
      </c>
      <c r="AF5" s="16">
        <f t="shared" si="0"/>
        <v>0</v>
      </c>
      <c r="AG5" s="16">
        <f t="shared" si="0"/>
        <v>0</v>
      </c>
      <c r="AH5" s="16">
        <f t="shared" si="0"/>
        <v>0</v>
      </c>
      <c r="AI5" s="16">
        <f t="shared" si="0"/>
        <v>0</v>
      </c>
      <c r="AJ5" s="16">
        <f t="shared" si="0"/>
        <v>0</v>
      </c>
      <c r="AK5" s="16">
        <f t="shared" si="0"/>
        <v>0</v>
      </c>
      <c r="AL5" s="16">
        <f t="shared" si="0"/>
        <v>443.51</v>
      </c>
      <c r="AM5" s="16">
        <f t="shared" si="0"/>
        <v>0</v>
      </c>
      <c r="AN5" s="16">
        <f t="shared" si="0"/>
        <v>500</v>
      </c>
      <c r="AO5" s="16">
        <f t="shared" si="0"/>
        <v>0</v>
      </c>
      <c r="AP5" s="16">
        <f t="shared" si="0"/>
        <v>0</v>
      </c>
      <c r="AQ5" s="16">
        <f t="shared" si="0"/>
        <v>0</v>
      </c>
      <c r="AR5" s="16">
        <f t="shared" si="0"/>
        <v>0</v>
      </c>
      <c r="AS5" s="16">
        <f t="shared" si="0"/>
        <v>0</v>
      </c>
      <c r="AT5" s="16">
        <f t="shared" si="0"/>
        <v>38631.040000000008</v>
      </c>
      <c r="AU5" s="1499"/>
      <c r="AV5" s="15" t="s">
        <v>1697</v>
      </c>
      <c r="AW5" s="1500"/>
      <c r="AX5" s="1500"/>
      <c r="AY5" s="17" t="s">
        <v>3</v>
      </c>
      <c r="AZ5" s="18">
        <f t="shared" ref="AZ5:BT5" si="1">SUM(AZ13:AZ656)</f>
        <v>101504.34</v>
      </c>
      <c r="BA5" s="18">
        <f t="shared" si="1"/>
        <v>100560.83</v>
      </c>
      <c r="BB5" s="18">
        <f t="shared" si="1"/>
        <v>60856.65</v>
      </c>
      <c r="BC5" s="18">
        <f t="shared" si="1"/>
        <v>17703.810000000001</v>
      </c>
      <c r="BD5" s="18">
        <f t="shared" si="1"/>
        <v>22000.37</v>
      </c>
      <c r="BE5" s="18">
        <f t="shared" si="1"/>
        <v>0</v>
      </c>
      <c r="BF5" s="18">
        <f t="shared" si="1"/>
        <v>0</v>
      </c>
      <c r="BG5" s="18">
        <f t="shared" si="1"/>
        <v>0</v>
      </c>
      <c r="BH5" s="18">
        <f t="shared" si="1"/>
        <v>0</v>
      </c>
      <c r="BI5" s="18">
        <f t="shared" si="1"/>
        <v>0</v>
      </c>
      <c r="BJ5" s="18">
        <f t="shared" si="1"/>
        <v>0</v>
      </c>
      <c r="BK5" s="18">
        <f t="shared" si="1"/>
        <v>0</v>
      </c>
      <c r="BL5" s="18">
        <f t="shared" si="1"/>
        <v>943.51</v>
      </c>
      <c r="BM5" s="18">
        <f t="shared" si="1"/>
        <v>0</v>
      </c>
      <c r="BN5" s="18">
        <f t="shared" si="1"/>
        <v>0</v>
      </c>
      <c r="BO5" s="18">
        <f t="shared" si="1"/>
        <v>0</v>
      </c>
      <c r="BP5" s="18">
        <f t="shared" si="1"/>
        <v>0</v>
      </c>
      <c r="BQ5" s="18">
        <f t="shared" si="1"/>
        <v>443.51</v>
      </c>
      <c r="BR5" s="18">
        <f t="shared" si="1"/>
        <v>500</v>
      </c>
      <c r="BS5" s="18">
        <f t="shared" si="1"/>
        <v>0</v>
      </c>
      <c r="BT5" s="19">
        <f t="shared" si="1"/>
        <v>0</v>
      </c>
    </row>
    <row r="6" spans="1:72" s="1743" customFormat="1" ht="12.75">
      <c r="A6" s="15" t="s">
        <v>1698</v>
      </c>
      <c r="B6" s="1740"/>
      <c r="C6" s="1740"/>
      <c r="D6" s="1741"/>
      <c r="E6" s="16">
        <f>H6+AC6+AT6</f>
        <v>25666.100000000002</v>
      </c>
      <c r="F6" s="16" t="s">
        <v>1</v>
      </c>
      <c r="G6" s="16" t="s">
        <v>2</v>
      </c>
      <c r="H6" s="20">
        <f>SUMIF(I$12:AB$12,"总值",I6:AB6)</f>
        <v>25427.530000000002</v>
      </c>
      <c r="I6" s="16">
        <f t="shared" ref="I6:AB6" si="2">ROUND($A$3*I5/$B$3,2)</f>
        <v>15388.04</v>
      </c>
      <c r="J6" s="16">
        <f t="shared" si="2"/>
        <v>0</v>
      </c>
      <c r="K6" s="16">
        <f t="shared" si="2"/>
        <v>4476.54</v>
      </c>
      <c r="L6" s="16">
        <f t="shared" si="2"/>
        <v>0</v>
      </c>
      <c r="M6" s="16">
        <f t="shared" si="2"/>
        <v>5562.95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238.57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112.14</v>
      </c>
      <c r="AM6" s="16">
        <f t="shared" si="3"/>
        <v>0</v>
      </c>
      <c r="AN6" s="16">
        <f t="shared" si="3"/>
        <v>126.43</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25666.1</v>
      </c>
      <c r="AZ6" s="16" t="s">
        <v>3</v>
      </c>
      <c r="BA6" s="16">
        <f>ROUND($AY$6*BA5/$AZ$5,2)</f>
        <v>25427.53</v>
      </c>
      <c r="BB6" s="16">
        <f>ROUND($AY$6*BB5/$AZ$5,2)</f>
        <v>15388.04</v>
      </c>
      <c r="BC6" s="16">
        <f t="shared" ref="BC6:BH6" si="4">ROUND($AY$6*BC5/$AZ$5,2)</f>
        <v>4476.54</v>
      </c>
      <c r="BD6" s="16">
        <f t="shared" si="4"/>
        <v>5562.95</v>
      </c>
      <c r="BE6" s="16">
        <f t="shared" si="4"/>
        <v>0</v>
      </c>
      <c r="BF6" s="16">
        <f t="shared" si="4"/>
        <v>0</v>
      </c>
      <c r="BG6" s="16">
        <f t="shared" si="4"/>
        <v>0</v>
      </c>
      <c r="BH6" s="16">
        <f t="shared" si="4"/>
        <v>0</v>
      </c>
      <c r="BI6" s="16">
        <f t="shared" ref="BI6:BT6" si="5">ROUND($AY$6*BI5/$AZ$5,2)</f>
        <v>0</v>
      </c>
      <c r="BJ6" s="16">
        <f t="shared" si="5"/>
        <v>0</v>
      </c>
      <c r="BK6" s="16">
        <f t="shared" si="5"/>
        <v>0</v>
      </c>
      <c r="BL6" s="16">
        <f t="shared" si="5"/>
        <v>238.57</v>
      </c>
      <c r="BM6" s="16">
        <f t="shared" si="5"/>
        <v>0</v>
      </c>
      <c r="BN6" s="16">
        <f t="shared" si="5"/>
        <v>0</v>
      </c>
      <c r="BO6" s="16">
        <f t="shared" si="5"/>
        <v>0</v>
      </c>
      <c r="BP6" s="16">
        <f t="shared" si="5"/>
        <v>0</v>
      </c>
      <c r="BQ6" s="16">
        <f t="shared" si="5"/>
        <v>112.14</v>
      </c>
      <c r="BR6" s="16">
        <f t="shared" si="5"/>
        <v>126.43</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3135</v>
      </c>
      <c r="J9" s="918"/>
      <c r="K9" s="1757" t="s">
        <v>3136</v>
      </c>
      <c r="L9" s="918"/>
      <c r="M9" s="1757" t="s">
        <v>3136</v>
      </c>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1283</v>
      </c>
      <c r="J10" s="918"/>
      <c r="K10" s="1763" t="s">
        <v>1283</v>
      </c>
      <c r="L10" s="918"/>
      <c r="M10" s="1763" t="s">
        <v>3137</v>
      </c>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t="str">
        <f>K9</f>
        <v>地下</v>
      </c>
      <c r="BD10" s="29" t="str">
        <f>M9</f>
        <v>地下</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商业</v>
      </c>
      <c r="BC11" s="1753" t="str">
        <f>K10</f>
        <v>商业</v>
      </c>
      <c r="BD11" s="1753" t="str">
        <f>M10</f>
        <v>车库—商业</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3213" t="s">
        <v>3138</v>
      </c>
      <c r="D13" s="1779" t="s">
        <v>3142</v>
      </c>
      <c r="E13" s="16">
        <f>IF($C$3="是",ROUND($A$3*G13/$B$3,2),ROUND($A$3*(G13-AT13)/$B$3,2))</f>
        <v>19864.580000000002</v>
      </c>
      <c r="F13" s="32"/>
      <c r="G13" s="33">
        <f>H13+AC13+AT13</f>
        <v>117191.50000000001</v>
      </c>
      <c r="H13" s="20">
        <f>SUMIF(I$12:AB$12,"总值",I13:AB13)</f>
        <v>78560.460000000006</v>
      </c>
      <c r="I13" s="1780">
        <v>60856.65</v>
      </c>
      <c r="J13" s="1780"/>
      <c r="K13" s="1780">
        <f>18416.57-212.76-500</f>
        <v>17703.810000000001</v>
      </c>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f>18932.9+18944.95+210.19+212.76+330.24</f>
        <v>38631.040000000008</v>
      </c>
      <c r="AU13" s="1783"/>
      <c r="AV13" s="11">
        <f t="shared" ref="AV13:AX17" si="6">A13</f>
        <v>0</v>
      </c>
      <c r="AW13" s="11">
        <f t="shared" si="6"/>
        <v>0</v>
      </c>
      <c r="AX13" s="11" t="str">
        <f t="shared" si="6"/>
        <v>商业</v>
      </c>
      <c r="AY13" s="1502">
        <f>ROUND($AY$6*AZ13/$AZ$5,2)</f>
        <v>19864.580000000002</v>
      </c>
      <c r="AZ13" s="16">
        <f>BA13+BL13</f>
        <v>78560.460000000006</v>
      </c>
      <c r="BA13" s="16">
        <f>SUM(BB13:BK13)</f>
        <v>78560.460000000006</v>
      </c>
      <c r="BB13" s="16">
        <f>IF($D13="是",I13-J13,0)</f>
        <v>60856.65</v>
      </c>
      <c r="BC13" s="16">
        <f>IF($D13="是",K13-L13,0)</f>
        <v>17703.810000000001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2"/>
      <c r="B14" s="1182"/>
      <c r="C14" s="3214" t="s">
        <v>3139</v>
      </c>
      <c r="D14" s="1779" t="s">
        <v>3142</v>
      </c>
      <c r="E14" s="16">
        <f>IF($C$3="是",ROUND($A$3*G14/$B$3,2),ROUND($A$3*(G14-AT14)/$B$3,2))</f>
        <v>5562.95</v>
      </c>
      <c r="F14" s="32"/>
      <c r="G14" s="33">
        <f>H14+AC14+AT14</f>
        <v>22000.37</v>
      </c>
      <c r="H14" s="20">
        <f>SUMIF(I$12:AB$12,"总值",I14:AB14)</f>
        <v>22000.37</v>
      </c>
      <c r="I14" s="1780"/>
      <c r="J14" s="1780"/>
      <c r="K14" s="1780"/>
      <c r="L14" s="1780"/>
      <c r="M14" s="1780">
        <v>22000.37</v>
      </c>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t="str">
        <f t="shared" si="6"/>
        <v>车库</v>
      </c>
      <c r="AY14" s="1502">
        <f>ROUND($AY$6*AZ14/$AZ$5,2)</f>
        <v>5562.95</v>
      </c>
      <c r="AZ14" s="16">
        <f>BA14+BL14</f>
        <v>22000.37</v>
      </c>
      <c r="BA14" s="16">
        <f>SUM(BB14:BK14)</f>
        <v>22000.37</v>
      </c>
      <c r="BB14" s="16">
        <f>IF($D14="是",I14-J14,0)</f>
        <v>0</v>
      </c>
      <c r="BC14" s="16">
        <f>IF($D14="是",K14-L14,0)</f>
        <v>0</v>
      </c>
      <c r="BD14" s="16">
        <f>IF($D14="是",M14-N14,0)</f>
        <v>22000.37</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25.5">
      <c r="A15" s="1182"/>
      <c r="B15" s="1182"/>
      <c r="C15" s="1724" t="s">
        <v>3140</v>
      </c>
      <c r="D15" s="1779" t="s">
        <v>3142</v>
      </c>
      <c r="E15" s="16">
        <f>IF($C$3="是",ROUND($A$3*G15/$B$3,2),ROUND($A$3*(G15-AT15)/$B$3,2))</f>
        <v>126.43</v>
      </c>
      <c r="F15" s="32"/>
      <c r="G15" s="33">
        <f>H15+AC15+AT15</f>
        <v>500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500</v>
      </c>
      <c r="AD15" s="1781"/>
      <c r="AE15" s="1781"/>
      <c r="AF15" s="1781"/>
      <c r="AG15" s="1781"/>
      <c r="AH15" s="1781"/>
      <c r="AI15" s="1781"/>
      <c r="AJ15" s="1781"/>
      <c r="AK15" s="1781"/>
      <c r="AL15" s="1781"/>
      <c r="AM15" s="1781"/>
      <c r="AN15" s="1781">
        <v>500</v>
      </c>
      <c r="AO15" s="1781"/>
      <c r="AP15" s="1781"/>
      <c r="AQ15" s="1781"/>
      <c r="AR15" s="1781"/>
      <c r="AS15" s="1781"/>
      <c r="AT15" s="1782"/>
      <c r="AU15" s="1783"/>
      <c r="AV15" s="11">
        <f t="shared" si="6"/>
        <v>0</v>
      </c>
      <c r="AW15" s="11">
        <f t="shared" si="6"/>
        <v>0</v>
      </c>
      <c r="AX15" s="11" t="str">
        <f t="shared" si="6"/>
        <v>地下1层自行车库</v>
      </c>
      <c r="AY15" s="1502">
        <f>ROUND($AY$6*AZ15/$AZ$5,2)</f>
        <v>126.43</v>
      </c>
      <c r="AZ15" s="16">
        <f>BA15+BL15</f>
        <v>500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500</v>
      </c>
      <c r="BM15" s="16">
        <f>IF($D15="是",AD15-AE15,0)</f>
        <v>0</v>
      </c>
      <c r="BN15" s="16">
        <f>IF($D15="是",AF15-AG15,0)</f>
        <v>0</v>
      </c>
      <c r="BO15" s="16">
        <f>IF($D15="是",AH15-AI15,0)</f>
        <v>0</v>
      </c>
      <c r="BP15" s="16">
        <f>IF($D15="是",AJ15-AK15,0)</f>
        <v>0</v>
      </c>
      <c r="BQ15" s="16">
        <f>IF($D15="是",AL15-AM15,0)</f>
        <v>0</v>
      </c>
      <c r="BR15" s="16">
        <f>IF($D15="是",AN15-AO15,0)</f>
        <v>500</v>
      </c>
      <c r="BS15" s="16">
        <f>IF($D15="是",AP15-AQ15,0)</f>
        <v>0</v>
      </c>
      <c r="BT15" s="22">
        <f>IF($D15="是",AR15-AS15,0)</f>
        <v>0</v>
      </c>
    </row>
    <row r="16" spans="1:72" s="1733" customFormat="1" ht="12.75">
      <c r="A16" s="1182"/>
      <c r="B16" s="1182"/>
      <c r="C16" s="3214" t="s">
        <v>3141</v>
      </c>
      <c r="D16" s="1779" t="s">
        <v>3142</v>
      </c>
      <c r="E16" s="16">
        <f>IF($C$3="是",ROUND($A$3*G16/$B$3,2),ROUND($A$3*(G16-AT16)/$B$3,2))</f>
        <v>112.14</v>
      </c>
      <c r="F16" s="32"/>
      <c r="G16" s="33">
        <f>H16+AC16+AT16</f>
        <v>443.51</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443.51</v>
      </c>
      <c r="AD16" s="1781"/>
      <c r="AE16" s="1781"/>
      <c r="AF16" s="1781"/>
      <c r="AG16" s="1781"/>
      <c r="AH16" s="1781"/>
      <c r="AI16" s="1781"/>
      <c r="AJ16" s="1781"/>
      <c r="AK16" s="1781"/>
      <c r="AL16" s="1781">
        <v>443.51</v>
      </c>
      <c r="AM16" s="1781"/>
      <c r="AN16" s="1781"/>
      <c r="AO16" s="1781"/>
      <c r="AP16" s="1781"/>
      <c r="AQ16" s="1781"/>
      <c r="AR16" s="1781"/>
      <c r="AS16" s="1781"/>
      <c r="AT16" s="1782"/>
      <c r="AU16" s="1783"/>
      <c r="AV16" s="11">
        <f t="shared" si="6"/>
        <v>0</v>
      </c>
      <c r="AW16" s="11">
        <f t="shared" si="6"/>
        <v>0</v>
      </c>
      <c r="AX16" s="11" t="str">
        <f t="shared" si="6"/>
        <v>附属用房</v>
      </c>
      <c r="AY16" s="1502">
        <f>ROUND($AY$6*AZ16/$AZ$5,2)</f>
        <v>112.14</v>
      </c>
      <c r="AZ16" s="16">
        <f>BA16+BL16</f>
        <v>443.51</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443.51</v>
      </c>
      <c r="BM16" s="16">
        <f>IF($D16="是",AD16-AE16,0)</f>
        <v>0</v>
      </c>
      <c r="BN16" s="16">
        <f>IF($D16="是",AF16-AG16,0)</f>
        <v>0</v>
      </c>
      <c r="BO16" s="16">
        <f>IF($D16="是",AH16-AI16,0)</f>
        <v>0</v>
      </c>
      <c r="BP16" s="16">
        <f>IF($D16="是",AJ16-AK16,0)</f>
        <v>0</v>
      </c>
      <c r="BQ16" s="16">
        <f>IF($D16="是",AL16-AM16,0)</f>
        <v>443.51</v>
      </c>
      <c r="BR16" s="16">
        <f>IF($D16="是",AN16-AO16,0)</f>
        <v>0</v>
      </c>
      <c r="BS16" s="16">
        <f>IF($D16="是",AP16-AQ16,0)</f>
        <v>0</v>
      </c>
      <c r="BT16" s="22">
        <f>IF($D16="是",AR16-AS16,0)</f>
        <v>0</v>
      </c>
    </row>
    <row r="17" spans="1:72" s="1733" customFormat="1" ht="12.75">
      <c r="A17" s="1182"/>
      <c r="B17" s="1182"/>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09" t="s">
        <v>0</v>
      </c>
      <c r="B1" s="3409" t="s">
        <v>4</v>
      </c>
      <c r="C1" s="3409" t="s">
        <v>5</v>
      </c>
      <c r="D1" s="3410" t="s">
        <v>53</v>
      </c>
      <c r="E1" s="3410" t="s">
        <v>54</v>
      </c>
      <c r="F1" s="3410"/>
      <c r="G1" s="3410"/>
      <c r="H1" s="3410"/>
      <c r="I1" s="3410"/>
      <c r="J1" s="3410"/>
      <c r="K1" s="3410"/>
      <c r="L1" s="3410"/>
      <c r="M1" s="3410"/>
    </row>
    <row r="2" spans="1:13" ht="27" customHeight="1">
      <c r="A2" s="3409"/>
      <c r="B2" s="3409"/>
      <c r="C2" s="3409"/>
      <c r="D2" s="3410"/>
      <c r="E2" s="3410" t="s">
        <v>37</v>
      </c>
      <c r="F2" s="3410" t="s">
        <v>38</v>
      </c>
      <c r="G2" s="3410"/>
      <c r="H2" s="3410"/>
      <c r="I2" s="3410"/>
      <c r="J2" s="3410" t="s">
        <v>39</v>
      </c>
      <c r="K2" s="3410"/>
      <c r="L2" s="3410"/>
      <c r="M2" s="3410"/>
    </row>
    <row r="3" spans="1:13" ht="28.5">
      <c r="A3" s="3409"/>
      <c r="B3" s="3409"/>
      <c r="C3" s="3409"/>
      <c r="D3" s="3410"/>
      <c r="E3" s="34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0" t="s">
        <v>55</v>
      </c>
      <c r="B9" s="3410"/>
      <c r="C9" s="34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0" sqref="G20"/>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5"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3"/>
      <c r="C1" s="1273"/>
      <c r="D1" s="1273"/>
      <c r="E1" s="1273"/>
      <c r="F1" s="1273"/>
      <c r="G1" s="1273"/>
      <c r="H1" s="1273"/>
      <c r="I1" s="1273"/>
      <c r="J1" s="1273"/>
      <c r="K1" s="1273"/>
      <c r="L1" s="1273"/>
      <c r="M1" s="1273"/>
      <c r="N1" s="1273"/>
      <c r="O1" s="1273"/>
      <c r="P1" s="1273"/>
    </row>
    <row r="2" spans="1:16" ht="15">
      <c r="A2" s="3420" t="s">
        <v>1757</v>
      </c>
      <c r="B2" s="3420"/>
      <c r="C2" s="3420"/>
      <c r="D2" s="904" t="s">
        <v>1733</v>
      </c>
      <c r="E2" s="1793" t="s">
        <v>1734</v>
      </c>
      <c r="F2" s="2855"/>
      <c r="G2" s="2846"/>
      <c r="H2" s="2847"/>
      <c r="I2" s="2517" t="s">
        <v>1758</v>
      </c>
      <c r="J2" s="2855"/>
      <c r="K2" s="2855"/>
      <c r="L2" s="2855"/>
      <c r="M2" s="2855"/>
      <c r="N2" s="2857"/>
      <c r="O2" s="2855"/>
      <c r="P2" s="2855"/>
    </row>
    <row r="3" spans="1:16" ht="15.75" thickBot="1">
      <c r="A3" s="3421" t="s">
        <v>1731</v>
      </c>
      <c r="B3" s="3421"/>
      <c r="C3" s="3421"/>
      <c r="D3" s="46">
        <f>'数据-基础表'!AY6</f>
        <v>25666.1</v>
      </c>
      <c r="E3" s="46">
        <f>'数据-基础表'!AZ5</f>
        <v>101504.34</v>
      </c>
      <c r="F3" s="2855"/>
      <c r="G3" s="1279"/>
      <c r="H3" s="1157" t="s">
        <v>1732</v>
      </c>
      <c r="I3" s="964">
        <f>ROUND('数据-基础表'!B3/'数据-基础表'!A3,2)</f>
        <v>3.95</v>
      </c>
      <c r="J3" s="2855"/>
      <c r="K3" s="2855"/>
      <c r="L3" s="2855"/>
      <c r="M3" s="2855"/>
      <c r="N3" s="2857"/>
      <c r="O3" s="2855"/>
      <c r="P3" s="2855"/>
    </row>
    <row r="4" spans="1:16" ht="15">
      <c r="A4" s="3422"/>
      <c r="B4" s="3423"/>
      <c r="C4" s="3424"/>
      <c r="D4" s="1795" t="s">
        <v>1733</v>
      </c>
      <c r="E4" s="1796" t="s">
        <v>1734</v>
      </c>
      <c r="F4" s="2855"/>
      <c r="G4" s="2848" t="s">
        <v>1759</v>
      </c>
      <c r="H4" s="1157" t="s">
        <v>1739</v>
      </c>
      <c r="I4" s="964">
        <f>ROUND(SUMIF('数据-基础表'!I9:AS9,"地上",'数据-基础表'!I5:AS5)/'数据-基础表'!A3,2)</f>
        <v>2.39</v>
      </c>
      <c r="J4" s="2855"/>
      <c r="K4" s="2855"/>
      <c r="L4" s="2855"/>
      <c r="M4" s="2855"/>
      <c r="N4" s="2857"/>
      <c r="O4" s="2855"/>
      <c r="P4" s="2855"/>
    </row>
    <row r="5" spans="1:16">
      <c r="A5" s="47" t="s">
        <v>1735</v>
      </c>
      <c r="B5" s="3425" t="s">
        <v>1736</v>
      </c>
      <c r="C5" s="3425"/>
      <c r="D5" s="48">
        <f>ROUND($D$3*E5/$E$3,2)</f>
        <v>0</v>
      </c>
      <c r="E5" s="49">
        <f>SUMIF('数据-基础表'!$11:$11,"住宅",'数据-基础表'!$5:$5)</f>
        <v>0</v>
      </c>
      <c r="F5" s="2855"/>
      <c r="G5" s="1279"/>
      <c r="H5" s="1157" t="s">
        <v>1732</v>
      </c>
      <c r="I5" s="964">
        <f>ROUND(E31/D31,2)</f>
        <v>3.95</v>
      </c>
      <c r="J5" s="2855"/>
      <c r="K5" s="2855"/>
      <c r="L5" s="2855"/>
      <c r="M5" s="2855"/>
      <c r="N5" s="2855"/>
      <c r="O5" s="2855"/>
      <c r="P5" s="2855"/>
    </row>
    <row r="6" spans="1:16" ht="15" thickBot="1">
      <c r="A6" s="1798"/>
      <c r="B6" s="3425" t="s">
        <v>1737</v>
      </c>
      <c r="C6" s="3425"/>
      <c r="D6" s="48">
        <f>ROUND($D$3*E6/$E$3,2)</f>
        <v>25666.1</v>
      </c>
      <c r="E6" s="49">
        <f>E3-E5</f>
        <v>101504.34</v>
      </c>
      <c r="F6" s="2855"/>
      <c r="G6" s="2849" t="s">
        <v>1738</v>
      </c>
      <c r="H6" s="1280" t="s">
        <v>1739</v>
      </c>
      <c r="I6" s="2850">
        <f>ROUND(F31/D31,2)</f>
        <v>2.39</v>
      </c>
      <c r="J6" s="2855"/>
      <c r="K6" s="2855"/>
      <c r="L6" s="2855"/>
      <c r="M6" s="2855"/>
      <c r="N6" s="2855"/>
      <c r="O6" s="2855"/>
      <c r="P6" s="2855"/>
    </row>
    <row r="7" spans="1:16" ht="15.75" thickBot="1">
      <c r="A7" s="3417"/>
      <c r="B7" s="3418"/>
      <c r="C7" s="3419"/>
      <c r="D7" s="1795" t="s">
        <v>1733</v>
      </c>
      <c r="E7" s="1799" t="s">
        <v>1740</v>
      </c>
      <c r="F7" s="2855"/>
      <c r="G7" s="2851" t="s">
        <v>1741</v>
      </c>
      <c r="H7" s="2852"/>
      <c r="I7" s="2853"/>
      <c r="J7" s="2855"/>
      <c r="K7" s="2855"/>
      <c r="L7" s="2855"/>
      <c r="M7" s="2855"/>
      <c r="N7" s="2855"/>
      <c r="O7" s="2855"/>
      <c r="P7" s="2855"/>
    </row>
    <row r="8" spans="1:16">
      <c r="A8" s="47" t="s">
        <v>1742</v>
      </c>
      <c r="B8" s="50" t="s">
        <v>1743</v>
      </c>
      <c r="C8" s="48" t="s">
        <v>1744</v>
      </c>
      <c r="D8" s="48">
        <f t="shared" ref="D8:D15" si="0">ROUND($D$3*E8/$E$3,2)</f>
        <v>15388.04</v>
      </c>
      <c r="E8" s="51">
        <f>SUMIF('数据-基础表'!BB10:BK10,"地上",'数据-基础表'!BB5:BK5)</f>
        <v>60856.65</v>
      </c>
      <c r="F8" s="2855"/>
      <c r="G8" s="2856"/>
      <c r="H8" s="2856"/>
      <c r="I8" s="2855"/>
      <c r="J8" s="2855"/>
      <c r="K8" s="2855"/>
      <c r="L8" s="2855"/>
      <c r="M8" s="2855"/>
      <c r="N8" s="2855"/>
      <c r="O8" s="2855"/>
      <c r="P8" s="2855"/>
    </row>
    <row r="9" spans="1:16">
      <c r="A9" s="1800"/>
      <c r="B9" s="1801"/>
      <c r="C9" s="48" t="s">
        <v>1745</v>
      </c>
      <c r="D9" s="48">
        <f t="shared" si="0"/>
        <v>0</v>
      </c>
      <c r="E9" s="52">
        <v>0</v>
      </c>
      <c r="F9" s="2855"/>
      <c r="G9" s="2856"/>
      <c r="H9" s="2856"/>
      <c r="I9" s="2855"/>
      <c r="J9" s="2855"/>
      <c r="K9" s="2855"/>
      <c r="L9" s="2855"/>
      <c r="M9" s="2855"/>
      <c r="N9" s="2855"/>
      <c r="O9" s="2855"/>
      <c r="P9" s="2855"/>
    </row>
    <row r="10" spans="1:16">
      <c r="A10" s="1800"/>
      <c r="B10" s="1801"/>
      <c r="C10" s="48" t="s">
        <v>1754</v>
      </c>
      <c r="D10" s="48">
        <f t="shared" si="0"/>
        <v>4476.54</v>
      </c>
      <c r="E10" s="51">
        <f>SUMPRODUCT(('数据-基础表'!BB10:BK10="地下")*('数据-基础表'!BB11:BK11="商业")*('数据-基础表'!BB5:BK5))</f>
        <v>17703.810000000001</v>
      </c>
      <c r="F10" s="2855"/>
      <c r="G10" s="2856"/>
      <c r="H10" s="2856"/>
      <c r="I10" s="2855"/>
      <c r="J10" s="2855"/>
      <c r="K10" s="2855"/>
      <c r="L10" s="2855"/>
      <c r="M10" s="2855"/>
      <c r="N10" s="2855"/>
      <c r="O10" s="2855"/>
      <c r="P10" s="2855"/>
    </row>
    <row r="11" spans="1:16">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0"/>
      <c r="B12" s="1801"/>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0"/>
      <c r="B13" s="1801"/>
      <c r="C13" s="48" t="s">
        <v>1748</v>
      </c>
      <c r="D13" s="48">
        <f t="shared" si="0"/>
        <v>0</v>
      </c>
      <c r="E13" s="51">
        <f>SUMPRODUCT(('数据-基础表'!BB10:BK10="地下")*('数据-基础表'!BB11:BK11="车库")*('数据-基础表'!BB5:BK5))</f>
        <v>0</v>
      </c>
      <c r="F13" s="2855"/>
      <c r="G13" s="2856"/>
      <c r="H13" s="2856"/>
      <c r="I13" s="2855"/>
      <c r="J13" s="2855"/>
      <c r="K13" s="2855"/>
      <c r="L13" s="2855"/>
      <c r="M13" s="2855"/>
      <c r="N13" s="2855"/>
      <c r="O13" s="2855"/>
      <c r="P13" s="2855"/>
    </row>
    <row r="14" spans="1:16">
      <c r="A14" s="1800"/>
      <c r="B14" s="1801"/>
      <c r="C14" s="48" t="s">
        <v>1760</v>
      </c>
      <c r="D14" s="48">
        <f t="shared" si="0"/>
        <v>5562.95</v>
      </c>
      <c r="E14" s="51">
        <f>SUMPRODUCT(('数据-基础表'!BB10:BK10="地下")*('数据-基础表'!BB11:BK11="车库—商业")*('数据-基础表'!BB5:BK5))</f>
        <v>22000.37</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8"/>
      <c r="B16" s="1801"/>
      <c r="C16" s="50" t="s">
        <v>1749</v>
      </c>
      <c r="D16" s="50">
        <f>SUM(D8:D15)</f>
        <v>25427.530000000002</v>
      </c>
      <c r="E16" s="53">
        <f>SUM(E8:E15)</f>
        <v>100560.83</v>
      </c>
      <c r="F16" s="2855"/>
      <c r="G16" s="2856"/>
      <c r="H16" s="1802" t="s">
        <v>1761</v>
      </c>
      <c r="I16" s="1803"/>
      <c r="J16" s="1273"/>
      <c r="K16" s="3414" t="s">
        <v>1761</v>
      </c>
      <c r="L16" s="3415"/>
      <c r="M16" s="3415"/>
      <c r="N16" s="3415"/>
      <c r="O16" s="3415"/>
      <c r="P16" s="3416"/>
    </row>
    <row r="17" spans="1:19" ht="15">
      <c r="A17" s="1804" t="s">
        <v>1762</v>
      </c>
      <c r="B17" s="1805" t="s">
        <v>1763</v>
      </c>
      <c r="C17" s="1806" t="s">
        <v>1764</v>
      </c>
      <c r="D17" s="1807" t="s">
        <v>1752</v>
      </c>
      <c r="E17" s="1808" t="s">
        <v>1753</v>
      </c>
      <c r="F17" s="1809"/>
      <c r="G17" s="1810"/>
      <c r="H17" s="1811" t="s">
        <v>1765</v>
      </c>
      <c r="I17" s="1812" t="s">
        <v>1750</v>
      </c>
      <c r="J17" s="1273"/>
      <c r="K17" s="3411" t="s">
        <v>1766</v>
      </c>
      <c r="L17" s="3412"/>
      <c r="M17" s="3413"/>
      <c r="N17" s="3411" t="s">
        <v>1767</v>
      </c>
      <c r="O17" s="3412"/>
      <c r="P17" s="3413"/>
      <c r="R17" s="1794" t="s">
        <v>1768</v>
      </c>
      <c r="S17" s="60"/>
    </row>
    <row r="18" spans="1:19" ht="15">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c r="A19" s="1821"/>
      <c r="B19" s="50" t="s">
        <v>1751</v>
      </c>
      <c r="C19" s="3215" t="s">
        <v>3143</v>
      </c>
      <c r="D19" s="48">
        <f>ROUND($D$3*E19/$E$3,2)</f>
        <v>25427.53</v>
      </c>
      <c r="E19" s="56">
        <f t="shared" ref="E19:E26" si="1">SUM(F19:G19)</f>
        <v>100560.83</v>
      </c>
      <c r="F19" s="2995">
        <f>'数据-基础表'!I13</f>
        <v>60856.65</v>
      </c>
      <c r="G19" s="2996">
        <f>'数据-基础表'!K13+'数据-基础表'!M14</f>
        <v>39704.18</v>
      </c>
      <c r="H19" s="679">
        <f>ROUND($D$3*I19/$E$3,2)</f>
        <v>238.57</v>
      </c>
      <c r="I19" s="51">
        <f t="shared" ref="I19:I26" si="2">IF($I$17="自定义",P19,M19)</f>
        <v>943.51</v>
      </c>
      <c r="J19" s="1273"/>
      <c r="K19" s="1272">
        <f t="shared" ref="K19:K26" si="3">ROUND(E$28*E19/E$27,2)</f>
        <v>943.51</v>
      </c>
      <c r="L19" s="1157">
        <f t="shared" ref="L19:L26" si="4">ROUND(IF(COUNTIF(C19,"*住宅*")&gt;0,E$29*E19/E$32,0),2)</f>
        <v>0</v>
      </c>
      <c r="M19" s="1284">
        <f>K19+L19</f>
        <v>943.51</v>
      </c>
      <c r="N19" s="1823"/>
      <c r="O19" s="1824"/>
      <c r="P19" s="1284">
        <f>N19+O19</f>
        <v>0</v>
      </c>
      <c r="R19" s="1157">
        <f t="shared" ref="R19:S26" si="5">D19+H19</f>
        <v>25666.1</v>
      </c>
      <c r="S19" s="1158">
        <f t="shared" si="5"/>
        <v>101504.34</v>
      </c>
    </row>
    <row r="20" spans="1:19">
      <c r="A20" s="1825"/>
      <c r="B20" s="50" t="s">
        <v>1779</v>
      </c>
      <c r="C20" s="3215"/>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1822"/>
      <c r="D21" s="48">
        <f t="shared" si="6"/>
        <v>0</v>
      </c>
      <c r="E21" s="56">
        <f t="shared" si="1"/>
        <v>0</v>
      </c>
      <c r="F21" s="2995"/>
      <c r="G21" s="2996"/>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25427.53</v>
      </c>
      <c r="E27" s="1275">
        <f>IF(SUM(E19:E26)='数据-基础表'!BA5,SUM(E19:E26),IF(F27="地上面积有误","面积有误","地下面积有误"))</f>
        <v>100560.83</v>
      </c>
      <c r="F27" s="1274">
        <f>IF(SUM(F19:F26)=E8,SUM(F19:F26),"地上面积有误")</f>
        <v>60856.65</v>
      </c>
      <c r="G27" s="1276">
        <f>SUM(G19:G26)</f>
        <v>39704.18</v>
      </c>
      <c r="H27" s="1277">
        <f>SUM(H19:H26)</f>
        <v>238.57</v>
      </c>
      <c r="I27" s="1278">
        <f>SUM(I19:I26)</f>
        <v>943.51</v>
      </c>
      <c r="J27" s="1273"/>
      <c r="K27" s="1281">
        <f>SUM(K19:K26)</f>
        <v>943.51</v>
      </c>
      <c r="L27" s="1282">
        <f>SUM(L19:L26)</f>
        <v>0</v>
      </c>
      <c r="M27" s="1285">
        <f>SUM(M19:M26)</f>
        <v>943.51</v>
      </c>
      <c r="N27" s="1281">
        <f t="shared" ref="N27:O27" si="10">SUM(N19:N26)</f>
        <v>0</v>
      </c>
      <c r="O27" s="1282">
        <f t="shared" si="10"/>
        <v>0</v>
      </c>
      <c r="P27" s="1283">
        <f>SUM(P19:P26)</f>
        <v>0</v>
      </c>
      <c r="R27" s="1159">
        <f>IF(SUM(R19:R26)=$D$3,SUM(R19:R26),SUM(R19:R26)&amp;"误差"&amp;ROUND(SUM(R19:R26)-$D$3,2))</f>
        <v>25666.1</v>
      </c>
      <c r="S27" s="1157">
        <f>IF(SUM(S19:S26)=$E$3,SUM(S19:S26),SUM(S19:S26)&amp;"误差"&amp;ROUND(SUM(S19:S26)-E3,2))</f>
        <v>101504.34</v>
      </c>
    </row>
    <row r="28" spans="1:19">
      <c r="A28" s="1825"/>
      <c r="B28" s="50" t="s">
        <v>1781</v>
      </c>
      <c r="C28" s="1169" t="s">
        <v>1782</v>
      </c>
      <c r="D28" s="48">
        <f>ROUND($D$3*E28/$E$3,2)</f>
        <v>238.57</v>
      </c>
      <c r="E28" s="56">
        <f>SUM(F28:G28)</f>
        <v>943.51</v>
      </c>
      <c r="F28" s="60">
        <f>'数据-基础表'!BQ5+'数据-基础表'!BS5</f>
        <v>443.51</v>
      </c>
      <c r="G28" s="61">
        <f>'数据-基础表'!BR5+'数据-基础表'!BT5</f>
        <v>500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4">
        <f>SUM(D28:D29)</f>
        <v>238.57</v>
      </c>
      <c r="E30" s="1274">
        <f>SUM(E28:E29)</f>
        <v>943.51</v>
      </c>
      <c r="F30" s="1274">
        <f>SUM(F28:F29)</f>
        <v>443.51</v>
      </c>
      <c r="G30" s="1276">
        <f>SUM(G28:G29)</f>
        <v>500</v>
      </c>
      <c r="H30" s="2855"/>
      <c r="I30" s="2855"/>
      <c r="J30" s="2855"/>
      <c r="K30" s="2855"/>
      <c r="L30" s="2855"/>
      <c r="M30" s="2855"/>
      <c r="N30" s="2855"/>
      <c r="O30" s="2855"/>
      <c r="P30" s="2855"/>
    </row>
    <row r="31" spans="1:19" ht="15.75" thickBot="1">
      <c r="A31" s="1831"/>
      <c r="B31" s="1832"/>
      <c r="C31" s="944" t="s">
        <v>1784</v>
      </c>
      <c r="D31" s="685">
        <f>D27+D30</f>
        <v>25666.1</v>
      </c>
      <c r="E31" s="685">
        <f>E27+E30</f>
        <v>101504.34</v>
      </c>
      <c r="F31" s="686">
        <f>F27+F30</f>
        <v>61300.160000000003</v>
      </c>
      <c r="G31" s="687">
        <f>G27+G30</f>
        <v>40204.18</v>
      </c>
      <c r="H31" s="2855"/>
      <c r="I31" s="2855"/>
      <c r="J31" s="2855"/>
      <c r="K31" s="2855"/>
      <c r="L31" s="2855"/>
      <c r="M31" s="2855"/>
      <c r="N31" s="2855"/>
      <c r="O31" s="2855"/>
      <c r="P31" s="2855"/>
    </row>
    <row r="32" spans="1:19">
      <c r="A32" s="1797"/>
      <c r="B32" s="1797" t="s">
        <v>1785</v>
      </c>
      <c r="C32" s="1797"/>
      <c r="D32" s="1797"/>
      <c r="E32" s="1184">
        <f>SUMIF(C19:C26,"*住宅*",E19:E26)</f>
        <v>0</v>
      </c>
      <c r="F32" s="1797"/>
      <c r="G32" s="1797"/>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Z6" activePane="bottomRight" state="frozen"/>
      <selection activeCell="C50" sqref="C50"/>
      <selection pane="topRight" activeCell="C50" sqref="C50"/>
      <selection pane="bottomLeft" activeCell="C50" sqref="C50"/>
      <selection pane="bottomRight" activeCell="AH23" sqref="AH23"/>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3" width="7.25" style="1837" customWidth="1"/>
    <col min="34" max="34" width="11.375" style="1837" bestFit="1"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15.75" thickBot="1">
      <c r="A2" s="1838" t="s">
        <v>1787</v>
      </c>
      <c r="B2" s="1176">
        <f>项目基本情况!D3</f>
        <v>44567</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0.5">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3144</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商业</v>
      </c>
      <c r="B6" s="1868" t="str">
        <f>IF(A6=0,"","经营性")</f>
        <v>经营性</v>
      </c>
      <c r="C6" s="1869" t="s">
        <v>1283</v>
      </c>
      <c r="D6" s="967">
        <f>SUMIF(项目基本情况!D$12:I$12,C6,项目基本情况!D$14:I$14)</f>
        <v>40</v>
      </c>
      <c r="E6" s="966">
        <f>IF(B6="","",SUMIF(项目基本情况!D$12:I$12,C6,项目基本情况!D$13:I$13))</f>
        <v>52093</v>
      </c>
      <c r="F6" s="68">
        <f>SUMIF(项目基本情况!D$12:I$12,C6,项目基本情况!D$15:I$15)</f>
        <v>20.61</v>
      </c>
      <c r="G6" s="69">
        <f>IF(ISERROR(ROUND(POWER(1+H6,D6-F6)*(POWER(1+H6,F6)-1)/(POWER(1+H6,D6)-1),3)),0,ROUND(POWER(1+H6,D6-F6)*(POWER(1+H6,F6)-1)/(POWER(1+H6,D6)-1),3))</f>
        <v>0.73899999999999999</v>
      </c>
      <c r="H6" s="741">
        <v>0.05</v>
      </c>
      <c r="I6" s="741">
        <v>5.5E-2</v>
      </c>
      <c r="J6" s="70">
        <v>7.4999999999999997E-2</v>
      </c>
      <c r="K6" s="1161">
        <f>SUMIF('数据-汇总表'!C$19:C$33,A6,'数据-汇总表'!E$19:E$33)</f>
        <v>100560.83</v>
      </c>
      <c r="L6" s="742">
        <v>5000</v>
      </c>
      <c r="M6" s="71">
        <f t="shared" ref="M6:M14" si="0">ROUND(K6*L6/10000,0)</f>
        <v>50280</v>
      </c>
      <c r="N6" s="740">
        <f>ROUND((M17+N17)/2,2)</f>
        <v>0.91</v>
      </c>
      <c r="O6" s="71" t="str">
        <f>IF($N$5="成新度","——",ROUND(M6*N6,0))</f>
        <v>——</v>
      </c>
      <c r="P6" s="72" t="str">
        <f>IF($N$5="成新度","——",M6-O6)</f>
        <v>——</v>
      </c>
      <c r="Q6" s="743">
        <v>0.2</v>
      </c>
      <c r="R6" s="73">
        <f ca="1">SUMIF('数据-汇总表'!C$19:C$33,A6,'数据-汇总表'!R$19:R$27)</f>
        <v>25666.1</v>
      </c>
      <c r="S6" s="54">
        <f>IF('数据-汇总表'!$I$17="按面积比例",SUMIF('数据-汇总表'!C$19:C$33,A6,'数据-汇总表'!K$19:K$33),SUMIF('数据-汇总表'!C$19:C$33,A6,'数据-汇总表'!N$19:N$33))</f>
        <v>943.51</v>
      </c>
      <c r="T6" s="1306">
        <f>ROUND($L$14*S6/10000,0)</f>
        <v>472</v>
      </c>
      <c r="U6" s="3333">
        <v>5.5</v>
      </c>
      <c r="V6" s="75">
        <v>0.03</v>
      </c>
      <c r="W6" s="3334">
        <v>0.1</v>
      </c>
      <c r="X6" s="1171"/>
      <c r="Y6" s="76">
        <f>N6</f>
        <v>0.91</v>
      </c>
      <c r="Z6" s="77"/>
      <c r="AA6" s="70"/>
      <c r="AB6" s="70"/>
      <c r="AC6" s="1171"/>
      <c r="AD6" s="78"/>
      <c r="AE6" s="1172">
        <f ca="1">IF(AN6="",0,SUMIF(INDIRECT("'"&amp;AN6&amp;"'"&amp;"!E:E"),$AE$5,INDIRECT("'"&amp;AN6&amp;"'"&amp;"!F:F")))</f>
        <v>20.61</v>
      </c>
      <c r="AF6" s="1501"/>
      <c r="AG6" s="143">
        <f>IF(AF6="",0,AE6-AF6)</f>
        <v>0</v>
      </c>
      <c r="AH6" s="3335"/>
      <c r="AI6" s="81">
        <v>365</v>
      </c>
      <c r="AJ6" s="82"/>
      <c r="AK6" s="83">
        <v>1.4999999999999999E-2</v>
      </c>
      <c r="AL6" s="84">
        <v>2E-3</v>
      </c>
      <c r="AM6" s="85">
        <v>0.02</v>
      </c>
      <c r="AN6" s="1870" t="s">
        <v>3145</v>
      </c>
      <c r="AO6" s="55">
        <f ca="1">SUMIF(INDIRECT("'"&amp;AN6&amp;"'"&amp;"!A:A"),"总价",INDIRECT("'"&amp;AN6&amp;"'"&amp;"!B:B"))</f>
        <v>209717</v>
      </c>
      <c r="AP6" s="1871">
        <f>IF(C6="住宅",K6*L6,0)</f>
        <v>0</v>
      </c>
      <c r="AQ6" s="55">
        <f>ROUND($L$14*$N$14*S6/10000,0)</f>
        <v>429</v>
      </c>
      <c r="AR6" s="55">
        <f>ROUND($L$14*(1-$N$14)*S6/10000,0)</f>
        <v>42</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60"/>
      <c r="I14" s="1160"/>
      <c r="J14" s="1160"/>
      <c r="K14" s="1161">
        <f>SUMIF('数据-汇总表'!C$19:C$33,A14,'数据-汇总表'!E$19:E$33)</f>
        <v>943.51</v>
      </c>
      <c r="L14" s="87">
        <f>L6</f>
        <v>5000</v>
      </c>
      <c r="M14" s="71">
        <f t="shared" si="0"/>
        <v>472</v>
      </c>
      <c r="N14" s="88">
        <f>N6</f>
        <v>0.91</v>
      </c>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0.73899999999999999</v>
      </c>
      <c r="H16" s="95">
        <f>ROUND(SUMPRODUCT(H6:H13,K6:K13)/SUMPRODUCT((H6:H13&gt;0)*(K6:K13)),3)</f>
        <v>0.05</v>
      </c>
      <c r="I16" s="96"/>
      <c r="J16" s="96"/>
      <c r="K16" s="97">
        <f>SUM(K6:K15)</f>
        <v>101504.34</v>
      </c>
      <c r="L16" s="98">
        <f>ROUND(M16*10000/SUM(K6:K14),0)</f>
        <v>5000</v>
      </c>
      <c r="M16" s="98">
        <f>SUM(M6:M14)</f>
        <v>50752</v>
      </c>
      <c r="N16" s="99">
        <f>ROUND(SUMPRODUCT(M6:M14,N6:N14)/M16,3)</f>
        <v>0.91</v>
      </c>
      <c r="O16" s="98">
        <f>SUM(O6:O14)</f>
        <v>0</v>
      </c>
      <c r="P16" s="98">
        <f>SUM(P6:P14)</f>
        <v>0</v>
      </c>
      <c r="Q16" s="100">
        <f>ROUND(SUMPRODUCT(Q6:Q13,K6:K13)/SUMPRODUCT((Q6:Q13&gt;0)*(K6:K13)),2)</f>
        <v>0.2</v>
      </c>
      <c r="R16" s="1165">
        <f ca="1">SUM(R6:R13)</f>
        <v>25666.1</v>
      </c>
      <c r="S16" s="101">
        <f>SUM(S6:S13)</f>
        <v>943.51</v>
      </c>
      <c r="T16" s="102">
        <f>IF(SUMIF(T6:T13,"&lt;9E307")=M14,SUMIF(T6:T13,"&lt;9E307"),"有误，请检查")</f>
        <v>472</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2870"/>
      <c r="M17" s="3328">
        <f>ROUND(1-(2022-2014)/60,2)</f>
        <v>0.87</v>
      </c>
      <c r="N17" s="3327">
        <v>0.95</v>
      </c>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1837</v>
      </c>
      <c r="B19" s="108">
        <v>0</v>
      </c>
      <c r="C19" s="2999" t="s">
        <v>2990</v>
      </c>
      <c r="D19" s="2874"/>
      <c r="E19" s="2871"/>
      <c r="F19" s="2871"/>
      <c r="G19" s="2871"/>
      <c r="H19" s="2871"/>
      <c r="I19" s="2871"/>
      <c r="J19" s="2871"/>
      <c r="K19" s="2870"/>
      <c r="L19" s="2870"/>
      <c r="M19" s="2869"/>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1838</v>
      </c>
      <c r="B20" s="109">
        <v>3</v>
      </c>
      <c r="C20" s="3000" t="s">
        <v>2988</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1839</v>
      </c>
      <c r="B21" s="109">
        <v>3</v>
      </c>
      <c r="C21" s="2871"/>
      <c r="D21" s="2874"/>
      <c r="E21" s="2871"/>
      <c r="F21" s="2871"/>
      <c r="G21" s="2871"/>
      <c r="H21" s="2871"/>
      <c r="I21" s="2871"/>
      <c r="J21" s="2871"/>
      <c r="K21" s="2870"/>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1840</v>
      </c>
      <c r="B22" s="110">
        <f>B19+B20</f>
        <v>3</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1841</v>
      </c>
      <c r="B23" s="110">
        <f>B19+B21</f>
        <v>3</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1"/>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27.75">
      <c r="A27" s="1882" t="s">
        <v>1846</v>
      </c>
      <c r="B27" s="112"/>
      <c r="C27" s="3001" t="s">
        <v>2992</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成本法!C10</f>
        <v>2030</v>
      </c>
      <c r="C29" s="3002" t="s">
        <v>2979</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0.05</v>
      </c>
      <c r="C33" s="3003" t="s">
        <v>2980</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3003" t="s">
        <v>2981</v>
      </c>
      <c r="D34" s="2882" t="s">
        <v>2989</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3" t="s">
        <v>2982</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3" t="s">
        <v>2983</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1856</v>
      </c>
      <c r="B37" s="120">
        <v>0.03</v>
      </c>
      <c r="C37" s="3003" t="s">
        <v>2984</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1857</v>
      </c>
      <c r="B38" s="118">
        <v>0.03</v>
      </c>
      <c r="C38" s="3003" t="s">
        <v>2984</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3146</v>
      </c>
      <c r="B40" s="1210">
        <f ca="1">IF(A40="利息：取LPR",存贷款利率!G1,存贷款利率!G1+C40)</f>
        <v>4.3499999999999997E-2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1862</v>
      </c>
      <c r="B44" s="124">
        <v>0.05</v>
      </c>
      <c r="C44" s="3003" t="s">
        <v>2993</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1863</v>
      </c>
      <c r="B45" s="122">
        <v>0.03</v>
      </c>
      <c r="C45" s="3002" t="s">
        <v>2985</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1864</v>
      </c>
      <c r="B46" s="122">
        <v>0.02</v>
      </c>
      <c r="C46" s="3002" t="s">
        <v>2986</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c r="C47" s="3005" t="s">
        <v>2994</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1866</v>
      </c>
      <c r="B48" s="126">
        <v>0.03</v>
      </c>
      <c r="C48" s="3002" t="s">
        <v>2985</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2987</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1870</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4" t="s">
        <v>1871</v>
      </c>
      <c r="B53" s="1893" t="s">
        <v>56</v>
      </c>
      <c r="C53" s="2857" t="s">
        <v>1872</v>
      </c>
      <c r="D53" s="3004" t="s">
        <v>2991</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6" customWidth="1"/>
    <col min="3" max="3" width="24.5" style="2705" customWidth="1"/>
    <col min="4" max="4" width="2.625" style="2705" customWidth="1"/>
    <col min="5" max="5" width="5.875" style="2705" customWidth="1"/>
    <col min="6" max="6" width="27" style="1726"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426" t="s">
        <v>2971</v>
      </c>
      <c r="B1" s="3427"/>
      <c r="C1" s="3427"/>
      <c r="D1" s="3427"/>
      <c r="E1" s="3427"/>
      <c r="F1" s="3427"/>
      <c r="G1" s="3427"/>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2966</v>
      </c>
      <c r="D2" s="2656"/>
      <c r="E2" s="2653"/>
      <c r="F2" s="2657"/>
      <c r="G2" s="2655" t="s">
        <v>2967</v>
      </c>
      <c r="H2" s="907"/>
      <c r="I2" s="907"/>
      <c r="J2" s="907"/>
      <c r="K2" s="907"/>
      <c r="L2" s="907"/>
      <c r="M2" s="907"/>
      <c r="N2" s="907"/>
      <c r="O2" s="907"/>
      <c r="P2" s="907"/>
      <c r="Q2" s="907"/>
      <c r="R2" s="907"/>
    </row>
    <row r="3" spans="1:29" ht="48">
      <c r="A3" s="2636" t="s">
        <v>2968</v>
      </c>
      <c r="B3" s="2658" t="s">
        <v>2937</v>
      </c>
      <c r="C3" s="2659" t="s">
        <v>2969</v>
      </c>
      <c r="D3" s="2660"/>
      <c r="E3" s="2637" t="s">
        <v>2968</v>
      </c>
      <c r="F3" s="2661" t="s">
        <v>2938</v>
      </c>
      <c r="G3" s="2662" t="s">
        <v>2970</v>
      </c>
      <c r="H3" s="907"/>
      <c r="I3" s="907"/>
      <c r="J3" s="907"/>
      <c r="K3" s="907"/>
      <c r="L3" s="907"/>
      <c r="M3" s="907"/>
      <c r="N3" s="907"/>
      <c r="O3" s="907"/>
      <c r="P3" s="907"/>
      <c r="Q3" s="907"/>
      <c r="R3" s="907"/>
    </row>
    <row r="4" spans="1:29" ht="36.75">
      <c r="A4" s="2637"/>
      <c r="B4" s="329" t="s">
        <v>2939</v>
      </c>
      <c r="C4" s="2663" t="s">
        <v>2940</v>
      </c>
      <c r="D4" s="2660"/>
      <c r="E4" s="2664"/>
      <c r="F4" s="1526" t="s">
        <v>2941</v>
      </c>
      <c r="G4" s="2665" t="s">
        <v>2942</v>
      </c>
      <c r="H4" s="907"/>
      <c r="I4" s="907"/>
      <c r="J4" s="907"/>
      <c r="K4" s="907"/>
      <c r="L4" s="907"/>
      <c r="M4" s="907"/>
      <c r="N4" s="907"/>
      <c r="O4" s="907"/>
      <c r="P4" s="907"/>
      <c r="Q4" s="907"/>
      <c r="R4" s="907"/>
    </row>
    <row r="5" spans="1:29" ht="36.75">
      <c r="A5" s="2637"/>
      <c r="B5" s="329" t="s">
        <v>2943</v>
      </c>
      <c r="C5" s="2663" t="s">
        <v>2944</v>
      </c>
      <c r="D5" s="2660"/>
      <c r="E5" s="2664"/>
      <c r="F5" s="329" t="s">
        <v>2945</v>
      </c>
      <c r="G5" s="2665" t="s">
        <v>2946</v>
      </c>
      <c r="H5" s="907"/>
      <c r="I5" s="907"/>
      <c r="J5" s="907"/>
      <c r="K5" s="907"/>
      <c r="L5" s="907"/>
      <c r="M5" s="907"/>
      <c r="N5" s="907"/>
      <c r="O5" s="907"/>
      <c r="P5" s="907"/>
      <c r="Q5" s="907"/>
      <c r="R5" s="907"/>
    </row>
    <row r="6" spans="1:29" ht="36">
      <c r="A6" s="2637"/>
      <c r="B6" s="329" t="s">
        <v>2947</v>
      </c>
      <c r="C6" s="2665" t="s">
        <v>2942</v>
      </c>
      <c r="D6" s="2660"/>
      <c r="E6" s="2664"/>
      <c r="F6" s="329" t="s">
        <v>2948</v>
      </c>
      <c r="G6" s="2665" t="s">
        <v>2949</v>
      </c>
      <c r="H6" s="907"/>
      <c r="I6" s="907"/>
      <c r="J6" s="907"/>
      <c r="K6" s="907"/>
      <c r="L6" s="907"/>
      <c r="M6" s="907"/>
      <c r="N6" s="907"/>
      <c r="O6" s="907"/>
      <c r="P6" s="907"/>
      <c r="Q6" s="907"/>
      <c r="R6" s="907"/>
    </row>
    <row r="7" spans="1:29" ht="24.75" thickBot="1">
      <c r="A7" s="2637"/>
      <c r="B7" s="329" t="s">
        <v>2945</v>
      </c>
      <c r="C7" s="2665" t="s">
        <v>2946</v>
      </c>
      <c r="D7" s="2666"/>
      <c r="E7" s="2667"/>
      <c r="F7" s="2668" t="s">
        <v>2950</v>
      </c>
      <c r="G7" s="2669" t="s">
        <v>2951</v>
      </c>
      <c r="H7" s="907"/>
      <c r="I7" s="907"/>
      <c r="J7" s="907"/>
      <c r="K7" s="907"/>
      <c r="L7" s="907"/>
      <c r="M7" s="907"/>
      <c r="N7" s="907"/>
      <c r="O7" s="907"/>
      <c r="P7" s="907"/>
      <c r="Q7" s="907"/>
      <c r="R7" s="907"/>
    </row>
    <row r="8" spans="1:29">
      <c r="A8" s="2637"/>
      <c r="B8" s="329" t="s">
        <v>2948</v>
      </c>
      <c r="C8" s="2665" t="s">
        <v>2949</v>
      </c>
      <c r="D8" s="2666"/>
      <c r="E8" s="2666"/>
      <c r="F8" s="2670"/>
      <c r="G8" s="2670"/>
      <c r="H8" s="907"/>
      <c r="I8" s="907"/>
      <c r="J8" s="907"/>
      <c r="K8" s="907"/>
      <c r="L8" s="907"/>
      <c r="M8" s="907"/>
      <c r="N8" s="907"/>
      <c r="O8" s="907"/>
      <c r="P8" s="907"/>
      <c r="Q8" s="907"/>
      <c r="R8" s="907"/>
    </row>
    <row r="9" spans="1:29" ht="24">
      <c r="A9" s="2637"/>
      <c r="B9" s="329" t="s">
        <v>2952</v>
      </c>
      <c r="C9" s="2663" t="s">
        <v>2953</v>
      </c>
      <c r="D9" s="2660"/>
      <c r="E9" s="2666"/>
      <c r="F9" s="2670"/>
      <c r="G9" s="2670"/>
      <c r="H9" s="907"/>
      <c r="I9" s="907"/>
      <c r="J9" s="907"/>
      <c r="K9" s="907"/>
      <c r="L9" s="907"/>
      <c r="M9" s="907"/>
      <c r="N9" s="907"/>
      <c r="O9" s="907"/>
      <c r="P9" s="907"/>
      <c r="Q9" s="907"/>
      <c r="R9" s="907"/>
    </row>
    <row r="10" spans="1:29" s="2676" customFormat="1" ht="15" thickBot="1">
      <c r="A10" s="2638"/>
      <c r="B10" s="2671" t="s">
        <v>2954</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2972</v>
      </c>
      <c r="B13" s="2679"/>
      <c r="C13" s="2679"/>
      <c r="D13" s="2677"/>
      <c r="E13" s="2679"/>
      <c r="F13" s="2679"/>
      <c r="G13" s="2679"/>
    </row>
    <row r="14" spans="1:29" ht="15" thickBot="1">
      <c r="A14" s="2689"/>
      <c r="B14" s="2689"/>
      <c r="C14" s="2690" t="s">
        <v>2955</v>
      </c>
      <c r="D14" s="2660"/>
      <c r="E14" s="2691"/>
      <c r="F14" s="2691"/>
      <c r="G14" s="2655" t="s">
        <v>2956</v>
      </c>
    </row>
    <row r="15" spans="1:29" ht="51">
      <c r="A15" s="2639" t="s">
        <v>2957</v>
      </c>
      <c r="B15" s="2692" t="s">
        <v>2937</v>
      </c>
      <c r="C15" s="2693" t="str">
        <f>C3</f>
        <v>估价对象周边居住用地比例、居住小区规模和社区发展完善程度，综合评价居住社区成熟度一般</v>
      </c>
      <c r="D15" s="2660"/>
      <c r="E15" s="2640" t="s">
        <v>2958</v>
      </c>
      <c r="F15" s="2692" t="s">
        <v>2959</v>
      </c>
      <c r="G15" s="2694" t="str">
        <f>G3</f>
        <v>估价对象位于XX开发区，园区建设成熟度XX，产业集聚程度XX</v>
      </c>
    </row>
    <row r="16" spans="1:29" ht="38.25">
      <c r="A16" s="2641"/>
      <c r="B16" s="2695" t="s">
        <v>2939</v>
      </c>
      <c r="C16" s="2696" t="str">
        <f>C4</f>
        <v>估价对象位于XX商圈，周边商业氛围成熟，人流量大，商业繁华度好</v>
      </c>
      <c r="D16" s="2660"/>
      <c r="E16" s="2642"/>
      <c r="F16" s="2697" t="s">
        <v>2941</v>
      </c>
      <c r="G16" s="2698" t="str">
        <f>G4</f>
        <v>估价对象周边道路状况、公共交通通达情况、停车便捷程度，综合评价交通便捷度较好</v>
      </c>
    </row>
    <row r="17" spans="1:18" ht="38.25">
      <c r="A17" s="2641"/>
      <c r="B17" s="2695" t="s">
        <v>2943</v>
      </c>
      <c r="C17" s="2696" t="str">
        <f>C5</f>
        <v>估价对象位于XX商圈，周边办公楼项目较多，入驻率高，办公集聚程度较好</v>
      </c>
      <c r="D17" s="2666"/>
      <c r="E17" s="2642"/>
      <c r="F17" s="2697" t="s">
        <v>2960</v>
      </c>
      <c r="G17" s="2699"/>
    </row>
    <row r="18" spans="1:18" ht="38.25">
      <c r="A18" s="2641"/>
      <c r="B18" s="2697" t="s">
        <v>2947</v>
      </c>
      <c r="C18" s="2698" t="str">
        <f>C6</f>
        <v>估价对象周边道路状况、公共交通通达情况、停车便捷程度，综合评价交通便捷度较好</v>
      </c>
      <c r="D18" s="2666"/>
      <c r="E18" s="2642"/>
      <c r="F18" s="2697" t="s">
        <v>2950</v>
      </c>
      <c r="G18" s="2698" t="str">
        <f>G7</f>
        <v>该园区内是否有污染型企业，绿化情况，卫生条件，整体环境状况判断</v>
      </c>
    </row>
    <row r="19" spans="1:18" ht="25.5">
      <c r="A19" s="2641"/>
      <c r="B19" s="2697" t="s">
        <v>2961</v>
      </c>
      <c r="C19" s="2699"/>
      <c r="D19" s="2660"/>
      <c r="E19" s="2642"/>
      <c r="F19" s="329" t="s">
        <v>2945</v>
      </c>
      <c r="G19" s="2698" t="str">
        <f>G5</f>
        <v>估价对象所在区域公共配套设施齐备情况</v>
      </c>
    </row>
    <row r="20" spans="1:18" ht="25.5">
      <c r="A20" s="2641"/>
      <c r="B20" s="2697" t="s">
        <v>2962</v>
      </c>
      <c r="C20" s="2696" t="str">
        <f>C9</f>
        <v>区域自然环境：；人文环境；综合评价环境状况一般</v>
      </c>
      <c r="D20" s="2666"/>
      <c r="E20" s="2642"/>
      <c r="F20" s="329" t="s">
        <v>2948</v>
      </c>
      <c r="G20" s="2698" t="str">
        <f>G6</f>
        <v>估价对象所在区域基础设施水平</v>
      </c>
    </row>
    <row r="21" spans="1:18" ht="25.5">
      <c r="A21" s="2641"/>
      <c r="B21" s="329" t="s">
        <v>2945</v>
      </c>
      <c r="C21" s="2698" t="str">
        <f>C7</f>
        <v>估价对象所在区域公共配套设施齐备情况</v>
      </c>
      <c r="D21" s="2660"/>
      <c r="E21" s="2642"/>
      <c r="F21" s="2697" t="s">
        <v>2963</v>
      </c>
      <c r="G21" s="2700"/>
    </row>
    <row r="22" spans="1:18" ht="13.5" customHeight="1">
      <c r="A22" s="2641"/>
      <c r="B22" s="329" t="s">
        <v>2948</v>
      </c>
      <c r="C22" s="2698" t="str">
        <f>C8</f>
        <v>估价对象所在区域基础设施水平</v>
      </c>
      <c r="D22" s="2660"/>
      <c r="E22" s="2642"/>
      <c r="F22" s="2697" t="s">
        <v>2954</v>
      </c>
      <c r="G22" s="2699"/>
    </row>
    <row r="23" spans="1:18" s="907" customFormat="1" ht="15" thickBot="1">
      <c r="A23" s="2641"/>
      <c r="B23" s="2697" t="s">
        <v>2963</v>
      </c>
      <c r="C23" s="2700"/>
      <c r="D23" s="1896"/>
      <c r="E23" s="2643"/>
      <c r="F23" s="2701" t="s">
        <v>2964</v>
      </c>
      <c r="G23" s="2702"/>
      <c r="H23" s="2686"/>
      <c r="I23" s="2687"/>
      <c r="J23" s="2686"/>
      <c r="K23" s="2686"/>
      <c r="L23" s="2687"/>
      <c r="M23" s="2686"/>
      <c r="N23" s="2686"/>
      <c r="O23" s="2687"/>
      <c r="P23" s="2686"/>
      <c r="Q23" s="2686"/>
      <c r="R23" s="2688"/>
    </row>
    <row r="24" spans="1:18" s="907" customFormat="1" ht="15" thickBot="1">
      <c r="A24" s="2644"/>
      <c r="B24" s="2701" t="s">
        <v>2965</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25" sqref="C25"/>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101504.34</v>
      </c>
      <c r="C1" s="2884"/>
      <c r="D1" s="2884"/>
      <c r="E1" s="2884"/>
      <c r="F1" s="2884"/>
      <c r="G1" s="2885"/>
      <c r="H1" s="2886"/>
      <c r="I1" s="2886"/>
      <c r="J1" s="2886"/>
      <c r="K1" s="2886"/>
    </row>
    <row r="2" spans="1:11" ht="16.5">
      <c r="A2" s="2707" t="s">
        <v>1259</v>
      </c>
      <c r="B2" s="2707">
        <f>SUM(C14:C23)</f>
        <v>25666.1</v>
      </c>
      <c r="C2" s="2884"/>
      <c r="D2" s="2884"/>
      <c r="E2" s="2884"/>
      <c r="F2" s="2884"/>
      <c r="G2" s="2885"/>
      <c r="H2" s="2886"/>
      <c r="I2" s="2886"/>
      <c r="J2" s="2886"/>
      <c r="K2" s="2886"/>
    </row>
    <row r="3" spans="1:11" ht="16.5">
      <c r="A3" s="2707" t="s">
        <v>1268</v>
      </c>
      <c r="B3" s="2709">
        <f>项目基本情况!D3</f>
        <v>44567</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211934</v>
      </c>
      <c r="C5" s="2707">
        <f ca="1">ROUND(B5*10000/$B$1,0)</f>
        <v>20879</v>
      </c>
      <c r="D5" s="2707">
        <f ca="1">ROUND(B5*10000/$B$2,0)</f>
        <v>82574</v>
      </c>
      <c r="E5" s="2884"/>
      <c r="F5" s="2885"/>
      <c r="G5" s="2885"/>
      <c r="H5" s="2886"/>
      <c r="I5" s="2886"/>
      <c r="J5" s="2886"/>
      <c r="K5" s="2886"/>
    </row>
    <row r="6" spans="1:11" ht="16.5">
      <c r="A6" s="2707" t="s">
        <v>1262</v>
      </c>
      <c r="B6" s="2707">
        <f ca="1">SUM(G14:G23)</f>
        <v>211934</v>
      </c>
      <c r="C6" s="2707">
        <f ca="1">ROUND(B6*10000/$B$1,0)</f>
        <v>20879</v>
      </c>
      <c r="D6" s="2707">
        <f ca="1">ROUND(B6*10000/$B$2,0)</f>
        <v>82574</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101504.34</v>
      </c>
      <c r="C14" s="2713">
        <f>结果表!C118</f>
        <v>25666.1</v>
      </c>
      <c r="D14" s="2713">
        <f ca="1">结果表!G19</f>
        <v>211934</v>
      </c>
      <c r="E14" s="2713">
        <f ca="1">ROUND(D14*10000/B14,0)</f>
        <v>20879</v>
      </c>
      <c r="F14" s="2713">
        <f ca="1">ROUND(D14*10000/C14,0)</f>
        <v>82574</v>
      </c>
      <c r="G14" s="2713">
        <f ca="1">D14</f>
        <v>211934</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ht="16.5">
      <c r="A16" s="2712" t="s">
        <v>1254</v>
      </c>
      <c r="B16" s="2714"/>
      <c r="C16" s="2714"/>
      <c r="D16" s="2714"/>
      <c r="E16" s="2713" t="e">
        <f t="shared" si="0"/>
        <v>#DIV/0!</v>
      </c>
      <c r="F16" s="2713" t="e">
        <f t="shared" si="1"/>
        <v>#DIV/0!</v>
      </c>
      <c r="G16" s="1470"/>
      <c r="H16" s="1470"/>
      <c r="I16" s="2714"/>
      <c r="J16" s="2886"/>
      <c r="K16" s="2886"/>
    </row>
    <row r="17" spans="1:11" ht="16.5">
      <c r="A17" s="2712" t="s">
        <v>1253</v>
      </c>
      <c r="B17" s="2714"/>
      <c r="C17" s="2714"/>
      <c r="D17" s="2714"/>
      <c r="E17" s="2713" t="e">
        <f t="shared" si="0"/>
        <v>#DIV/0!</v>
      </c>
      <c r="F17" s="2713" t="e">
        <f t="shared" si="1"/>
        <v>#DIV/0!</v>
      </c>
      <c r="G17" s="1470"/>
      <c r="H17" s="1470"/>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D29" sqref="D29"/>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c r="D1" s="1902"/>
      <c r="E1" s="1902"/>
      <c r="F1" s="1904" t="s">
        <v>1889</v>
      </c>
      <c r="G1" s="1715"/>
      <c r="H1" s="1905" t="str">
        <f>IF(G1="现房","——","估价对象范围")</f>
        <v>估价对象范围</v>
      </c>
      <c r="I1" s="1906"/>
    </row>
    <row r="2" spans="1:12" ht="21.75" customHeight="1" thickBot="1">
      <c r="A2" s="3462" t="str">
        <f>项目基本情况!S2</f>
        <v>北京市房地产</v>
      </c>
      <c r="B2" s="3463"/>
      <c r="C2" s="3463"/>
      <c r="D2" s="3463"/>
      <c r="E2" s="3463"/>
      <c r="F2" s="3463"/>
      <c r="G2" s="3463"/>
      <c r="H2" s="3463"/>
      <c r="I2" s="3464"/>
    </row>
    <row r="3" spans="1:12" ht="12.75">
      <c r="A3" s="3466" t="s">
        <v>1890</v>
      </c>
      <c r="B3" s="3467"/>
      <c r="C3" s="3467"/>
      <c r="D3" s="3467"/>
      <c r="E3" s="3467"/>
      <c r="F3" s="3467"/>
      <c r="G3" s="3467"/>
      <c r="H3" s="3467"/>
      <c r="I3" s="3467"/>
    </row>
    <row r="4" spans="1:12" ht="14.25">
      <c r="A4" s="1909" t="s">
        <v>1891</v>
      </c>
      <c r="B4" s="1910" t="s">
        <v>1892</v>
      </c>
      <c r="C4" s="1911" t="s">
        <v>3340</v>
      </c>
      <c r="D4" s="1911" t="s">
        <v>3145</v>
      </c>
      <c r="E4" s="3468" t="s">
        <v>1893</v>
      </c>
      <c r="F4" s="3469"/>
      <c r="G4" s="3469"/>
      <c r="H4" s="3469"/>
      <c r="I4" s="347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442" t="s">
        <v>1894</v>
      </c>
      <c r="B5" s="3429">
        <v>25</v>
      </c>
      <c r="C5" s="3445"/>
      <c r="D5" s="3465"/>
      <c r="E5" s="136" t="s">
        <v>1895</v>
      </c>
      <c r="F5" s="1912"/>
      <c r="G5" s="1912"/>
      <c r="H5" s="1912"/>
      <c r="I5" s="1526"/>
    </row>
    <row r="6" spans="1:12" ht="12.75">
      <c r="A6" s="3442"/>
      <c r="B6" s="3429"/>
      <c r="C6" s="3446"/>
      <c r="D6" s="3465"/>
      <c r="E6" s="136" t="s">
        <v>1896</v>
      </c>
      <c r="F6" s="1912"/>
      <c r="G6" s="1912"/>
      <c r="H6" s="1912"/>
      <c r="I6" s="1526"/>
    </row>
    <row r="7" spans="1:12" ht="12.75">
      <c r="A7" s="3442"/>
      <c r="B7" s="3429"/>
      <c r="C7" s="3447"/>
      <c r="D7" s="3465"/>
      <c r="E7" s="136" t="s">
        <v>1897</v>
      </c>
      <c r="F7" s="1912"/>
      <c r="G7" s="1912"/>
      <c r="H7" s="1912"/>
      <c r="I7" s="1526"/>
    </row>
    <row r="8" spans="1:12" ht="12.75">
      <c r="A8" s="3442" t="s">
        <v>1898</v>
      </c>
      <c r="B8" s="3429">
        <v>15</v>
      </c>
      <c r="C8" s="3445"/>
      <c r="D8" s="3465"/>
      <c r="E8" s="136" t="s">
        <v>1899</v>
      </c>
      <c r="F8" s="1912"/>
      <c r="G8" s="1912"/>
      <c r="H8" s="1912"/>
      <c r="I8" s="1526"/>
    </row>
    <row r="9" spans="1:12" ht="12.75">
      <c r="A9" s="3442"/>
      <c r="B9" s="3429"/>
      <c r="C9" s="3447"/>
      <c r="D9" s="3465"/>
      <c r="E9" s="136" t="s">
        <v>1900</v>
      </c>
      <c r="F9" s="1912"/>
      <c r="G9" s="1912"/>
      <c r="H9" s="1912"/>
      <c r="I9" s="1526"/>
    </row>
    <row r="10" spans="1:12" ht="12.75">
      <c r="A10" s="3442" t="s">
        <v>1901</v>
      </c>
      <c r="B10" s="3429">
        <v>15</v>
      </c>
      <c r="C10" s="3445"/>
      <c r="D10" s="3465"/>
      <c r="E10" s="136" t="s">
        <v>1902</v>
      </c>
      <c r="F10" s="1912"/>
      <c r="G10" s="1912"/>
      <c r="H10" s="1912"/>
      <c r="I10" s="1526"/>
    </row>
    <row r="11" spans="1:12" ht="12.75">
      <c r="A11" s="3442"/>
      <c r="B11" s="3429"/>
      <c r="C11" s="3447"/>
      <c r="D11" s="3465"/>
      <c r="E11" s="136" t="s">
        <v>1903</v>
      </c>
      <c r="F11" s="1912"/>
      <c r="G11" s="1912"/>
      <c r="H11" s="1912"/>
      <c r="I11" s="1526"/>
    </row>
    <row r="12" spans="1:12" ht="12.75">
      <c r="A12" s="3442" t="s">
        <v>1904</v>
      </c>
      <c r="B12" s="3429">
        <v>15</v>
      </c>
      <c r="C12" s="3445"/>
      <c r="D12" s="3465"/>
      <c r="E12" s="136" t="s">
        <v>1905</v>
      </c>
      <c r="F12" s="1912"/>
      <c r="G12" s="1912"/>
      <c r="H12" s="1912"/>
      <c r="I12" s="1526"/>
    </row>
    <row r="13" spans="1:12" ht="12.75">
      <c r="A13" s="3442"/>
      <c r="B13" s="3429"/>
      <c r="C13" s="3447"/>
      <c r="D13" s="3465"/>
      <c r="E13" s="136" t="s">
        <v>1906</v>
      </c>
      <c r="F13" s="1912"/>
      <c r="G13" s="1912"/>
      <c r="H13" s="1912"/>
      <c r="I13" s="1526"/>
    </row>
    <row r="14" spans="1:12" ht="12.75">
      <c r="A14" s="3442" t="s">
        <v>1907</v>
      </c>
      <c r="B14" s="3429">
        <v>30</v>
      </c>
      <c r="C14" s="3445">
        <v>5</v>
      </c>
      <c r="D14" s="3465">
        <v>5</v>
      </c>
      <c r="E14" s="136" t="s">
        <v>1908</v>
      </c>
      <c r="F14" s="1912"/>
      <c r="G14" s="1912"/>
      <c r="H14" s="1912"/>
      <c r="I14" s="1526"/>
    </row>
    <row r="15" spans="1:12" ht="12.75">
      <c r="A15" s="3442"/>
      <c r="B15" s="3429"/>
      <c r="C15" s="3446"/>
      <c r="D15" s="3465"/>
      <c r="E15" s="136" t="s">
        <v>1909</v>
      </c>
      <c r="F15" s="1912"/>
      <c r="G15" s="1912"/>
      <c r="H15" s="1912"/>
      <c r="I15" s="1526"/>
    </row>
    <row r="16" spans="1:12" ht="12.75">
      <c r="A16" s="3442"/>
      <c r="B16" s="3429"/>
      <c r="C16" s="3447"/>
      <c r="D16" s="3465"/>
      <c r="E16" s="136" t="s">
        <v>1910</v>
      </c>
      <c r="F16" s="1912"/>
      <c r="G16" s="1912"/>
      <c r="H16" s="1912"/>
      <c r="I16" s="1526"/>
    </row>
    <row r="17" spans="1:36" ht="15">
      <c r="A17" s="1913" t="s">
        <v>1911</v>
      </c>
      <c r="B17" s="60"/>
      <c r="C17" s="137">
        <f>SUM(C5:C16)</f>
        <v>5</v>
      </c>
      <c r="D17" s="137">
        <f>SUM(D5:D16)</f>
        <v>5</v>
      </c>
      <c r="E17" s="134"/>
      <c r="F17" s="134"/>
      <c r="G17" s="134"/>
      <c r="H17" s="134"/>
      <c r="I17" s="134"/>
      <c r="K17" s="308"/>
      <c r="L17" s="308" t="s">
        <v>1912</v>
      </c>
      <c r="M17" s="308" t="s">
        <v>1913</v>
      </c>
    </row>
    <row r="18" spans="1:36" ht="31.9" customHeight="1" thickBot="1">
      <c r="A18" s="1914" t="s">
        <v>1914</v>
      </c>
      <c r="B18" s="1915"/>
      <c r="C18" s="138">
        <f>ROUND(C17/SUM(C17:D17),2)</f>
        <v>0.5</v>
      </c>
      <c r="D18" s="138">
        <f>1-C18</f>
        <v>0.5</v>
      </c>
      <c r="E18" s="3452" t="s">
        <v>2812</v>
      </c>
      <c r="F18" s="3453"/>
      <c r="G18" s="3453"/>
      <c r="H18" s="3453"/>
      <c r="I18" s="3453"/>
      <c r="K18" s="308" t="s">
        <v>1915</v>
      </c>
      <c r="L18" s="308">
        <f>IF(C1="",'数据-汇总表'!E3,SUMIF(项目类型,C1,'数据-汇总表'!E17:E26)+SUMIF(项目类型,C1,'数据-汇总表'!I17:I26))</f>
        <v>101504.34</v>
      </c>
      <c r="M18" s="308">
        <f>IF(C1="",'数据-汇总表'!E3,SUMIF(项目类型,C1,'数据-汇总表'!E17:E26))</f>
        <v>101504.34</v>
      </c>
    </row>
    <row r="19" spans="1:36" ht="15">
      <c r="A19" s="1916" t="s">
        <v>1916</v>
      </c>
      <c r="B19" s="1917" t="s">
        <v>1917</v>
      </c>
      <c r="C19" s="139">
        <f ca="1">SUMIF(INDIRECT("'"&amp;C4&amp;"'"&amp;"!A:A"),结果表!B19,INDIRECT("'"&amp;C4&amp;"'"&amp;"!B:B"))</f>
        <v>214150</v>
      </c>
      <c r="D19" s="140">
        <f ca="1">SUMIF(INDIRECT("'"&amp;D4&amp;"'"&amp;"!A:A"),结果表!B19,INDIRECT("'"&amp;D4&amp;"'"&amp;"!B:B"))</f>
        <v>209717</v>
      </c>
      <c r="E19" s="1916" t="s">
        <v>1918</v>
      </c>
      <c r="F19" s="1917" t="s">
        <v>1917</v>
      </c>
      <c r="G19" s="141">
        <f ca="1">ROUND(C19*$C$18+D19*$D$18,0)</f>
        <v>211934</v>
      </c>
      <c r="H19" s="1918" t="s">
        <v>1919</v>
      </c>
      <c r="I19" s="134"/>
      <c r="K19" s="308" t="s">
        <v>1920</v>
      </c>
      <c r="L19" s="308">
        <f>IF(C1="",'数据-汇总表'!D3,SUMIF(项目类型,C1,'数据-汇总表'!D17:D26)+SUMIF(项目类型,C1,'数据-汇总表'!H17:H27))</f>
        <v>25666.1</v>
      </c>
      <c r="M19" s="308">
        <f>IF(C1="",'数据-汇总表'!D3,SUMIF(项目类型,C1,'数据-汇总表'!D17:D26))</f>
        <v>25666.1</v>
      </c>
    </row>
    <row r="20" spans="1:36" ht="15">
      <c r="A20" s="1919"/>
      <c r="B20" s="1157" t="s">
        <v>1921</v>
      </c>
      <c r="C20" s="142">
        <f ca="1">SUMIF(INDIRECT("'"&amp;C4&amp;"'"&amp;"!A:A"),结果表!B20,INDIRECT("'"&amp;C4&amp;"'"&amp;"!B:B"))</f>
        <v>21098</v>
      </c>
      <c r="D20" s="143">
        <f ca="1">SUMIF(INDIRECT("'"&amp;D4&amp;"'"&amp;"!A:A"),结果表!B20,INDIRECT("'"&amp;D4&amp;"'"&amp;"!B:B"))</f>
        <v>20855</v>
      </c>
      <c r="E20" s="1919"/>
      <c r="F20" s="1157" t="s">
        <v>1921</v>
      </c>
      <c r="G20" s="144">
        <f ca="1">ROUND(C20*$C$18+D20*$D$18,0)</f>
        <v>20977</v>
      </c>
      <c r="H20" s="917" t="s">
        <v>1922</v>
      </c>
      <c r="I20" s="134"/>
    </row>
    <row r="21" spans="1:36" ht="15" customHeight="1" thickBot="1">
      <c r="A21" s="937"/>
      <c r="B21" s="1920" t="s">
        <v>1923</v>
      </c>
      <c r="C21" s="728">
        <f ca="1">ROUND(C19*10000/L19,0)</f>
        <v>83437</v>
      </c>
      <c r="D21" s="729">
        <f ca="1">ROUND(D19*10000/L19,0)</f>
        <v>81710</v>
      </c>
      <c r="E21" s="937"/>
      <c r="F21" s="1920" t="s">
        <v>1923</v>
      </c>
      <c r="G21" s="145">
        <f ca="1">ROUND(G19*10000/L19,0)</f>
        <v>82574</v>
      </c>
      <c r="H21" s="1921" t="s">
        <v>1922</v>
      </c>
      <c r="I21" s="134"/>
    </row>
    <row r="22" spans="1:36" ht="15" thickBot="1">
      <c r="A22" s="1843" t="s">
        <v>1924</v>
      </c>
      <c r="B22" s="1922"/>
      <c r="C22" s="1923"/>
      <c r="D22" s="730">
        <f ca="1">IF(C19&lt;D19,D19/C19-1,C19/D19-1)</f>
        <v>2.1138009794151147E-2</v>
      </c>
      <c r="E22" s="134"/>
      <c r="F22" s="134"/>
      <c r="G22" s="134"/>
      <c r="H22" s="134"/>
      <c r="I22" s="134"/>
    </row>
    <row r="23" spans="1:36" ht="13.5" thickBot="1">
      <c r="A23" s="1902"/>
      <c r="B23" s="1902"/>
      <c r="C23" s="1902"/>
      <c r="D23" s="1902"/>
      <c r="E23" s="134"/>
      <c r="F23" s="134"/>
      <c r="G23" s="134"/>
      <c r="H23" s="134"/>
      <c r="I23" s="134"/>
    </row>
    <row r="24" spans="1:36" ht="14.25">
      <c r="A24" s="3436" t="s">
        <v>1925</v>
      </c>
      <c r="B24" s="1917" t="s">
        <v>1917</v>
      </c>
      <c r="C24" s="141">
        <f>IF(B30=0,0,D30)</f>
        <v>0</v>
      </c>
      <c r="D24" s="1924"/>
      <c r="E24" s="134"/>
      <c r="F24" s="134"/>
      <c r="G24" s="134"/>
      <c r="H24" s="134"/>
      <c r="I24" s="134"/>
    </row>
    <row r="25" spans="1:36" ht="14.25">
      <c r="A25" s="3437"/>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2813</v>
      </c>
      <c r="F30" s="134"/>
      <c r="G30" s="134"/>
      <c r="H30" s="134"/>
      <c r="I30" s="134"/>
    </row>
    <row r="31" spans="1:36" s="2496" customFormat="1" ht="26.45" customHeight="1" thickTop="1" thickBot="1">
      <c r="A31" s="2491"/>
      <c r="B31" s="2492"/>
      <c r="C31" s="2492"/>
      <c r="D31" s="2492"/>
      <c r="E31" s="2492"/>
      <c r="F31" s="2492"/>
      <c r="G31" s="2492"/>
      <c r="H31" s="2492"/>
      <c r="I31" s="2493" t="s">
        <v>2814</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20977</v>
      </c>
      <c r="D32" s="1930"/>
      <c r="E32" s="134"/>
      <c r="F32" s="134"/>
      <c r="G32" s="134"/>
      <c r="H32" s="134"/>
      <c r="I32" s="134"/>
    </row>
    <row r="33" spans="1:15" ht="15">
      <c r="A33" s="894" t="s">
        <v>1932</v>
      </c>
      <c r="B33" s="1931"/>
      <c r="C33" s="1932"/>
      <c r="D33" s="1933"/>
      <c r="E33" s="1934" t="s">
        <v>1933</v>
      </c>
      <c r="F33" s="1935" t="str">
        <f>IF(D32="楼面单价","取值（单价）","取值（总价）")</f>
        <v>取值（总价）</v>
      </c>
      <c r="G33" s="134"/>
      <c r="H33" s="134"/>
      <c r="I33" s="134"/>
    </row>
    <row r="34" spans="1:15" ht="15">
      <c r="A34" s="1936"/>
      <c r="B34" s="1937" t="s">
        <v>1934</v>
      </c>
      <c r="C34" s="153" t="e">
        <f ca="1">IF(C33="自定义",F34,C32-C35)</f>
        <v>#REF!</v>
      </c>
      <c r="D34" s="970" t="e">
        <f ca="1">IF(C33="自定义",ROUND(C34/C32,3),IF(C33="收益比率",SUMIF(INDIRECT("'"&amp;D33&amp;"'"&amp;"!b:b"),"土地收益比率",INDIRECT("'"&amp;D33&amp;"'"&amp;"!c:c")),SUMIF(INDIRECT("'"&amp;D33&amp;"'"&amp;"!b:b"),"土地成本比率",INDIRECT("'"&amp;D33&amp;"'"&amp;"!c:c"))))</f>
        <v>#REF!</v>
      </c>
      <c r="E34" s="1938" t="s">
        <v>1935</v>
      </c>
      <c r="F34" s="1469"/>
      <c r="G34" s="134"/>
      <c r="H34" s="134"/>
      <c r="I34" s="134"/>
    </row>
    <row r="35" spans="1:15" ht="15.75" thickBot="1">
      <c r="A35" s="1939"/>
      <c r="B35" s="1940" t="s">
        <v>1936</v>
      </c>
      <c r="C35" s="1304" t="e">
        <f ca="1">IF(C33="自定义",F35,ROUND(C32*D35,0))</f>
        <v>#REF!</v>
      </c>
      <c r="D35" s="1305" t="e">
        <f ca="1">IF(C33="自定义",ROUND(C35/C32,3),IF(C33="收益比率",SUMIF(INDIRECT("'"&amp;D33&amp;"'"&amp;"!b:b"),"建筑物收益比率",INDIRECT("'"&amp;D33&amp;"'"&amp;"!c:c")),SUMIF(INDIRECT("'"&amp;D33&amp;"'"&amp;"!b:b"),"建筑物成本比率",INDIRECT("'"&amp;D33&amp;"'"&amp;"!c:c"))))</f>
        <v>#REF!</v>
      </c>
      <c r="E35" s="1941" t="s">
        <v>1937</v>
      </c>
      <c r="F35" s="159"/>
      <c r="G35" s="134"/>
      <c r="H35" s="134"/>
      <c r="I35" s="134"/>
    </row>
    <row r="36" spans="1:15" ht="15.75" thickBot="1">
      <c r="A36" s="3456" t="s">
        <v>1938</v>
      </c>
      <c r="B36" s="1942" t="s">
        <v>1939</v>
      </c>
      <c r="C36" s="150"/>
      <c r="D36" s="1943"/>
      <c r="E36" s="1944"/>
      <c r="F36" s="1945"/>
      <c r="G36" s="134"/>
      <c r="H36" s="134"/>
      <c r="I36" s="134"/>
    </row>
    <row r="37" spans="1:15" ht="15.75" thickBot="1">
      <c r="A37" s="3457"/>
      <c r="B37" s="1829" t="s">
        <v>1940</v>
      </c>
      <c r="C37" s="152"/>
      <c r="D37" s="1273"/>
      <c r="E37" s="1273"/>
      <c r="F37" s="1945"/>
      <c r="G37" s="134"/>
      <c r="H37" s="134"/>
      <c r="I37" s="134"/>
    </row>
    <row r="38" spans="1:15" ht="15.75" thickBot="1">
      <c r="A38" s="3458"/>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33" t="s">
        <v>1952</v>
      </c>
      <c r="B45" s="3434"/>
      <c r="C45" s="3435"/>
      <c r="D45" s="160" t="e">
        <f ca="1">ROUND(H101*F45,0)</f>
        <v>#REF!</v>
      </c>
      <c r="E45" s="161" t="s">
        <v>1953</v>
      </c>
      <c r="F45" s="162">
        <v>1</v>
      </c>
      <c r="G45" s="163" t="s">
        <v>1954</v>
      </c>
      <c r="H45" s="134"/>
      <c r="I45" s="134"/>
      <c r="J45" s="3514" t="s">
        <v>1955</v>
      </c>
      <c r="K45" s="3514"/>
      <c r="L45" s="3514"/>
      <c r="M45" s="3514"/>
      <c r="N45" s="3514"/>
      <c r="O45" s="3514"/>
    </row>
    <row r="46" spans="1:15" ht="14.25" customHeight="1">
      <c r="A46" s="3430" t="s">
        <v>1956</v>
      </c>
      <c r="B46" s="3431"/>
      <c r="C46" s="3431"/>
      <c r="D46" s="3431"/>
      <c r="E46" s="3431"/>
      <c r="F46" s="3431"/>
      <c r="G46" s="3432"/>
      <c r="H46" s="1961"/>
      <c r="I46" s="164"/>
      <c r="J46" s="2718">
        <v>1</v>
      </c>
      <c r="K46" s="3495" t="s">
        <v>1957</v>
      </c>
      <c r="L46" s="3495"/>
      <c r="M46" s="3515"/>
      <c r="N46" s="3515"/>
      <c r="O46" s="3515"/>
    </row>
    <row r="47" spans="1:15" ht="12" customHeight="1">
      <c r="A47" s="165" t="s">
        <v>1958</v>
      </c>
      <c r="B47" s="166"/>
      <c r="C47" s="167"/>
      <c r="D47" s="1219" t="s">
        <v>1959</v>
      </c>
      <c r="E47" s="308" t="s">
        <v>1960</v>
      </c>
      <c r="F47" s="168" t="s">
        <v>1961</v>
      </c>
      <c r="G47" s="2741" t="s">
        <v>1962</v>
      </c>
      <c r="H47" s="2742"/>
      <c r="I47" s="164"/>
      <c r="J47" s="2718">
        <v>2</v>
      </c>
      <c r="K47" s="3495" t="s">
        <v>1963</v>
      </c>
      <c r="L47" s="3495"/>
      <c r="M47" s="3516">
        <f>'数据-取费表'!B2</f>
        <v>44567</v>
      </c>
      <c r="N47" s="3516"/>
      <c r="O47" s="3516"/>
    </row>
    <row r="48" spans="1:15" ht="25.5">
      <c r="A48" s="3461" t="s">
        <v>1964</v>
      </c>
      <c r="B48" s="3444"/>
      <c r="C48" s="3444"/>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1965</v>
      </c>
      <c r="H48" s="2745"/>
      <c r="I48" s="1961"/>
      <c r="J48" s="2718">
        <v>3</v>
      </c>
      <c r="K48" s="3495" t="s">
        <v>1966</v>
      </c>
      <c r="L48" s="3495"/>
      <c r="M48" s="3517" t="e">
        <f ca="1">H101</f>
        <v>#REF!</v>
      </c>
      <c r="N48" s="3517"/>
      <c r="O48" s="3517"/>
    </row>
    <row r="49" spans="1:35" ht="25.5" customHeight="1">
      <c r="A49" s="2525" t="s">
        <v>1967</v>
      </c>
      <c r="B49" s="3428" t="s">
        <v>1968</v>
      </c>
      <c r="C49" s="3428"/>
      <c r="D49" s="1744">
        <v>0</v>
      </c>
      <c r="E49" s="330" t="s">
        <v>1969</v>
      </c>
      <c r="F49" s="2619" t="s">
        <v>34</v>
      </c>
      <c r="G49" s="3501"/>
      <c r="H49" s="2497" t="s">
        <v>2815</v>
      </c>
      <c r="I49" s="2498"/>
      <c r="J49" s="2718">
        <v>4</v>
      </c>
      <c r="K49" s="3495" t="str">
        <f>IF(项目基本情况!E8="房地产抵押价值","房地产抵押价值","抵押担保权已注销时的房地产抵押价值")</f>
        <v>房地产抵押价值</v>
      </c>
      <c r="L49" s="3495"/>
      <c r="M49" s="3517" t="str">
        <f ca="1">IF(项目基本情况!E8="房地产抵押价值",H107,H109)</f>
        <v>——</v>
      </c>
      <c r="N49" s="3517"/>
      <c r="O49" s="3517"/>
    </row>
    <row r="50" spans="1:35" ht="25.5" customHeight="1">
      <c r="A50" s="2746"/>
      <c r="B50" s="3428" t="s">
        <v>1970</v>
      </c>
      <c r="C50" s="3428"/>
      <c r="D50" s="2747"/>
      <c r="E50" s="338"/>
      <c r="F50" s="2619"/>
      <c r="G50" s="3502"/>
      <c r="H50" s="2499" t="s">
        <v>2816</v>
      </c>
      <c r="I50" s="2498"/>
      <c r="J50" s="3514" t="s">
        <v>1971</v>
      </c>
      <c r="K50" s="3514"/>
      <c r="L50" s="3514"/>
      <c r="M50" s="3514"/>
      <c r="N50" s="3514"/>
      <c r="O50" s="3514"/>
    </row>
    <row r="51" spans="1:35" ht="20.45" customHeight="1">
      <c r="A51" s="2748"/>
      <c r="B51" s="3428" t="s">
        <v>1972</v>
      </c>
      <c r="C51" s="3428"/>
      <c r="D51" s="1219"/>
      <c r="E51" s="333"/>
      <c r="F51" s="2619"/>
      <c r="G51" s="3503"/>
      <c r="H51" s="2499" t="s">
        <v>2817</v>
      </c>
      <c r="I51" s="2498"/>
      <c r="J51" s="2719" t="s">
        <v>1973</v>
      </c>
      <c r="K51" s="3495" t="s">
        <v>1974</v>
      </c>
      <c r="L51" s="3495"/>
      <c r="M51" s="2719" t="s">
        <v>1975</v>
      </c>
      <c r="N51" s="2719" t="s">
        <v>1976</v>
      </c>
      <c r="O51" s="2719" t="s">
        <v>1977</v>
      </c>
    </row>
    <row r="52" spans="1:35" ht="24" customHeight="1">
      <c r="A52" s="2527" t="s">
        <v>1978</v>
      </c>
      <c r="B52" s="3428" t="s">
        <v>1979</v>
      </c>
      <c r="C52" s="3428"/>
      <c r="D52" s="1219" t="e">
        <f ca="1">ROUND(D45*'数据-取费表'!B41/(1+'数据-取费表'!C42),0)</f>
        <v>#REF!</v>
      </c>
      <c r="E52" s="2526" t="s">
        <v>1980</v>
      </c>
      <c r="F52" s="2749">
        <f>'数据-取费表'!B41</f>
        <v>5.5000000000000007E-2</v>
      </c>
      <c r="G52" s="2750"/>
      <c r="H52" s="2739"/>
      <c r="I52" s="1962"/>
      <c r="J52" s="2718">
        <v>1</v>
      </c>
      <c r="K52" s="3496" t="s">
        <v>1981</v>
      </c>
      <c r="L52" s="3496"/>
      <c r="M52" s="2720" t="b">
        <f>D48</f>
        <v>0</v>
      </c>
      <c r="N52" s="2718" t="str">
        <f>E48</f>
        <v>销售额×税（费）率</v>
      </c>
      <c r="O52" s="2721">
        <f>F48</f>
        <v>5.5000000000000007E-2</v>
      </c>
    </row>
    <row r="53" spans="1:35" ht="12" customHeight="1">
      <c r="A53" s="2527" t="s">
        <v>1982</v>
      </c>
      <c r="B53" s="3454" t="s">
        <v>2976</v>
      </c>
      <c r="C53" s="3455"/>
      <c r="D53" s="1219" t="e">
        <f ca="1">ROUND(D45*'数据-取费表'!B41/(1+'数据-取费表'!C42),0)</f>
        <v>#REF!</v>
      </c>
      <c r="E53" s="2526" t="s">
        <v>1980</v>
      </c>
      <c r="F53" s="2749">
        <f>'数据-取费表'!B41</f>
        <v>5.5000000000000007E-2</v>
      </c>
      <c r="G53" s="2750"/>
      <c r="H53" s="2739"/>
      <c r="I53" s="1962"/>
      <c r="J53" s="2718">
        <v>2</v>
      </c>
      <c r="K53" s="3496" t="s">
        <v>1983</v>
      </c>
      <c r="L53" s="3496"/>
      <c r="M53" s="2720" t="e">
        <f t="shared" ref="M53:O54" ca="1" si="0">D55</f>
        <v>#REF!</v>
      </c>
      <c r="N53" s="2718" t="str">
        <f t="shared" si="0"/>
        <v>销售额×税（费）率</v>
      </c>
      <c r="O53" s="2721" t="str">
        <f t="shared" si="0"/>
        <v>免征</v>
      </c>
    </row>
    <row r="54" spans="1:35" ht="12" customHeight="1">
      <c r="A54" s="2527" t="s">
        <v>1984</v>
      </c>
      <c r="B54" s="3454" t="s">
        <v>2977</v>
      </c>
      <c r="C54" s="3455"/>
      <c r="D54" s="1219" t="e">
        <f ca="1">C68</f>
        <v>#REF!</v>
      </c>
      <c r="E54" s="333" t="s">
        <v>1985</v>
      </c>
      <c r="F54" s="2749">
        <f>'数据-取费表'!B41</f>
        <v>5.5000000000000007E-2</v>
      </c>
      <c r="G54" s="2750"/>
      <c r="H54" s="2751"/>
      <c r="I54" s="1962"/>
      <c r="J54" s="2718">
        <v>3</v>
      </c>
      <c r="K54" s="3496" t="s">
        <v>1986</v>
      </c>
      <c r="L54" s="3496"/>
      <c r="M54" s="2720" t="e">
        <f t="shared" ca="1" si="0"/>
        <v>#REF!</v>
      </c>
      <c r="N54" s="2718" t="str">
        <f t="shared" si="0"/>
        <v>增值额×税（费）率</v>
      </c>
      <c r="O54" s="2722" t="str">
        <f t="shared" si="0"/>
        <v>免征</v>
      </c>
    </row>
    <row r="55" spans="1:35" ht="24" customHeight="1">
      <c r="A55" s="3443" t="s">
        <v>1987</v>
      </c>
      <c r="B55" s="3444"/>
      <c r="C55" s="3444"/>
      <c r="D55" s="2516" t="e">
        <f ca="1">IF(H55="个人住宅",0,ROUND(D45*I55,0))</f>
        <v>#REF!</v>
      </c>
      <c r="E55" s="2526" t="s">
        <v>1988</v>
      </c>
      <c r="F55" s="2749" t="str">
        <f>IF(H55="正常",I55,"免征")</f>
        <v>免征</v>
      </c>
      <c r="G55" s="2750"/>
      <c r="H55" s="2745"/>
      <c r="I55" s="170">
        <f>'数据-取费表'!B49</f>
        <v>5.0000000000000001E-4</v>
      </c>
      <c r="J55" s="2718">
        <f>IF(H59="非个人房产","",4)</f>
        <v>4</v>
      </c>
      <c r="K55" s="3496" t="str">
        <f>IF(H59="非个人房产","——","个人所得税")</f>
        <v>个人所得税</v>
      </c>
      <c r="L55" s="3496"/>
      <c r="M55" s="2723" t="e">
        <f ca="1">D59</f>
        <v>#REF!</v>
      </c>
      <c r="N55" s="2197" t="str">
        <f>E59</f>
        <v>差额计税</v>
      </c>
      <c r="O55" s="2724">
        <f>F59</f>
        <v>0.01</v>
      </c>
    </row>
    <row r="56" spans="1:35" ht="24.75">
      <c r="A56" s="3443" t="s">
        <v>1989</v>
      </c>
      <c r="B56" s="3444"/>
      <c r="C56" s="3444"/>
      <c r="D56" s="2516" t="e">
        <f ca="1">IF(H56="个人住宅",D57,D58)</f>
        <v>#REF!</v>
      </c>
      <c r="E56" s="2526" t="s">
        <v>1990</v>
      </c>
      <c r="F56" s="2749" t="str">
        <f>IF(H56="正常",F58,"免征")</f>
        <v>免征</v>
      </c>
      <c r="G56" s="2752" t="s">
        <v>1991</v>
      </c>
      <c r="H56" s="2753"/>
      <c r="I56" s="1963"/>
      <c r="J56" s="2718" t="str">
        <f>IF(项目基本情况!K6="上海银行",IF(J55="",4,J55+1),"")</f>
        <v/>
      </c>
      <c r="K56" s="3519" t="str">
        <f>IF(项目基本情况!K6="上海银行","其他处置费用","")</f>
        <v/>
      </c>
      <c r="L56" s="3520"/>
      <c r="M56" s="2720" t="str">
        <f>IF(项目基本情况!K6="上海银行",M69,"")</f>
        <v/>
      </c>
      <c r="N56" s="3519" t="str">
        <f>IF(项目基本情况!K6="上海银行","包含处置中涉及的律师、诉讼、拍卖、评估等费用","")</f>
        <v/>
      </c>
      <c r="O56" s="3522"/>
    </row>
    <row r="57" spans="1:35" ht="12.75">
      <c r="A57" s="2527" t="s">
        <v>1967</v>
      </c>
      <c r="B57" s="3454" t="s">
        <v>1992</v>
      </c>
      <c r="C57" s="3455"/>
      <c r="D57" s="1744">
        <v>0</v>
      </c>
      <c r="E57" s="330" t="s">
        <v>1969</v>
      </c>
      <c r="F57" s="308"/>
      <c r="G57" s="2750"/>
      <c r="H57" s="2754"/>
      <c r="I57" s="1963"/>
      <c r="J57" s="3496">
        <f>IF(AND(J55="",J56=""),4,IF(项目基本情况!K6="上海银行",结果表!J56+1,结果表!J55+1))</f>
        <v>5</v>
      </c>
      <c r="K57" s="3496" t="s">
        <v>1993</v>
      </c>
      <c r="L57" s="2725" t="s">
        <v>1994</v>
      </c>
      <c r="M57" s="2726"/>
      <c r="N57" s="2727">
        <f ca="1">SUMIF(M52:M56,"&lt;9e307")</f>
        <v>0</v>
      </c>
      <c r="O57" s="2728"/>
      <c r="P57" s="2888" t="e">
        <f ca="1">N57/M49</f>
        <v>#VALUE!</v>
      </c>
    </row>
    <row r="58" spans="1:35" ht="24.75">
      <c r="A58" s="2527" t="s">
        <v>1978</v>
      </c>
      <c r="B58" s="3454" t="s">
        <v>1995</v>
      </c>
      <c r="C58" s="3428"/>
      <c r="D58" s="2516" t="e">
        <f ca="1">IF(H58="转让取得",C81,C97)</f>
        <v>#REF!</v>
      </c>
      <c r="E58" s="2526" t="s">
        <v>1990</v>
      </c>
      <c r="F58" s="308" t="s">
        <v>34</v>
      </c>
      <c r="G58" s="2750"/>
      <c r="H58" s="2753"/>
      <c r="I58" s="1963"/>
      <c r="J58" s="3496"/>
      <c r="K58" s="3496"/>
      <c r="L58" s="2725" t="s">
        <v>1996</v>
      </c>
      <c r="M58" s="2729"/>
      <c r="N58" s="2730" t="str">
        <f ca="1">NUMBERSTRING(INT(N57*10000),2)&amp;"元整"</f>
        <v>零元整</v>
      </c>
      <c r="O58" s="2731"/>
    </row>
    <row r="59" spans="1:35" ht="24.75" thickBot="1">
      <c r="A59" s="3499" t="s">
        <v>1997</v>
      </c>
      <c r="B59" s="3500"/>
      <c r="C59" s="3500"/>
      <c r="D59" s="2755" t="e">
        <f ca="1">IF(H59="非个人房产","——",IF(H59="个人住宅（满五唯一有凭证）",0,IF(H59="个人其他（无凭证）",ROUND(D45*F59,0),ROUND(C67*F59,0))))</f>
        <v>#REF!</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2818</v>
      </c>
      <c r="J59" s="3497">
        <f>J57+1</f>
        <v>6</v>
      </c>
      <c r="K59" s="3496" t="s">
        <v>1998</v>
      </c>
      <c r="L59" s="2718" t="s">
        <v>1994</v>
      </c>
      <c r="M59" s="2732"/>
      <c r="N59" s="2733" t="e">
        <f ca="1">M49-N57</f>
        <v>#VALUE!</v>
      </c>
      <c r="O59" s="2734"/>
    </row>
    <row r="60" spans="1:35" ht="12" customHeight="1">
      <c r="A60" s="1964"/>
      <c r="B60" s="1902"/>
      <c r="C60" s="1902"/>
      <c r="D60" s="1902"/>
      <c r="E60" s="1732"/>
      <c r="F60" s="1963"/>
      <c r="G60" s="1963"/>
      <c r="H60" s="1965"/>
      <c r="I60" s="134"/>
      <c r="J60" s="3498"/>
      <c r="K60" s="3496"/>
      <c r="L60" s="2725" t="s">
        <v>1996</v>
      </c>
      <c r="M60" s="2729"/>
      <c r="N60" s="2730" t="e">
        <f ca="1">NUMBERSTRING(INT(N59*10000),2)&amp;"元整"</f>
        <v>#VALUE!</v>
      </c>
      <c r="O60" s="2731"/>
    </row>
    <row r="61" spans="1:35" ht="13.5" thickBot="1">
      <c r="A61" s="3441" t="s">
        <v>1999</v>
      </c>
      <c r="B61" s="3441"/>
      <c r="C61" s="3441"/>
      <c r="D61" s="3441"/>
      <c r="E61" s="3441"/>
      <c r="F61" s="1963"/>
      <c r="G61" s="1963"/>
      <c r="H61" s="1965"/>
      <c r="I61" s="134"/>
      <c r="J61" s="2718">
        <f>J59+1</f>
        <v>7</v>
      </c>
      <c r="K61" s="3496" t="s">
        <v>2000</v>
      </c>
      <c r="L61" s="3496"/>
      <c r="M61" s="2735"/>
      <c r="N61" s="2736" t="e">
        <f ca="1">ROUND(N59*10000/'数据-汇总表'!E3,0)</f>
        <v>#VALUE!</v>
      </c>
      <c r="O61" s="2737"/>
    </row>
    <row r="62" spans="1:35" ht="12.75">
      <c r="A62" s="3459" t="s">
        <v>2001</v>
      </c>
      <c r="B62" s="3460"/>
      <c r="C62" s="2178"/>
      <c r="D62" s="2178" t="s">
        <v>2002</v>
      </c>
      <c r="E62" s="171" t="s">
        <v>2003</v>
      </c>
      <c r="F62" s="1963"/>
      <c r="G62" s="1963"/>
      <c r="H62" s="1965"/>
      <c r="I62" s="134"/>
    </row>
    <row r="63" spans="1:35" ht="12.75">
      <c r="A63" s="178" t="s">
        <v>775</v>
      </c>
      <c r="B63" s="172" t="s">
        <v>2004</v>
      </c>
      <c r="C63" s="2759" t="e">
        <f ca="1">ROUND((C64+C65)/(1+'数据-取费表'!C42),0)</f>
        <v>#REF!</v>
      </c>
      <c r="D63" s="172"/>
      <c r="E63" s="173"/>
      <c r="F63" s="1963"/>
      <c r="G63" s="1963"/>
      <c r="H63" s="1965"/>
      <c r="I63" s="134"/>
      <c r="J63" s="3521" t="s">
        <v>2005</v>
      </c>
      <c r="K63" s="1471" t="s">
        <v>2006</v>
      </c>
      <c r="L63" s="1471" t="e">
        <f ca="1">IF(M49&gt;10000,M49*0.5%,IF(AND(M49&gt;1000,M49&lt;=10000),M49*1%,IF(AND(M49&gt;100,M49&lt;=1000),M49*3%,IF(AND(M49&gt;10,M49&lt;=100),M49*5%,M49*8%))))</f>
        <v>#VALUE!</v>
      </c>
      <c r="M63" s="308" t="e">
        <f ca="1">ROUND(L63,1)</f>
        <v>#VALUE!</v>
      </c>
      <c r="N63" s="2738"/>
      <c r="Z63" s="1907"/>
      <c r="AI63" s="1908"/>
    </row>
    <row r="64" spans="1:35" ht="14.25" customHeight="1">
      <c r="A64" s="174" t="s">
        <v>770</v>
      </c>
      <c r="B64" s="175" t="s">
        <v>2007</v>
      </c>
      <c r="C64" s="2760" t="e">
        <f ca="1">D45</f>
        <v>#REF!</v>
      </c>
      <c r="D64" s="175" t="s">
        <v>32</v>
      </c>
      <c r="E64" s="177"/>
      <c r="F64" s="1963"/>
      <c r="G64" s="1963"/>
      <c r="H64" s="1965"/>
      <c r="I64" s="134"/>
      <c r="J64" s="3521"/>
      <c r="K64" s="1471" t="s">
        <v>2008</v>
      </c>
      <c r="L64" s="1471"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39" t="s">
        <v>2009</v>
      </c>
      <c r="Z64" s="1907"/>
      <c r="AI64" s="1908"/>
    </row>
    <row r="65" spans="1:35" ht="14.25" customHeight="1">
      <c r="A65" s="174" t="s">
        <v>771</v>
      </c>
      <c r="B65" s="175" t="s">
        <v>2010</v>
      </c>
      <c r="C65" s="2761"/>
      <c r="D65" s="175"/>
      <c r="E65" s="177"/>
      <c r="F65" s="1963"/>
      <c r="G65" s="1963"/>
      <c r="H65" s="1965"/>
      <c r="I65" s="134"/>
      <c r="J65" s="3521"/>
      <c r="K65" s="1471" t="s">
        <v>2011</v>
      </c>
      <c r="L65" s="1471" t="e">
        <f ca="1">IF(M49&gt;1000,M49*0.1%,IF(AND(M49&gt;500,M49&lt;=1000),M49*0.5%,IF(AND(M49&gt;50,M49&lt;=500),M49*1%,IF(AND(M49&gt;1,M49&lt;=50),M49*1.5%))))</f>
        <v>#VALUE!</v>
      </c>
      <c r="M65" s="308" t="e">
        <f t="shared" ca="1" si="1"/>
        <v>#VALUE!</v>
      </c>
      <c r="N65" s="2739" t="s">
        <v>2009</v>
      </c>
      <c r="Z65" s="1907"/>
      <c r="AI65" s="1908"/>
    </row>
    <row r="66" spans="1:35" ht="14.25" customHeight="1">
      <c r="A66" s="178" t="s">
        <v>772</v>
      </c>
      <c r="B66" s="179" t="s">
        <v>2012</v>
      </c>
      <c r="C66" s="2762"/>
      <c r="D66" s="179" t="s">
        <v>32</v>
      </c>
      <c r="E66" s="1478" t="s">
        <v>1277</v>
      </c>
      <c r="F66" s="1963"/>
      <c r="G66" s="1963"/>
      <c r="H66" s="1965"/>
      <c r="I66" s="134"/>
      <c r="J66" s="3521"/>
      <c r="K66" s="1471" t="s">
        <v>2013</v>
      </c>
      <c r="L66" s="1471" t="e">
        <f ca="1">M49*0.5%</f>
        <v>#VALUE!</v>
      </c>
      <c r="M66" s="308" t="e">
        <f ca="1">IF(L66&gt;0.5,0.5,ROUND(L66,0))</f>
        <v>#VALUE!</v>
      </c>
      <c r="N66" s="2739" t="s">
        <v>2014</v>
      </c>
      <c r="Z66" s="1907"/>
      <c r="AI66" s="1908"/>
    </row>
    <row r="67" spans="1:35" ht="14.25" customHeight="1">
      <c r="A67" s="178" t="s">
        <v>773</v>
      </c>
      <c r="B67" s="179" t="s">
        <v>2015</v>
      </c>
      <c r="C67" s="2763" t="e">
        <f ca="1">C63-C66</f>
        <v>#REF!</v>
      </c>
      <c r="D67" s="175" t="s">
        <v>32</v>
      </c>
      <c r="E67" s="177"/>
      <c r="F67" s="1963"/>
      <c r="G67" s="1963"/>
      <c r="H67" s="1965"/>
      <c r="I67" s="134"/>
      <c r="J67" s="3521"/>
      <c r="K67" s="1471" t="s">
        <v>2016</v>
      </c>
      <c r="L67" s="1471"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38"/>
      <c r="Z67" s="1907"/>
      <c r="AI67" s="1908"/>
    </row>
    <row r="68" spans="1:35" ht="14.25" customHeight="1" thickBot="1">
      <c r="A68" s="181" t="s">
        <v>774</v>
      </c>
      <c r="B68" s="182" t="s">
        <v>2017</v>
      </c>
      <c r="C68" s="2764" t="e">
        <f ca="1">IF(C67&lt;=0,0,ROUND(C67*D68,0))</f>
        <v>#REF!</v>
      </c>
      <c r="D68" s="2765">
        <f>'数据-取费表'!B41</f>
        <v>5.5000000000000007E-2</v>
      </c>
      <c r="E68" s="184"/>
      <c r="F68" s="1963"/>
      <c r="G68" s="1963"/>
      <c r="H68" s="1965"/>
      <c r="I68" s="134"/>
      <c r="J68" s="3521"/>
      <c r="K68" s="1471" t="s">
        <v>2018</v>
      </c>
      <c r="L68" s="1471" t="e">
        <f ca="1">IF(M49&gt;10000,M49*0.5%,IF(AND(M49&gt;5000,M49&lt;=10000),M49*1%,IF(AND(M49&gt;1000,M49&lt;=5000),M49*2%,IF(AND(M49&gt;200,M49&lt;=1000),M49*3%,M49*5%))))</f>
        <v>#VALUE!</v>
      </c>
      <c r="M68" s="308" t="e">
        <f ca="1">ROUND(L68,1)</f>
        <v>#VALUE!</v>
      </c>
      <c r="N68" s="2738"/>
      <c r="Z68" s="1907"/>
      <c r="AI68" s="1908"/>
    </row>
    <row r="69" spans="1:35" s="1927" customFormat="1" ht="16.5" customHeight="1">
      <c r="A69" s="1966"/>
      <c r="B69" s="1967"/>
      <c r="C69" s="1968"/>
      <c r="D69" s="1969"/>
      <c r="E69" s="1970"/>
      <c r="F69" s="1732"/>
      <c r="G69" s="1732"/>
      <c r="H69" s="1731"/>
      <c r="I69" s="1902"/>
      <c r="J69" s="3521"/>
      <c r="K69" s="1471" t="s">
        <v>2019</v>
      </c>
      <c r="L69" s="1471"/>
      <c r="M69" s="308" t="e">
        <f ca="1">ROUND(SUM(M63:M68),0)</f>
        <v>#VALUE!</v>
      </c>
      <c r="N69" s="2740" t="e">
        <f ca="1">M69/M49</f>
        <v>#VALUE!</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480" t="s">
        <v>2020</v>
      </c>
      <c r="B70" s="3481"/>
      <c r="C70" s="3481"/>
      <c r="D70" s="3481"/>
      <c r="E70" s="3481"/>
      <c r="F70" s="3481"/>
      <c r="G70" s="3481"/>
      <c r="H70" s="3481"/>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459" t="s">
        <v>2001</v>
      </c>
      <c r="B71" s="3460"/>
      <c r="C71" s="2178"/>
      <c r="D71" s="2178"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t="e">
        <f ca="1">ROUND(D45/(1+'数据-取费表'!C42),0)</f>
        <v>#REF!</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t="e">
        <f ca="1">C74+C78</f>
        <v>#REF!</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454" t="s">
        <v>2028</v>
      </c>
      <c r="F76" s="3428"/>
      <c r="G76" s="3428"/>
      <c r="H76" s="3479"/>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t="e">
        <f ca="1">ROUND(D45*D78/(1+'数据-取费表'!C42),0)</f>
        <v>#REF!</v>
      </c>
      <c r="D78" s="2772">
        <f>'数据-取费表'!B43</f>
        <v>5.000000000000001E-3</v>
      </c>
      <c r="E78" s="3438" t="s">
        <v>2032</v>
      </c>
      <c r="F78" s="3439"/>
      <c r="G78" s="3439"/>
      <c r="H78" s="3448"/>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3" t="e">
        <f ca="1">C72-C73</f>
        <v>#REF!</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t="e">
        <f ca="1">IF(C79&lt;=0,0,C79/C73)</f>
        <v>#REF!</v>
      </c>
      <c r="D80" s="175" t="s">
        <v>32</v>
      </c>
      <c r="E80" s="2516" t="e">
        <f ca="1">IF(C80&gt;=200%,"增值额超过扣除项目金额200%",IF(C80&gt;=100%,"增值额超过扣除项目金额100%，未超过200%",IF(C80&gt;=50%,"增值额超过扣除项目金额50%，未超过100%",IF(C80&lt;50%,"增值额未超过扣除项目金额50%"))))</f>
        <v>#REF!</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t="e">
        <f ca="1">ROUND(IF(C79&lt;=0,0,IF(C80&gt;=200%,C79*60%-C73*35%,IF(C80&gt;=100%,C79*50%-C73*15%,IF(C80&gt;=50%,C79*40%-C73*5%,IF(C80&lt;50%,C79*30%,0))))),0)</f>
        <v>#REF!</v>
      </c>
      <c r="D81" s="277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80" t="s">
        <v>2036</v>
      </c>
      <c r="B83" s="3481"/>
      <c r="C83" s="3481"/>
      <c r="D83" s="3481"/>
      <c r="E83" s="3481"/>
      <c r="F83" s="3481"/>
      <c r="G83" s="3481"/>
      <c r="H83" s="3481"/>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459" t="s">
        <v>2001</v>
      </c>
      <c r="B84" s="3460"/>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t="e">
        <f ca="1">ROUND(D45/(1+'数据-取费表'!C42),0)</f>
        <v>#REF!</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t="e">
        <f ca="1">IF(H88="仅含出让金",C87+C90+C91+C92+C93+C94,C87+C91+C92+C93+C94)</f>
        <v>#REF!</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2519"/>
      <c r="G88" s="200" t="s">
        <v>2040</v>
      </c>
      <c r="H88" s="1979"/>
      <c r="I88" s="1976"/>
      <c r="J88" s="2716" t="s">
        <v>2973</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2519"/>
      <c r="G90" s="3523" t="s">
        <v>2810</v>
      </c>
      <c r="H90" s="3524"/>
      <c r="I90" s="1976"/>
      <c r="J90" s="2716" t="s">
        <v>2974</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438" t="s">
        <v>2045</v>
      </c>
      <c r="F91" s="3439"/>
      <c r="G91" s="3439"/>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438" t="s">
        <v>2048</v>
      </c>
      <c r="F92" s="3439"/>
      <c r="G92" s="3439"/>
      <c r="H92" s="3448"/>
      <c r="I92" s="1976"/>
      <c r="J92" s="2717" t="s">
        <v>2975</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t="e">
        <f ca="1">ROUND(D45*D93/(1+'数据-取费表'!C42),0)</f>
        <v>#REF!</v>
      </c>
      <c r="D93" s="2772">
        <f>'数据-取费表'!B43</f>
        <v>5.000000000000001E-3</v>
      </c>
      <c r="E93" s="3438" t="s">
        <v>2032</v>
      </c>
      <c r="F93" s="3439"/>
      <c r="G93" s="3439"/>
      <c r="H93" s="3448"/>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449" t="s">
        <v>2052</v>
      </c>
      <c r="F94" s="3450"/>
      <c r="G94" s="3450"/>
      <c r="H94" s="3451"/>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3" t="e">
        <f ca="1">ROUND(C85-C86,0)</f>
        <v>#REF!</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t="e">
        <f ca="1">IF(C95&lt;=0,0,C95/C86)</f>
        <v>#REF!</v>
      </c>
      <c r="D96" s="175" t="s">
        <v>32</v>
      </c>
      <c r="E96" s="2516" t="e">
        <f ca="1">IF(C96&gt;=200%,"增值额超过扣除项目金额200%",IF(C96&gt;=100%,"增值额超过扣除项目金额100%，未超过200%",IF(C96&gt;=50%,"增值额超过扣除项目金额50%，未超过100%",IF(C96&lt;50%,"增值额未超过扣除项目金额50%"))))</f>
        <v>#REF!</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t="e">
        <f ca="1">ROUND(IF(C95&lt;=0,0,IF(C96&gt;=200%,C95*60%-C86*35%,IF(C96&gt;=100%,C95*50%-C86*15%,IF(C96&gt;=50%,C95*40%-C86*5%,IF(C96&lt;50%,C95*30%,0))))),0)</f>
        <v>#REF!</v>
      </c>
      <c r="D97" s="277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422" t="s">
        <v>2054</v>
      </c>
      <c r="B100" s="3423"/>
      <c r="C100" s="3423"/>
      <c r="D100" s="3440"/>
      <c r="E100" s="3423" t="s">
        <v>2055</v>
      </c>
      <c r="F100" s="3423"/>
      <c r="G100" s="3423"/>
      <c r="H100" s="3440"/>
      <c r="I100" s="134"/>
    </row>
    <row r="101" spans="1:35" ht="18.75" customHeight="1">
      <c r="A101" s="3504" t="s">
        <v>2056</v>
      </c>
      <c r="B101" s="3505"/>
      <c r="C101" s="2780" t="str">
        <f>C4</f>
        <v>成本法</v>
      </c>
      <c r="D101" s="2781" t="str">
        <f>D4</f>
        <v>收益法</v>
      </c>
      <c r="E101" s="3518" t="s">
        <v>2057</v>
      </c>
      <c r="F101" s="3472"/>
      <c r="G101" s="1982" t="s">
        <v>2058</v>
      </c>
      <c r="H101" s="2790" t="e">
        <f ca="1">H118</f>
        <v>#REF!</v>
      </c>
      <c r="I101" s="134"/>
    </row>
    <row r="102" spans="1:35" ht="18.75" customHeight="1">
      <c r="A102" s="3474" t="s">
        <v>2059</v>
      </c>
      <c r="B102" s="2779" t="s">
        <v>2058</v>
      </c>
      <c r="C102" s="2780">
        <f ca="1">C19</f>
        <v>214150</v>
      </c>
      <c r="D102" s="2781">
        <f ca="1">D19</f>
        <v>209717</v>
      </c>
      <c r="E102" s="3518"/>
      <c r="F102" s="3472"/>
      <c r="G102" s="1982" t="s">
        <v>2060</v>
      </c>
      <c r="H102" s="2750" t="e">
        <f ca="1">I118</f>
        <v>#REF!</v>
      </c>
      <c r="I102" s="134"/>
    </row>
    <row r="103" spans="1:35" ht="42.75" customHeight="1">
      <c r="A103" s="3474"/>
      <c r="B103" s="2779" t="s">
        <v>2060</v>
      </c>
      <c r="C103" s="2782">
        <f ca="1">C20</f>
        <v>21098</v>
      </c>
      <c r="D103" s="2783">
        <f ca="1">D20</f>
        <v>20855</v>
      </c>
      <c r="E103" s="3512" t="s">
        <v>2061</v>
      </c>
      <c r="F103" s="3513"/>
      <c r="G103" s="1983" t="s">
        <v>2062</v>
      </c>
      <c r="H103" s="2790">
        <f>IF(D36="正常操作",H104+H105+H106,H105+H106)</f>
        <v>0</v>
      </c>
      <c r="I103" s="134"/>
    </row>
    <row r="104" spans="1:35" ht="18.75" customHeight="1">
      <c r="A104" s="3474" t="s">
        <v>2063</v>
      </c>
      <c r="B104" s="2784" t="s">
        <v>2058</v>
      </c>
      <c r="C104" s="2785" t="e">
        <f ca="1">H118</f>
        <v>#REF!</v>
      </c>
      <c r="D104" s="2786"/>
      <c r="E104" s="1829" t="s">
        <v>2064</v>
      </c>
      <c r="F104" s="1820"/>
      <c r="G104" s="1983" t="s">
        <v>2062</v>
      </c>
      <c r="H104" s="2791">
        <f>IF(D36="同一抵押权人同一抵押物续贷",C36&amp;"（续贷，未扣减，详见特别提示）",C36)</f>
        <v>0</v>
      </c>
      <c r="I104" s="134"/>
    </row>
    <row r="105" spans="1:35" ht="18.75" customHeight="1" thickBot="1">
      <c r="A105" s="3475"/>
      <c r="B105" s="2787" t="s">
        <v>2060</v>
      </c>
      <c r="C105" s="2788" t="e">
        <f ca="1">I118</f>
        <v>#REF!</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471" t="str">
        <f>IF(项目基本情况!E8="已注销","——","3.房地产抵押价值")</f>
        <v>3.房地产抵押价值</v>
      </c>
      <c r="F107" s="3472"/>
      <c r="G107" s="1982" t="s">
        <v>2058</v>
      </c>
      <c r="H107" s="2790" t="e">
        <f ca="1">IF(E107="——","——",H101-H103)</f>
        <v>#REF!</v>
      </c>
      <c r="I107" s="134"/>
    </row>
    <row r="108" spans="1:35" ht="18.75" customHeight="1">
      <c r="A108" s="134"/>
      <c r="B108" s="134"/>
      <c r="C108" s="134"/>
      <c r="D108" s="134"/>
      <c r="E108" s="3471"/>
      <c r="F108" s="3472"/>
      <c r="G108" s="1982" t="s">
        <v>2060</v>
      </c>
      <c r="H108" s="2750" t="e">
        <f ca="1">ROUND(H107*10000/'数据-汇总表'!E3,0)</f>
        <v>#REF!</v>
      </c>
      <c r="I108" s="134"/>
    </row>
    <row r="109" spans="1:35" ht="18.75" customHeight="1">
      <c r="A109" s="134"/>
      <c r="B109" s="134"/>
      <c r="C109" s="134"/>
      <c r="D109" s="134"/>
      <c r="E109" s="3471" t="str">
        <f>IF(项目基本情况!E8="已注销及未注销","4.抵押担保权已注销时的房地产抵押价值",IF(项目基本情况!E8="已注销","3.抵押担保权已注销时的房地产抵押价值","——"))</f>
        <v>——</v>
      </c>
      <c r="F109" s="3472"/>
      <c r="G109" s="1982" t="s">
        <v>2058</v>
      </c>
      <c r="H109" s="2793" t="str">
        <f>IF(E109="——","——",H101-H105-H106)</f>
        <v>——</v>
      </c>
      <c r="I109" s="134"/>
    </row>
    <row r="110" spans="1:35" ht="18.75" customHeight="1">
      <c r="A110" s="134"/>
      <c r="B110" s="134"/>
      <c r="C110" s="134"/>
      <c r="D110" s="134"/>
      <c r="E110" s="3471"/>
      <c r="F110" s="3472"/>
      <c r="G110" s="1982" t="s">
        <v>2060</v>
      </c>
      <c r="H110" s="2750" t="str">
        <f>IF(H109="——","——",ROUND(H109*10000/'数据-汇总表'!E3,0))</f>
        <v>——</v>
      </c>
      <c r="I110" s="134"/>
    </row>
    <row r="111" spans="1:35" ht="18.75" customHeight="1">
      <c r="A111" s="134"/>
      <c r="B111" s="134"/>
      <c r="C111" s="134"/>
      <c r="D111" s="134"/>
      <c r="E111" s="3506" t="str">
        <f>IF(项目基本情况!E9="抵押净值",IF(OR(项目基本情况!E8="已注销",项目基本情况!E8="房地产抵押价值"),"4.抵押净值","5.抵押净值"),"——")</f>
        <v>——</v>
      </c>
      <c r="F111" s="3473"/>
      <c r="G111" s="1982" t="s">
        <v>2058</v>
      </c>
      <c r="H111" s="2790" t="str">
        <f>IF(E111="——","——",N59)</f>
        <v>——</v>
      </c>
      <c r="I111" s="134"/>
    </row>
    <row r="112" spans="1:35" ht="18.75" customHeight="1" thickBot="1">
      <c r="A112" s="134"/>
      <c r="B112" s="134"/>
      <c r="C112" s="134"/>
      <c r="D112" s="134"/>
      <c r="E112" s="3507"/>
      <c r="F112" s="3508"/>
      <c r="G112" s="1985" t="s">
        <v>2060</v>
      </c>
      <c r="H112" s="2794" t="str">
        <f>IF(E111="——","——",N61)</f>
        <v>——</v>
      </c>
      <c r="I112" s="134"/>
    </row>
    <row r="113" spans="1:27" ht="18.75" customHeight="1">
      <c r="A113" s="134"/>
      <c r="B113" s="134"/>
      <c r="C113" s="134"/>
      <c r="D113" s="134"/>
      <c r="E113" s="3476" t="s">
        <v>2066</v>
      </c>
      <c r="F113" s="3476"/>
      <c r="G113" s="3476"/>
      <c r="H113" s="3476"/>
      <c r="I113" s="134"/>
    </row>
    <row r="114" spans="1:27" ht="3.75" customHeight="1">
      <c r="A114" s="1902"/>
      <c r="B114" s="1902"/>
      <c r="C114" s="1902"/>
      <c r="D114" s="1902"/>
      <c r="E114" s="1964"/>
      <c r="F114" s="1964"/>
      <c r="G114" s="1964"/>
      <c r="H114" s="1964"/>
      <c r="I114" s="1902"/>
    </row>
    <row r="115" spans="1:27" ht="18.75" customHeight="1">
      <c r="A115" s="3489" t="s">
        <v>2068</v>
      </c>
      <c r="B115" s="3490"/>
      <c r="C115" s="3490"/>
      <c r="D115" s="3490"/>
      <c r="E115" s="3490"/>
      <c r="F115" s="3490"/>
      <c r="G115" s="3490"/>
      <c r="H115" s="3490"/>
      <c r="I115" s="3491"/>
    </row>
    <row r="116" spans="1:27" ht="27" customHeight="1">
      <c r="A116" s="3442" t="s">
        <v>2069</v>
      </c>
      <c r="B116" s="3477" t="s">
        <v>2070</v>
      </c>
      <c r="C116" s="3477" t="s">
        <v>2071</v>
      </c>
      <c r="D116" s="3493" t="s">
        <v>2072</v>
      </c>
      <c r="E116" s="3494"/>
      <c r="F116" s="3485" t="s">
        <v>2073</v>
      </c>
      <c r="G116" s="3485"/>
      <c r="H116" s="3442" t="s">
        <v>2074</v>
      </c>
      <c r="I116" s="3442"/>
    </row>
    <row r="117" spans="1:27" ht="18.75" customHeight="1">
      <c r="A117" s="3442"/>
      <c r="B117" s="3478"/>
      <c r="C117" s="3478"/>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101504.34</v>
      </c>
      <c r="C118" s="2521">
        <f>M19</f>
        <v>25666.1</v>
      </c>
      <c r="D118" s="2521" t="e">
        <f ca="1">ROUND(IF(D32="总价",C34,E118*B118/10000),0)</f>
        <v>#REF!</v>
      </c>
      <c r="E118" s="2521" t="e">
        <f ca="1">ROUND(IF(C33="自定义",IF(D32="楼面单价",C34,D118*10000/B118),I118-G118),0)</f>
        <v>#REF!</v>
      </c>
      <c r="F118" s="2521" t="e">
        <f ca="1">ROUND(IF(D32="总价",C35,G118*B118/10000),0)</f>
        <v>#REF!</v>
      </c>
      <c r="G118" s="2521" t="e">
        <f ca="1">ROUND(IF(D32="楼面单价",C35,F118*10000/B118),0)</f>
        <v>#REF!</v>
      </c>
      <c r="H118" s="2521" t="e">
        <f ca="1">ROUND(IF(D32="总价",C32,I118*B118/10000),0)</f>
        <v>#REF!</v>
      </c>
      <c r="I118" s="2521" t="e">
        <f ca="1">ROUND(IF(D32="楼面单价",C32,H118*10000/B118),0)</f>
        <v>#REF!</v>
      </c>
    </row>
    <row r="119" spans="1:27" ht="18.75" customHeight="1">
      <c r="A119" s="3442" t="s">
        <v>2078</v>
      </c>
      <c r="B119" s="3442"/>
      <c r="C119" s="3442"/>
      <c r="D119" s="3482" t="e">
        <f ca="1">NUMBERSTRING(INT(D118*10000),2)&amp;"元整"</f>
        <v>#REF!</v>
      </c>
      <c r="E119" s="3484"/>
      <c r="F119" s="3482" t="e">
        <f ca="1">NUMBERSTRING(INT(F118*10000),2)&amp;"元整"</f>
        <v>#REF!</v>
      </c>
      <c r="G119" s="3484"/>
      <c r="H119" s="3482" t="e">
        <f ca="1">NUMBERSTRING(INT(H118*10000),2)&amp;"元整"</f>
        <v>#REF!</v>
      </c>
      <c r="I119" s="3484"/>
    </row>
    <row r="120" spans="1:27" ht="18.75" customHeight="1">
      <c r="A120" s="3509" t="str">
        <f>IF(项目基本情况!B9="房地产市场价值","",MID(E103,3,LEN(E103)-2))</f>
        <v>估价师知悉的法定优先受偿款</v>
      </c>
      <c r="B120" s="3510"/>
      <c r="C120" s="3511"/>
      <c r="D120" s="3509">
        <f>H103</f>
        <v>0</v>
      </c>
      <c r="E120" s="3510"/>
      <c r="F120" s="3510"/>
      <c r="G120" s="3510"/>
      <c r="H120" s="3510"/>
      <c r="I120" s="3511"/>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86" t="s">
        <v>2078</v>
      </c>
      <c r="B121" s="3487"/>
      <c r="C121" s="3488"/>
      <c r="D121" s="3482" t="str">
        <f>IF(D120=0,"零元整",NUMBERSTRING(INT(D120*10000),2)&amp;"元整")</f>
        <v>零元整</v>
      </c>
      <c r="E121" s="3483"/>
      <c r="F121" s="3483"/>
      <c r="G121" s="3483"/>
      <c r="H121" s="3483"/>
      <c r="I121" s="3484"/>
      <c r="AA121" s="734"/>
    </row>
    <row r="122" spans="1:27" ht="18.75" customHeight="1">
      <c r="A122" s="3473" t="str">
        <f>IF(项目基本情况!B9="房地产市场价值","",MID(E107,3,LEN(E107)-2))</f>
        <v>房地产抵押价值</v>
      </c>
      <c r="B122" s="3473"/>
      <c r="C122" s="3473"/>
      <c r="D122" s="3509" t="e">
        <f ca="1">H107</f>
        <v>#REF!</v>
      </c>
      <c r="E122" s="3510"/>
      <c r="F122" s="3510"/>
      <c r="G122" s="3510"/>
      <c r="H122" s="3510"/>
      <c r="I122" s="3511"/>
      <c r="AA122" s="734"/>
    </row>
    <row r="123" spans="1:27" ht="18.75" customHeight="1">
      <c r="A123" s="3442" t="s">
        <v>2078</v>
      </c>
      <c r="B123" s="3442"/>
      <c r="C123" s="3442"/>
      <c r="D123" s="3482" t="e">
        <f ca="1">NUMBERSTRING(INT(D122*10000),2)&amp;"元整"</f>
        <v>#REF!</v>
      </c>
      <c r="E123" s="3483"/>
      <c r="F123" s="3483"/>
      <c r="G123" s="3483"/>
      <c r="H123" s="3483"/>
      <c r="I123" s="3484"/>
      <c r="AA123" s="734"/>
    </row>
    <row r="124" spans="1:27" ht="18.75" customHeight="1">
      <c r="A124" s="3473" t="str">
        <f>IF(项目基本情况!B9="房地产市场价值","",MID(E109,3,LEN(E109)-2))</f>
        <v/>
      </c>
      <c r="B124" s="3473"/>
      <c r="C124" s="3473"/>
      <c r="D124" s="3509" t="str">
        <f>H109</f>
        <v>——</v>
      </c>
      <c r="E124" s="3510"/>
      <c r="F124" s="3510"/>
      <c r="G124" s="3510"/>
      <c r="H124" s="3510"/>
      <c r="I124" s="3511"/>
      <c r="AA124" s="734"/>
    </row>
    <row r="125" spans="1:27" ht="18.75" customHeight="1">
      <c r="A125" s="3442" t="s">
        <v>2078</v>
      </c>
      <c r="B125" s="3442"/>
      <c r="C125" s="3442"/>
      <c r="D125" s="3482" t="e">
        <f>NUMBERSTRING(INT(D124*10000),2)&amp;"元整"</f>
        <v>#VALUE!</v>
      </c>
      <c r="E125" s="3483"/>
      <c r="F125" s="3483"/>
      <c r="G125" s="3483"/>
      <c r="H125" s="3483"/>
      <c r="I125" s="3484"/>
      <c r="AA125" s="734"/>
    </row>
    <row r="126" spans="1:27" ht="18.75" customHeight="1">
      <c r="A126" s="3473" t="str">
        <f>IF(项目基本情况!B9="房地产市场价值","",MID(E111,3,LEN(E111)-2))</f>
        <v/>
      </c>
      <c r="B126" s="3473"/>
      <c r="C126" s="3473"/>
      <c r="D126" s="3509" t="str">
        <f>H111</f>
        <v>——</v>
      </c>
      <c r="E126" s="3510"/>
      <c r="F126" s="3510"/>
      <c r="G126" s="3510"/>
      <c r="H126" s="3510"/>
      <c r="I126" s="3511"/>
      <c r="AA126" s="734"/>
    </row>
    <row r="127" spans="1:27" ht="18.75" customHeight="1">
      <c r="A127" s="3442" t="s">
        <v>2078</v>
      </c>
      <c r="B127" s="3442"/>
      <c r="C127" s="3442"/>
      <c r="D127" s="3482" t="e">
        <f>NUMBERSTRING(INT(D126*10000),2)&amp;"元整"</f>
        <v>#VALUE!</v>
      </c>
      <c r="E127" s="3483"/>
      <c r="F127" s="3483"/>
      <c r="G127" s="3483"/>
      <c r="H127" s="3483"/>
      <c r="I127" s="3484"/>
      <c r="AA127" s="734"/>
    </row>
    <row r="128" spans="1:27" ht="21.75" customHeight="1">
      <c r="A128" s="3492" t="s">
        <v>2079</v>
      </c>
      <c r="B128" s="3492"/>
      <c r="C128" s="3492"/>
      <c r="D128" s="3492"/>
      <c r="E128" s="3492"/>
      <c r="F128" s="3492"/>
      <c r="G128" s="3492"/>
      <c r="H128" s="3492"/>
      <c r="I128" s="3492"/>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3"/>
      <c r="C1" s="204"/>
      <c r="D1" s="204"/>
      <c r="E1" s="204"/>
      <c r="F1" s="204"/>
      <c r="G1" s="1260">
        <f>MATCH(B1,'数据-取费表'!A6:A16,0)+5</f>
        <v>7</v>
      </c>
    </row>
    <row r="2" spans="1:9" s="206" customFormat="1" ht="18" customHeight="1">
      <c r="A2" s="207" t="s">
        <v>2088</v>
      </c>
      <c r="B2" s="208">
        <f ca="1">IF(D2="——",C52,C52-E2)</f>
        <v>214150</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21098</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93320</v>
      </c>
      <c r="D5" s="217" t="s">
        <v>2095</v>
      </c>
      <c r="E5" s="218" t="s">
        <v>2096</v>
      </c>
      <c r="F5" s="218" t="s">
        <v>2097</v>
      </c>
      <c r="G5" s="219"/>
    </row>
    <row r="6" spans="1:9" s="220" customFormat="1" ht="13.5" customHeight="1">
      <c r="A6" s="886" t="s">
        <v>2098</v>
      </c>
      <c r="B6" s="221" t="s">
        <v>2099</v>
      </c>
      <c r="C6" s="222">
        <f>基准地价修正!C26</f>
        <v>88588</v>
      </c>
      <c r="D6" s="223"/>
      <c r="E6" s="224"/>
      <c r="F6" s="224"/>
      <c r="G6" s="225"/>
    </row>
    <row r="7" spans="1:9" s="220" customFormat="1" ht="13.5" customHeight="1">
      <c r="A7" s="886" t="s">
        <v>2100</v>
      </c>
      <c r="B7" s="221" t="s">
        <v>2101</v>
      </c>
      <c r="C7" s="226">
        <f>ROUND(C6*F7,0)</f>
        <v>2702</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2030</v>
      </c>
      <c r="D8" s="228"/>
      <c r="E8" s="226"/>
      <c r="F8" s="227"/>
      <c r="G8" s="2011" t="s">
        <v>3300</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2"/>
      <c r="H9" s="1271"/>
      <c r="I9" s="2013" t="s">
        <v>2105</v>
      </c>
    </row>
    <row r="10" spans="1:9" s="220" customFormat="1" ht="13.5" customHeight="1">
      <c r="A10" s="887" t="s">
        <v>801</v>
      </c>
      <c r="B10" s="230" t="s">
        <v>2106</v>
      </c>
      <c r="C10" s="231">
        <f ca="1">ROUND(D10*E10/10000,0)</f>
        <v>2030</v>
      </c>
      <c r="D10" s="954">
        <f ca="1">IF(B1="",'数据-汇总表'!E6,IF(INDIRECT("'数据-取费表'!c"&amp;$G$1)="住宅",INDIRECT("'数据-取费表'!s"&amp;$G$1),INDIRECT("'数据-取费表'!k"&amp;$G$1)+INDIRECT("'数据-取费表'!s"&amp;$G$1)))</f>
        <v>101504.34</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101504.34</v>
      </c>
      <c r="E19" s="217">
        <f>'数据-取费表'!B31</f>
        <v>200</v>
      </c>
      <c r="F19" s="237"/>
      <c r="G19" s="2011" t="s">
        <v>3301</v>
      </c>
    </row>
    <row r="20" spans="1:7" s="220" customFormat="1" ht="13.5" customHeight="1">
      <c r="A20" s="261" t="s">
        <v>2119</v>
      </c>
      <c r="B20" s="216" t="s">
        <v>2120</v>
      </c>
      <c r="C20" s="238">
        <f ca="1">ROUND((C5+C19)*F20,0)</f>
        <v>2800</v>
      </c>
      <c r="D20" s="238"/>
      <c r="E20" s="238"/>
      <c r="F20" s="239">
        <f>'数据-取费表'!B37</f>
        <v>0.03</v>
      </c>
      <c r="G20" s="240" t="s">
        <v>2121</v>
      </c>
    </row>
    <row r="21" spans="1:7" s="220" customFormat="1" ht="13.5" customHeight="1">
      <c r="A21" s="261" t="s">
        <v>2122</v>
      </c>
      <c r="B21" s="216" t="s">
        <v>2123</v>
      </c>
      <c r="C21" s="241">
        <f>F21</f>
        <v>0.03</v>
      </c>
      <c r="D21" s="242" t="s">
        <v>2124</v>
      </c>
      <c r="E21" s="238"/>
      <c r="F21" s="239">
        <f>'数据-取费表'!B38</f>
        <v>0.03</v>
      </c>
      <c r="G21" s="240" t="s">
        <v>2125</v>
      </c>
    </row>
    <row r="22" spans="1:7" s="220" customFormat="1" ht="13.5" customHeight="1">
      <c r="A22" s="261" t="s">
        <v>2126</v>
      </c>
      <c r="B22" s="216" t="s">
        <v>2127</v>
      </c>
      <c r="C22" s="1236">
        <f ca="1">ROUND(SUM(C23:C25),0)</f>
        <v>12901</v>
      </c>
      <c r="D22" s="241">
        <f ca="1">C26</f>
        <v>2E-3</v>
      </c>
      <c r="E22" s="242" t="s">
        <v>2124</v>
      </c>
      <c r="F22" s="243">
        <f ca="1">'数据-取费表'!B40</f>
        <v>4.3499999999999997E-2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12716</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185</v>
      </c>
      <c r="D25" s="244"/>
      <c r="E25" s="247"/>
      <c r="F25" s="245"/>
      <c r="G25" s="248" t="s">
        <v>2136</v>
      </c>
    </row>
    <row r="26" spans="1:7" s="220" customFormat="1">
      <c r="A26" s="888" t="s">
        <v>795</v>
      </c>
      <c r="B26" s="221" t="s">
        <v>2137</v>
      </c>
      <c r="C26" s="244">
        <f ca="1">ROUND(IF('数据-取费表'!B22&lt;=1,F21*F22*'数据-取费表'!B23/2,F21*(POWER((1+F22),'数据-取费表'!B23/2)-1)),4)</f>
        <v>2E-3</v>
      </c>
      <c r="D26" s="244"/>
      <c r="E26" s="247"/>
      <c r="F26" s="245"/>
      <c r="G26" s="249"/>
    </row>
    <row r="27" spans="1:7" s="220" customFormat="1" ht="24.75">
      <c r="A27" s="261" t="s">
        <v>2138</v>
      </c>
      <c r="B27" s="250" t="s">
        <v>2139</v>
      </c>
      <c r="C27" s="251">
        <f ca="1">C28</f>
        <v>19224</v>
      </c>
      <c r="D27" s="241">
        <f ca="1">C29</f>
        <v>6.0000000000000001E-3</v>
      </c>
      <c r="E27" s="242" t="s">
        <v>2140</v>
      </c>
      <c r="F27" s="252">
        <f ca="1">IF(B1="",'数据-取费表'!Q16,INDIRECT("'数据-取费表'!q"&amp;$G$1))</f>
        <v>0.2</v>
      </c>
      <c r="G27" s="253" t="s">
        <v>2141</v>
      </c>
    </row>
    <row r="28" spans="1:7" s="220" customFormat="1" ht="13.5" customHeight="1">
      <c r="A28" s="888" t="s">
        <v>791</v>
      </c>
      <c r="B28" s="254" t="s">
        <v>2142</v>
      </c>
      <c r="C28" s="255">
        <f ca="1">ROUND((C5+C19+C20)*F27*'数据-取费表'!B21/'数据-取费表'!B20,0)</f>
        <v>19224</v>
      </c>
      <c r="D28" s="241"/>
      <c r="E28" s="242"/>
      <c r="F28" s="252"/>
      <c r="G28" s="253"/>
    </row>
    <row r="29" spans="1:7" s="220" customFormat="1" ht="13.5" customHeight="1">
      <c r="A29" s="888" t="s">
        <v>792</v>
      </c>
      <c r="B29" s="254" t="s">
        <v>2143</v>
      </c>
      <c r="C29" s="244">
        <f ca="1">ROUND(C21*F27*'数据-取费表'!B21/'数据-取费表'!B20,4)</f>
        <v>6.0000000000000001E-3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140991</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56081</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50752</v>
      </c>
      <c r="D34" s="223"/>
      <c r="E34" s="226"/>
      <c r="F34" s="263">
        <f ca="1">IF('数据-取费表'!B24=0,1,IF(B1="",'数据-取费表'!N16,INDIRECT("'数据-取费表'!n"&amp;$G$1)))</f>
        <v>1</v>
      </c>
      <c r="G34" s="225" t="s">
        <v>2152</v>
      </c>
    </row>
    <row r="35" spans="1:7" ht="13.5" customHeight="1">
      <c r="A35" s="888" t="s">
        <v>796</v>
      </c>
      <c r="B35" s="221" t="s">
        <v>2153</v>
      </c>
      <c r="C35" s="226">
        <f ca="1">ROUND(C34*F35,0)</f>
        <v>2538</v>
      </c>
      <c r="D35" s="226"/>
      <c r="E35" s="226"/>
      <c r="F35" s="265">
        <f>'数据-取费表'!B33</f>
        <v>0.05</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2030</v>
      </c>
      <c r="D37" s="223">
        <f ca="1">D19</f>
        <v>101504.34</v>
      </c>
      <c r="E37" s="255">
        <f>'数据-取费表'!B35</f>
        <v>200</v>
      </c>
      <c r="F37" s="265"/>
      <c r="G37" s="267" t="s">
        <v>2158</v>
      </c>
    </row>
    <row r="38" spans="1:7" ht="13.5" customHeight="1">
      <c r="A38" s="888" t="s">
        <v>799</v>
      </c>
      <c r="B38" s="221" t="s">
        <v>2159</v>
      </c>
      <c r="C38" s="226">
        <f ca="1">ROUND(C34*F38,0)</f>
        <v>761</v>
      </c>
      <c r="D38" s="226"/>
      <c r="E38" s="226"/>
      <c r="F38" s="265">
        <f>'数据-取费表'!B36</f>
        <v>1.4999999999999999E-2</v>
      </c>
      <c r="G38" s="225" t="s">
        <v>2154</v>
      </c>
    </row>
    <row r="39" spans="1:7" s="220" customFormat="1" ht="13.5" customHeight="1">
      <c r="A39" s="261" t="s">
        <v>2160</v>
      </c>
      <c r="B39" s="216" t="s">
        <v>2161</v>
      </c>
      <c r="C39" s="238">
        <f ca="1">ROUND(C33*F20,0)</f>
        <v>1682</v>
      </c>
      <c r="D39" s="238"/>
      <c r="E39" s="238"/>
      <c r="F39" s="2504">
        <f>F20</f>
        <v>0.03</v>
      </c>
      <c r="G39" s="240" t="s">
        <v>2162</v>
      </c>
    </row>
    <row r="40" spans="1:7" s="220" customFormat="1" ht="13.5" customHeight="1">
      <c r="A40" s="261" t="s">
        <v>2163</v>
      </c>
      <c r="B40" s="216" t="s">
        <v>2164</v>
      </c>
      <c r="C40" s="1466">
        <f>F21</f>
        <v>0.03</v>
      </c>
      <c r="D40" s="242" t="s">
        <v>2165</v>
      </c>
      <c r="E40" s="238"/>
      <c r="F40" s="2504">
        <f>F21</f>
        <v>0.03</v>
      </c>
      <c r="G40" s="240" t="s">
        <v>2166</v>
      </c>
    </row>
    <row r="41" spans="1:7" s="220" customFormat="1" ht="13.5" customHeight="1">
      <c r="A41" s="261" t="s">
        <v>2167</v>
      </c>
      <c r="B41" s="216" t="s">
        <v>2168</v>
      </c>
      <c r="C41" s="238">
        <f ca="1">ROUND(SUM(C42:C43),0)</f>
        <v>3810</v>
      </c>
      <c r="D41" s="241">
        <f ca="1">C44</f>
        <v>2E-3</v>
      </c>
      <c r="E41" s="242" t="s">
        <v>2165</v>
      </c>
      <c r="F41" s="2505">
        <f ca="1">F22</f>
        <v>4.3499999999999997E-2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3699</v>
      </c>
      <c r="D42" s="244"/>
      <c r="E42" s="244"/>
      <c r="F42" s="245"/>
      <c r="G42" s="3525" t="s">
        <v>2170</v>
      </c>
    </row>
    <row r="43" spans="1:7" ht="13.5" customHeight="1">
      <c r="A43" s="888" t="s">
        <v>792</v>
      </c>
      <c r="B43" s="221" t="s">
        <v>2171</v>
      </c>
      <c r="C43" s="244">
        <f ca="1">ROUND(IF('数据-取费表'!B22&lt;=1,C39*F22*'数据-取费表'!B21/2,C39*(POWER((1+F22),'数据-取费表'!B21/2)-1)),0)</f>
        <v>111</v>
      </c>
      <c r="D43" s="244"/>
      <c r="E43" s="244"/>
      <c r="F43" s="245"/>
      <c r="G43" s="3526"/>
    </row>
    <row r="44" spans="1:7" ht="13.5" customHeight="1">
      <c r="A44" s="888" t="s">
        <v>793</v>
      </c>
      <c r="B44" s="221" t="s">
        <v>2172</v>
      </c>
      <c r="C44" s="244">
        <f ca="1">ROUND(IF('数据-取费表'!B22&lt;=1,C40*F22*'数据-取费表'!B21/2,C40*(POWER((1+F22),'数据-取费表'!B21/2)-1)),4)</f>
        <v>2E-3</v>
      </c>
      <c r="D44" s="244"/>
      <c r="E44" s="244"/>
      <c r="F44" s="245"/>
      <c r="G44" s="3527"/>
    </row>
    <row r="45" spans="1:7" s="220" customFormat="1" ht="13.5" customHeight="1">
      <c r="A45" s="261" t="s">
        <v>2173</v>
      </c>
      <c r="B45" s="250" t="s">
        <v>2139</v>
      </c>
      <c r="C45" s="251">
        <f ca="1">C46</f>
        <v>11553</v>
      </c>
      <c r="D45" s="241">
        <f ca="1">C47</f>
        <v>6.0000000000000001E-3</v>
      </c>
      <c r="E45" s="242" t="s">
        <v>2165</v>
      </c>
      <c r="F45" s="2506">
        <f ca="1">F27</f>
        <v>0.2</v>
      </c>
      <c r="G45" s="253" t="s">
        <v>2174</v>
      </c>
    </row>
    <row r="46" spans="1:7" s="220" customFormat="1" ht="13.5" customHeight="1">
      <c r="A46" s="888" t="s">
        <v>791</v>
      </c>
      <c r="B46" s="254" t="s">
        <v>2175</v>
      </c>
      <c r="C46" s="255">
        <f ca="1">ROUND((C33+C39)*F27,0)</f>
        <v>11553</v>
      </c>
      <c r="D46" s="269"/>
      <c r="E46" s="242"/>
      <c r="F46" s="252"/>
      <c r="G46" s="253"/>
    </row>
    <row r="47" spans="1:7" s="220" customFormat="1" ht="13.5" customHeight="1">
      <c r="A47" s="888" t="s">
        <v>792</v>
      </c>
      <c r="B47" s="254" t="s">
        <v>2176</v>
      </c>
      <c r="C47" s="244">
        <f ca="1">ROUND(C40*F27,4)</f>
        <v>6.0000000000000001E-3</v>
      </c>
      <c r="D47" s="269"/>
      <c r="E47" s="242"/>
      <c r="F47" s="252"/>
      <c r="G47" s="253"/>
    </row>
    <row r="48" spans="1:7" s="220" customFormat="1" ht="13.5" customHeight="1">
      <c r="A48" s="261" t="s">
        <v>2138</v>
      </c>
      <c r="B48" s="216" t="s">
        <v>2177</v>
      </c>
      <c r="C48" s="1466">
        <f>ROUND(F30/(1+'数据-取费表'!C42),4)</f>
        <v>5.2400000000000002E-2</v>
      </c>
      <c r="D48" s="242" t="s">
        <v>2165</v>
      </c>
      <c r="E48" s="238"/>
      <c r="F48" s="2505">
        <f>F30</f>
        <v>5.5000000000000007E-2</v>
      </c>
      <c r="G48" s="240" t="s">
        <v>2178</v>
      </c>
    </row>
    <row r="49" spans="1:7" ht="16.5" customHeight="1">
      <c r="A49" s="261" t="s">
        <v>2144</v>
      </c>
      <c r="B49" s="216" t="s">
        <v>2179</v>
      </c>
      <c r="C49" s="238">
        <f ca="1">ROUND((C33+C39+C41+C45)/(1-C40-D41-D45-C48),0)</f>
        <v>80394</v>
      </c>
      <c r="D49" s="238"/>
      <c r="E49" s="238"/>
      <c r="F49" s="270"/>
      <c r="G49" s="240" t="s">
        <v>2180</v>
      </c>
    </row>
    <row r="50" spans="1:7" s="264" customFormat="1" ht="24">
      <c r="A50" s="261" t="s">
        <v>2181</v>
      </c>
      <c r="B50" s="216" t="s">
        <v>2182</v>
      </c>
      <c r="C50" s="238"/>
      <c r="D50" s="238"/>
      <c r="E50" s="238"/>
      <c r="F50" s="270">
        <f>IF('数据-取费表'!B24=0,'数据-取费表'!N16,1)</f>
        <v>0.91</v>
      </c>
      <c r="G50" s="253" t="s">
        <v>2183</v>
      </c>
    </row>
    <row r="51" spans="1:7" ht="16.5" customHeight="1">
      <c r="A51" s="261" t="s">
        <v>2184</v>
      </c>
      <c r="B51" s="216" t="s">
        <v>2185</v>
      </c>
      <c r="C51" s="238">
        <f ca="1">ROUND(C49*F50,0)</f>
        <v>73159</v>
      </c>
      <c r="D51" s="238"/>
      <c r="E51" s="238"/>
      <c r="F51" s="270"/>
      <c r="G51" s="240" t="s">
        <v>2186</v>
      </c>
    </row>
    <row r="52" spans="1:7" s="214" customFormat="1" ht="16.5" thickBot="1">
      <c r="A52" s="271" t="s">
        <v>2187</v>
      </c>
      <c r="B52" s="272"/>
      <c r="C52" s="273">
        <f ca="1">C31+C51</f>
        <v>214150</v>
      </c>
      <c r="D52" s="272"/>
      <c r="E52" s="272"/>
      <c r="F52" s="272"/>
      <c r="G52" s="274"/>
    </row>
    <row r="55" spans="1:7" ht="15">
      <c r="B55" s="276" t="s">
        <v>2188</v>
      </c>
      <c r="C55" s="277"/>
    </row>
    <row r="56" spans="1:7">
      <c r="B56" s="279" t="s">
        <v>1418</v>
      </c>
      <c r="C56" s="281">
        <f ca="1">1-C57</f>
        <v>0.65799999999999992</v>
      </c>
    </row>
    <row r="57" spans="1:7">
      <c r="B57" s="279" t="s">
        <v>1419</v>
      </c>
      <c r="C57" s="280">
        <f ca="1">ROUND(C51/C52,3)</f>
        <v>0.34200000000000003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336" t="str">
        <f>项目基本情况!B1</f>
        <v>北京市房地产抵押价值预评估</v>
      </c>
      <c r="C37" s="3336"/>
      <c r="D37" s="3336"/>
      <c r="E37" s="3336"/>
      <c r="F37" s="3336"/>
      <c r="G37" s="3336"/>
      <c r="H37" s="3336"/>
      <c r="I37" s="3336"/>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项目基本情况!K4</f>
        <v>（注册号：0)、（注册号：0)</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3"/>
      <c r="C1" s="2014"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79292</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7812</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20300868</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20300868</v>
      </c>
      <c r="D8" s="228"/>
      <c r="E8" s="226"/>
      <c r="F8" s="227"/>
      <c r="G8" s="2011"/>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20300868</v>
      </c>
      <c r="D10" s="954">
        <f ca="1">IF(B1="",'数据-汇总表'!E6,IF(INDIRECT("'数据-取费表'!c"&amp;$G$1)="住宅",INDIRECT("'数据-取费表'!s"&amp;$G$1),INDIRECT("'数据-取费表'!k"&amp;$G$1)+INDIRECT("'数据-取费表'!s"&amp;$G$1)))</f>
        <v>101504.34</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20300868</v>
      </c>
      <c r="D19" s="958">
        <f ca="1">D9+D10</f>
        <v>101504.34</v>
      </c>
      <c r="E19" s="217">
        <f>'数据-取费表'!B31</f>
        <v>200</v>
      </c>
      <c r="F19" s="237"/>
      <c r="G19" s="2011"/>
    </row>
    <row r="20" spans="1:7" s="220" customFormat="1" ht="13.5" customHeight="1">
      <c r="A20" s="261" t="s">
        <v>2200</v>
      </c>
      <c r="B20" s="216" t="s">
        <v>2201</v>
      </c>
      <c r="C20" s="238">
        <f ca="1">ROUND((C5+C19)*F20,0)</f>
        <v>1218052</v>
      </c>
      <c r="D20" s="238"/>
      <c r="E20" s="238"/>
      <c r="F20" s="239">
        <f>'数据-取费表'!B37</f>
        <v>0.03</v>
      </c>
      <c r="G20" s="240" t="s">
        <v>2202</v>
      </c>
    </row>
    <row r="21" spans="1:7" s="220" customFormat="1" ht="13.5" customHeight="1">
      <c r="A21" s="261" t="s">
        <v>2203</v>
      </c>
      <c r="B21" s="216" t="s">
        <v>2204</v>
      </c>
      <c r="C21" s="241">
        <f>F21</f>
        <v>0.03</v>
      </c>
      <c r="D21" s="242" t="s">
        <v>2205</v>
      </c>
      <c r="E21" s="238"/>
      <c r="F21" s="239">
        <f>'数据-取费表'!B38</f>
        <v>0.03</v>
      </c>
      <c r="G21" s="240" t="s">
        <v>2206</v>
      </c>
    </row>
    <row r="22" spans="1:7" s="220" customFormat="1" ht="13.5" customHeight="1">
      <c r="A22" s="261" t="s">
        <v>2207</v>
      </c>
      <c r="B22" s="216" t="s">
        <v>2208</v>
      </c>
      <c r="C22" s="1261">
        <f ca="1">ROUND(SUM(C23:C25),0)</f>
        <v>5612690</v>
      </c>
      <c r="D22" s="241">
        <f ca="1">C26</f>
        <v>2E-3</v>
      </c>
      <c r="E22" s="242" t="s">
        <v>2205</v>
      </c>
      <c r="F22" s="243">
        <f ca="1">'数据-取费表'!B40</f>
        <v>4.3499999999999997E-2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2766177</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2766177</v>
      </c>
      <c r="D24" s="244"/>
      <c r="E24" s="244"/>
      <c r="F24" s="245"/>
      <c r="G24" s="246" t="s">
        <v>2212</v>
      </c>
    </row>
    <row r="25" spans="1:7" s="220" customFormat="1" ht="24">
      <c r="A25" s="888" t="s">
        <v>2102</v>
      </c>
      <c r="B25" s="221" t="s">
        <v>2213</v>
      </c>
      <c r="C25" s="1262">
        <f ca="1">ROUND(IF('数据-取费表'!B22&lt;=1,C20*F22*'数据-取费表'!B22/2,C20*(POWER((1+F22),'数据-取费表'!B22/2)-1)),0)</f>
        <v>80336</v>
      </c>
      <c r="D25" s="244"/>
      <c r="E25" s="247"/>
      <c r="F25" s="245"/>
      <c r="G25" s="248" t="s">
        <v>2214</v>
      </c>
    </row>
    <row r="26" spans="1:7" s="220" customFormat="1">
      <c r="A26" s="888" t="s">
        <v>795</v>
      </c>
      <c r="B26" s="221" t="s">
        <v>2137</v>
      </c>
      <c r="C26" s="244">
        <f ca="1">ROUND(IF('数据-取费表'!B22&lt;=1,F21*F22*'数据-取费表'!B22/2,F21*(POWER((1+F22),'数据-取费表'!B22/2)-1)),4)</f>
        <v>2E-3</v>
      </c>
      <c r="D26" s="244"/>
      <c r="E26" s="247"/>
      <c r="F26" s="245"/>
      <c r="G26" s="249"/>
    </row>
    <row r="27" spans="1:7" s="220" customFormat="1" ht="24.75">
      <c r="A27" s="261" t="s">
        <v>2138</v>
      </c>
      <c r="B27" s="250" t="s">
        <v>2139</v>
      </c>
      <c r="C27" s="251">
        <f ca="1">C28</f>
        <v>8363958</v>
      </c>
      <c r="D27" s="241">
        <f ca="1">C29</f>
        <v>6.0000000000000001E-3</v>
      </c>
      <c r="E27" s="242" t="s">
        <v>2140</v>
      </c>
      <c r="F27" s="252">
        <f ca="1">IF(B1="",'数据-取费表'!Q16,INDIRECT("'数据-取费表'!q"&amp;$G$1))</f>
        <v>0.2</v>
      </c>
      <c r="G27" s="253" t="s">
        <v>2141</v>
      </c>
    </row>
    <row r="28" spans="1:7" s="220" customFormat="1" ht="13.5" customHeight="1">
      <c r="A28" s="888" t="s">
        <v>791</v>
      </c>
      <c r="B28" s="254" t="s">
        <v>2142</v>
      </c>
      <c r="C28" s="255">
        <f ca="1">ROUND((C5+C19+C20)*F27,0)</f>
        <v>8363958</v>
      </c>
      <c r="D28" s="241"/>
      <c r="E28" s="242"/>
      <c r="F28" s="252"/>
      <c r="G28" s="253"/>
    </row>
    <row r="29" spans="1:7" s="220" customFormat="1" ht="13.5" customHeight="1">
      <c r="A29" s="888" t="s">
        <v>792</v>
      </c>
      <c r="B29" s="254" t="s">
        <v>2143</v>
      </c>
      <c r="C29" s="244">
        <f ca="1">ROUND(C21*F27,4)</f>
        <v>6.0000000000000001E-3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61341728</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560811479</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507521700</v>
      </c>
      <c r="D34" s="223"/>
      <c r="E34" s="226"/>
      <c r="F34" s="263"/>
      <c r="G34" s="225"/>
    </row>
    <row r="35" spans="1:7" ht="13.5" customHeight="1">
      <c r="A35" s="888" t="s">
        <v>796</v>
      </c>
      <c r="B35" s="221" t="s">
        <v>2153</v>
      </c>
      <c r="C35" s="226">
        <f ca="1">ROUND(C34*F35,0)</f>
        <v>25376085</v>
      </c>
      <c r="D35" s="226"/>
      <c r="E35" s="226"/>
      <c r="F35" s="265">
        <f>'数据-取费表'!B33</f>
        <v>0.05</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20300868</v>
      </c>
      <c r="D37" s="223">
        <f ca="1">D19</f>
        <v>101504.34</v>
      </c>
      <c r="E37" s="255">
        <f>'数据-取费表'!B35</f>
        <v>200</v>
      </c>
      <c r="F37" s="265"/>
      <c r="G37" s="267"/>
    </row>
    <row r="38" spans="1:7" ht="13.5" customHeight="1">
      <c r="A38" s="888" t="s">
        <v>799</v>
      </c>
      <c r="B38" s="221" t="s">
        <v>2159</v>
      </c>
      <c r="C38" s="226">
        <f ca="1">ROUND(C34*F38,0)</f>
        <v>7612826</v>
      </c>
      <c r="D38" s="226"/>
      <c r="E38" s="226"/>
      <c r="F38" s="265">
        <f>'数据-取费表'!B36</f>
        <v>1.4999999999999999E-2</v>
      </c>
      <c r="G38" s="225" t="s">
        <v>2154</v>
      </c>
    </row>
    <row r="39" spans="1:7" s="220" customFormat="1" ht="13.5" customHeight="1">
      <c r="A39" s="261" t="s">
        <v>2160</v>
      </c>
      <c r="B39" s="216" t="s">
        <v>2161</v>
      </c>
      <c r="C39" s="238">
        <f ca="1">ROUND(C33*F20,0)</f>
        <v>16824344</v>
      </c>
      <c r="D39" s="238"/>
      <c r="E39" s="238"/>
      <c r="F39" s="2504">
        <f>F20</f>
        <v>0.03</v>
      </c>
      <c r="G39" s="240" t="s">
        <v>2162</v>
      </c>
    </row>
    <row r="40" spans="1:7" s="220" customFormat="1" ht="13.5" customHeight="1">
      <c r="A40" s="261" t="s">
        <v>2163</v>
      </c>
      <c r="B40" s="216" t="s">
        <v>2164</v>
      </c>
      <c r="C40" s="1466">
        <f>F21</f>
        <v>0.03</v>
      </c>
      <c r="D40" s="242" t="s">
        <v>2165</v>
      </c>
      <c r="E40" s="238"/>
      <c r="F40" s="2504">
        <f>F21</f>
        <v>0.03</v>
      </c>
      <c r="G40" s="240" t="s">
        <v>2166</v>
      </c>
    </row>
    <row r="41" spans="1:7" s="220" customFormat="1" ht="13.5" customHeight="1">
      <c r="A41" s="261" t="s">
        <v>2167</v>
      </c>
      <c r="B41" s="216" t="s">
        <v>2168</v>
      </c>
      <c r="C41" s="238">
        <f ca="1">ROUND(SUM(C42:C43),0)</f>
        <v>38097700</v>
      </c>
      <c r="D41" s="241">
        <f ca="1">C44</f>
        <v>2E-3</v>
      </c>
      <c r="E41" s="242" t="s">
        <v>2165</v>
      </c>
      <c r="F41" s="2505">
        <f ca="1">F22</f>
        <v>4.3499999999999997E-2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36988058</v>
      </c>
      <c r="D42" s="244"/>
      <c r="E42" s="244"/>
      <c r="F42" s="245"/>
      <c r="G42" s="3525" t="s">
        <v>2217</v>
      </c>
    </row>
    <row r="43" spans="1:7" ht="13.5" customHeight="1">
      <c r="A43" s="888" t="s">
        <v>792</v>
      </c>
      <c r="B43" s="221" t="s">
        <v>2171</v>
      </c>
      <c r="C43" s="244">
        <f ca="1">ROUND(IF('数据-取费表'!B22&lt;=1,C39*F22*'数据-取费表'!B20/2,C39*(POWER((1+F22),'数据-取费表'!B20/2)-1)),0)</f>
        <v>1109642</v>
      </c>
      <c r="D43" s="244"/>
      <c r="E43" s="244"/>
      <c r="F43" s="245"/>
      <c r="G43" s="3526"/>
    </row>
    <row r="44" spans="1:7" ht="13.5" customHeight="1">
      <c r="A44" s="888" t="s">
        <v>793</v>
      </c>
      <c r="B44" s="221" t="s">
        <v>2172</v>
      </c>
      <c r="C44" s="244">
        <f ca="1">ROUND(IF('数据-取费表'!B22&lt;=1,C40*F22*'数据-取费表'!B20/2,C40*(POWER((1+F22),'数据-取费表'!B20/2)-1)),4)</f>
        <v>2E-3</v>
      </c>
      <c r="D44" s="244"/>
      <c r="E44" s="244"/>
      <c r="F44" s="245"/>
      <c r="G44" s="3527"/>
    </row>
    <row r="45" spans="1:7" s="220" customFormat="1" ht="13.5" customHeight="1">
      <c r="A45" s="261" t="s">
        <v>2173</v>
      </c>
      <c r="B45" s="250" t="s">
        <v>2139</v>
      </c>
      <c r="C45" s="251">
        <f ca="1">C46</f>
        <v>115527165</v>
      </c>
      <c r="D45" s="241">
        <f ca="1">C47</f>
        <v>6.0000000000000001E-3</v>
      </c>
      <c r="E45" s="242" t="s">
        <v>2165</v>
      </c>
      <c r="F45" s="2506">
        <f ca="1">F27</f>
        <v>0.2</v>
      </c>
      <c r="G45" s="253" t="s">
        <v>2174</v>
      </c>
    </row>
    <row r="46" spans="1:7" s="220" customFormat="1" ht="13.5" customHeight="1">
      <c r="A46" s="888" t="s">
        <v>791</v>
      </c>
      <c r="B46" s="254" t="s">
        <v>2175</v>
      </c>
      <c r="C46" s="255">
        <f ca="1">ROUND((C33+C39)*F27,0)</f>
        <v>115527165</v>
      </c>
      <c r="D46" s="269"/>
      <c r="E46" s="242"/>
      <c r="F46" s="252"/>
      <c r="G46" s="253"/>
    </row>
    <row r="47" spans="1:7" s="220" customFormat="1" ht="13.5" customHeight="1">
      <c r="A47" s="888" t="s">
        <v>792</v>
      </c>
      <c r="B47" s="254" t="s">
        <v>2176</v>
      </c>
      <c r="C47" s="244">
        <f ca="1">ROUND(C40*F27,4)</f>
        <v>6.0000000000000001E-3</v>
      </c>
      <c r="D47" s="269"/>
      <c r="E47" s="242"/>
      <c r="F47" s="252"/>
      <c r="G47" s="253"/>
    </row>
    <row r="48" spans="1:7" s="220" customFormat="1" ht="13.5" customHeight="1">
      <c r="A48" s="261" t="s">
        <v>2138</v>
      </c>
      <c r="B48" s="216" t="s">
        <v>2177</v>
      </c>
      <c r="C48" s="268">
        <f>ROUND(F30/(1+'数据-取费表'!C42),4)</f>
        <v>5.2400000000000002E-2</v>
      </c>
      <c r="D48" s="242" t="s">
        <v>2165</v>
      </c>
      <c r="E48" s="238"/>
      <c r="F48" s="2505">
        <f>F30</f>
        <v>5.5000000000000007E-2</v>
      </c>
      <c r="G48" s="240" t="s">
        <v>2178</v>
      </c>
    </row>
    <row r="49" spans="1:7" ht="16.5" customHeight="1">
      <c r="A49" s="261" t="s">
        <v>2144</v>
      </c>
      <c r="B49" s="216" t="s">
        <v>2218</v>
      </c>
      <c r="C49" s="238">
        <f ca="1">ROUND((C33+C39+C41+C45)/(1-C40-D41-D45-C48),0)</f>
        <v>803936552</v>
      </c>
      <c r="D49" s="238"/>
      <c r="E49" s="238"/>
      <c r="F49" s="270"/>
      <c r="G49" s="240" t="s">
        <v>2180</v>
      </c>
    </row>
    <row r="50" spans="1:7" s="264" customFormat="1">
      <c r="A50" s="261" t="s">
        <v>2181</v>
      </c>
      <c r="B50" s="216" t="s">
        <v>2182</v>
      </c>
      <c r="C50" s="238"/>
      <c r="D50" s="238"/>
      <c r="E50" s="238"/>
      <c r="F50" s="270">
        <f>IF('数据-取费表'!B24=0,'数据-取费表'!N16,1)</f>
        <v>0.91</v>
      </c>
      <c r="G50" s="253"/>
    </row>
    <row r="51" spans="1:7" ht="16.5" customHeight="1">
      <c r="A51" s="261" t="s">
        <v>2184</v>
      </c>
      <c r="B51" s="216" t="s">
        <v>2219</v>
      </c>
      <c r="C51" s="238">
        <f ca="1">ROUND(C49*F50,0)</f>
        <v>731582262</v>
      </c>
      <c r="D51" s="238"/>
      <c r="E51" s="238"/>
      <c r="F51" s="270"/>
      <c r="G51" s="240" t="s">
        <v>2186</v>
      </c>
    </row>
    <row r="52" spans="1:7" s="214" customFormat="1" ht="16.5" thickBot="1">
      <c r="A52" s="271" t="s">
        <v>2187</v>
      </c>
      <c r="B52" s="272"/>
      <c r="C52" s="273">
        <f ca="1">C31+C51</f>
        <v>792923990</v>
      </c>
      <c r="D52" s="272"/>
      <c r="E52" s="272"/>
      <c r="F52" s="272"/>
      <c r="G52" s="274"/>
    </row>
    <row r="55" spans="1:7" ht="15">
      <c r="B55" s="276" t="s">
        <v>2188</v>
      </c>
      <c r="C55" s="277"/>
    </row>
    <row r="56" spans="1:7">
      <c r="B56" s="279" t="s">
        <v>1418</v>
      </c>
      <c r="C56" s="281">
        <f ca="1">1-C57</f>
        <v>7.6999999999999957E-2</v>
      </c>
    </row>
    <row r="57" spans="1:7">
      <c r="B57" s="279" t="s">
        <v>1419</v>
      </c>
      <c r="C57" s="280">
        <f ca="1">ROUND(C51/C52,3)</f>
        <v>0.92300000000000004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4"/>
      <c r="C1" s="1325"/>
      <c r="D1" s="1323"/>
      <c r="E1" s="3006"/>
      <c r="F1" s="3006"/>
      <c r="G1" s="2869"/>
      <c r="H1" s="3006"/>
      <c r="I1" s="3006"/>
      <c r="J1" s="3006"/>
      <c r="K1" s="3007">
        <f>MATCH(C1,'数据-取费表'!A6:A16,0)+5</f>
        <v>7</v>
      </c>
    </row>
    <row r="2" spans="1:33" ht="18" customHeight="1">
      <c r="A2" s="207" t="s">
        <v>2088</v>
      </c>
      <c r="B2" s="210">
        <f ca="1">C32</f>
        <v>0</v>
      </c>
      <c r="C2" s="282" t="s">
        <v>2221</v>
      </c>
      <c r="D2" s="282"/>
      <c r="E2" s="3006"/>
      <c r="F2" s="3006"/>
      <c r="G2" s="3006"/>
      <c r="H2" s="3006"/>
      <c r="I2" s="3006"/>
      <c r="J2" s="3006"/>
      <c r="K2" s="3006"/>
    </row>
    <row r="3" spans="1:33" ht="18" customHeight="1" thickBot="1">
      <c r="A3" s="209" t="s">
        <v>2090</v>
      </c>
      <c r="B3" s="210">
        <f ca="1">ROUND(B2*10000/IF(C1="",'数据-汇总表'!E3,INDIRECT("'数据-取费表'!K"&amp;$K$1)),0)</f>
        <v>0</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0.05</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101504.34</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101504.34</v>
      </c>
      <c r="E17" s="24">
        <f>'数据-取费表'!B32</f>
        <v>0</v>
      </c>
      <c r="F17" s="915"/>
      <c r="G17" s="136" t="s">
        <v>2252</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7"/>
      <c r="H18" s="1320"/>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2"/>
      <c r="I19" s="918"/>
      <c r="J19" s="918"/>
      <c r="K19" s="919"/>
    </row>
    <row r="20" spans="1:33" s="912" customFormat="1" ht="13.5" customHeight="1">
      <c r="A20" s="908" t="s">
        <v>806</v>
      </c>
      <c r="B20" s="909" t="s">
        <v>2256</v>
      </c>
      <c r="C20" s="24">
        <f ca="1">ROUND(D20*E20/10000,0)</f>
        <v>2030</v>
      </c>
      <c r="D20" s="955">
        <f ca="1">IF(C1="",'数据-汇总表'!E6,IF(INDIRECT("'数据-取费表'!c"&amp;$K$1)="住宅",INDIRECT("'数据-取费表'!s"&amp;$K$1),INDIRECT("'数据-取费表'!k"&amp;$K$1)+INDIRECT("'数据-取费表'!s"&amp;$K$1)))</f>
        <v>101504.34</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0.03</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0.03</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23" sqref="D2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1283</v>
      </c>
      <c r="D1" s="1515" t="s">
        <v>70</v>
      </c>
      <c r="E1" s="1516" t="s">
        <v>1292</v>
      </c>
      <c r="F1" s="1193">
        <f ca="1">J53</f>
        <v>20.61</v>
      </c>
      <c r="G1" s="1531">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209717</v>
      </c>
      <c r="C2" s="1540" t="s">
        <v>1421</v>
      </c>
      <c r="D2" s="1540"/>
      <c r="E2" s="1541"/>
      <c r="F2" s="1542"/>
      <c r="G2" s="2904"/>
      <c r="H2" s="2893"/>
      <c r="I2" s="2893"/>
      <c r="J2" s="2893"/>
      <c r="K2" s="2894"/>
      <c r="L2" s="2893"/>
      <c r="M2" s="2893"/>
    </row>
    <row r="3" spans="1:37" ht="18" customHeight="1" thickBot="1">
      <c r="A3" s="1543" t="s">
        <v>1422</v>
      </c>
      <c r="B3" s="1544">
        <f ca="1">IF(ISERROR(B2*10000/F43),0,ROUND(B2*10000/F43,0))</f>
        <v>20855</v>
      </c>
      <c r="C3" s="1540" t="s">
        <v>1423</v>
      </c>
      <c r="D3" s="1540"/>
      <c r="E3" s="1541"/>
      <c r="F3" s="1542"/>
      <c r="G3" s="2904"/>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18192</v>
      </c>
      <c r="D5" s="1517" t="s">
        <v>1307</v>
      </c>
      <c r="E5" s="1203"/>
      <c r="F5" s="1204"/>
      <c r="G5" s="1537"/>
      <c r="H5" s="305">
        <v>1</v>
      </c>
      <c r="I5" s="306" t="s">
        <v>1306</v>
      </c>
      <c r="J5" s="1202">
        <f ca="1">J6+J10+J12</f>
        <v>0</v>
      </c>
      <c r="K5" s="1517" t="s">
        <v>1307</v>
      </c>
      <c r="L5" s="1203"/>
      <c r="M5" s="1204"/>
    </row>
    <row r="6" spans="1:37" ht="18" customHeight="1">
      <c r="A6" s="1201" t="s">
        <v>1003</v>
      </c>
      <c r="B6" s="3530" t="s">
        <v>1308</v>
      </c>
      <c r="C6" s="1206">
        <f ca="1">ROUND(F6*F8*F7*(1-F9)/10000,0)</f>
        <v>18169</v>
      </c>
      <c r="D6" s="160" t="s">
        <v>2789</v>
      </c>
      <c r="E6" s="308" t="s">
        <v>1310</v>
      </c>
      <c r="F6" s="309">
        <f ca="1">INDIRECT("'数据-取费表'!u"&amp;$G$1)</f>
        <v>5.5</v>
      </c>
      <c r="G6" s="1537"/>
      <c r="H6" s="1201" t="s">
        <v>1003</v>
      </c>
      <c r="I6" s="3530" t="s">
        <v>1308</v>
      </c>
      <c r="J6" s="307">
        <f ca="1">ROUND(M6*M8*M7*(1-M9)/10000,0)</f>
        <v>0</v>
      </c>
      <c r="K6" s="160" t="s">
        <v>2788</v>
      </c>
      <c r="L6" s="308" t="s">
        <v>1310</v>
      </c>
      <c r="M6" s="309">
        <f ca="1">INDIRECT("'数据-取费表'!z"&amp;$G$1)</f>
        <v>0</v>
      </c>
    </row>
    <row r="7" spans="1:37" ht="18" customHeight="1">
      <c r="A7" s="1205"/>
      <c r="B7" s="3531"/>
      <c r="C7" s="1207"/>
      <c r="D7" s="313"/>
      <c r="E7" s="1208" t="s">
        <v>1311</v>
      </c>
      <c r="F7" s="309">
        <f ca="1">IF(INDIRECT("'数据-取费表'!ah"&amp;$G$1)="",INDIRECT("'数据-取费表'!k"&amp;$G$1),INDIRECT("'数据-取费表'!ah"&amp;$G$1))</f>
        <v>100560.83</v>
      </c>
      <c r="G7" s="1537"/>
      <c r="H7" s="310"/>
      <c r="I7" s="3531"/>
      <c r="J7" s="312"/>
      <c r="K7" s="313"/>
      <c r="L7" s="308" t="s">
        <v>1311</v>
      </c>
      <c r="M7" s="309">
        <f ca="1">F7</f>
        <v>100560.83</v>
      </c>
    </row>
    <row r="8" spans="1:37" ht="18" customHeight="1">
      <c r="A8" s="310"/>
      <c r="B8" s="3531"/>
      <c r="C8" s="312"/>
      <c r="D8" s="313"/>
      <c r="E8" s="308" t="s">
        <v>1312</v>
      </c>
      <c r="F8" s="309">
        <f ca="1">INDIRECT("'数据-取费表'!ai"&amp;$G$1)</f>
        <v>365</v>
      </c>
      <c r="G8" s="1537"/>
      <c r="H8" s="310"/>
      <c r="I8" s="3531"/>
      <c r="J8" s="312"/>
      <c r="K8" s="313"/>
      <c r="L8" s="308" t="s">
        <v>1312</v>
      </c>
      <c r="M8" s="309">
        <f ca="1">INDIRECT("'数据-取费表'!ai"&amp;$G$1)</f>
        <v>365</v>
      </c>
    </row>
    <row r="9" spans="1:37" ht="18" customHeight="1">
      <c r="A9" s="310"/>
      <c r="B9" s="3532"/>
      <c r="C9" s="312"/>
      <c r="D9" s="313"/>
      <c r="E9" s="308" t="s">
        <v>1313</v>
      </c>
      <c r="F9" s="318">
        <f ca="1">INDIRECT("'数据-取费表'!w"&amp;$G$1)</f>
        <v>0.1</v>
      </c>
      <c r="G9" s="1537"/>
      <c r="H9" s="310"/>
      <c r="I9" s="3532"/>
      <c r="J9" s="312"/>
      <c r="K9" s="313"/>
      <c r="L9" s="319" t="s">
        <v>1313</v>
      </c>
      <c r="M9" s="320">
        <f ca="1">INDIRECT("'数据-取费表'!ab"&amp;$G$1)</f>
        <v>0</v>
      </c>
    </row>
    <row r="10" spans="1:37" ht="18" customHeight="1">
      <c r="A10" s="1201" t="s">
        <v>1007</v>
      </c>
      <c r="B10" s="1518" t="s">
        <v>1314</v>
      </c>
      <c r="C10" s="322">
        <f ca="1">ROUND(IF(F10="押一",C6/12*F11,IF(F10="押二",C6/12*2*F11,IF(F10="押三",C6/12*3*F11,C11*F11))),0)</f>
        <v>23</v>
      </c>
      <c r="D10" s="1519" t="s">
        <v>2797</v>
      </c>
      <c r="E10" s="319" t="s">
        <v>1315</v>
      </c>
      <c r="F10" s="1248" t="s">
        <v>3284</v>
      </c>
      <c r="G10" s="1537"/>
      <c r="H10" s="1201" t="s">
        <v>1007</v>
      </c>
      <c r="I10" s="1518" t="s">
        <v>1314</v>
      </c>
      <c r="J10" s="307">
        <f ca="1">ROUND(IF(M10="押一",J6/12*M11,IF(M10="押二",J6/12*2*M11,IF(M10="押三",J6/12*3*M11,J11*M11))),0)</f>
        <v>0</v>
      </c>
      <c r="K10" s="1519" t="s">
        <v>2796</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73159</v>
      </c>
      <c r="D13" s="1213" t="s">
        <v>1320</v>
      </c>
      <c r="E13" s="1213" t="s">
        <v>1321</v>
      </c>
      <c r="F13" s="1214">
        <f ca="1">INDIRECT("'数据-取费表'!y"&amp;$G$1)</f>
        <v>0.91</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50752</v>
      </c>
      <c r="D14" s="1498" t="s">
        <v>1323</v>
      </c>
      <c r="E14" s="1495"/>
      <c r="F14" s="325"/>
      <c r="G14" s="1537"/>
      <c r="H14" s="1113" t="s">
        <v>1003</v>
      </c>
      <c r="I14" s="308" t="s">
        <v>1324</v>
      </c>
      <c r="J14" s="24">
        <f ca="1">C29</f>
        <v>80394</v>
      </c>
      <c r="K14" s="15"/>
      <c r="L14" s="916"/>
      <c r="M14" s="917"/>
    </row>
    <row r="15" spans="1:37" s="1550" customFormat="1" ht="18" customHeight="1" thickBot="1">
      <c r="A15" s="1113" t="s">
        <v>1004</v>
      </c>
      <c r="B15" s="308" t="s">
        <v>1325</v>
      </c>
      <c r="C15" s="24">
        <f ca="1">ROUND(C14*F15,0)</f>
        <v>2538</v>
      </c>
      <c r="D15" s="326" t="s">
        <v>1326</v>
      </c>
      <c r="E15" s="326" t="s">
        <v>1327</v>
      </c>
      <c r="F15" s="327">
        <f>'数据-取费表'!B33</f>
        <v>0.05</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1885</v>
      </c>
      <c r="K16" s="1219" t="s">
        <v>1330</v>
      </c>
      <c r="L16" s="1220"/>
      <c r="M16" s="1204"/>
    </row>
    <row r="17" spans="1:37" s="1550" customFormat="1" ht="18" customHeight="1">
      <c r="A17" s="1113" t="s">
        <v>1295</v>
      </c>
      <c r="B17" s="308" t="s">
        <v>1331</v>
      </c>
      <c r="C17" s="24">
        <f ca="1">ROUND(F17*(F43+INDIRECT("'数据-取费表'!S"&amp;$G$1))/10000,0)</f>
        <v>2030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679</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761</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56081</v>
      </c>
      <c r="D19" s="136" t="s">
        <v>1341</v>
      </c>
      <c r="E19" s="1513"/>
      <c r="F19" s="26"/>
      <c r="G19" s="1537"/>
      <c r="H19" s="1113" t="s">
        <v>1004</v>
      </c>
      <c r="I19" s="308" t="s">
        <v>1342</v>
      </c>
      <c r="J19" s="24">
        <f ca="1">IF(K19="按租金收入计税",ROUND(J6*M19/(1+'数据-取费表'!C42),2),ROUND(C29*M19*0.7,2))</f>
        <v>675.31</v>
      </c>
      <c r="K19" s="1523" t="s">
        <v>1343</v>
      </c>
      <c r="L19" s="308" t="s">
        <v>1327</v>
      </c>
      <c r="M19" s="328">
        <f>IF(K19="按租金收入计税",'数据-取费表'!B51,'数据-取费表'!B50)</f>
        <v>1.2E-2</v>
      </c>
    </row>
    <row r="20" spans="1:37" s="1550" customFormat="1" ht="18" customHeight="1">
      <c r="A20" s="1113" t="s">
        <v>1007</v>
      </c>
      <c r="B20" s="308" t="s">
        <v>1344</v>
      </c>
      <c r="C20" s="24">
        <f ca="1">ROUND(C19*F20,0)</f>
        <v>1682</v>
      </c>
      <c r="D20" s="329" t="s">
        <v>1345</v>
      </c>
      <c r="E20" s="308" t="s">
        <v>1327</v>
      </c>
      <c r="F20" s="328">
        <f>'数据-取费表'!B37</f>
        <v>0.03</v>
      </c>
      <c r="G20" s="1549"/>
      <c r="H20" s="1113" t="s">
        <v>1294</v>
      </c>
      <c r="I20" s="160" t="s">
        <v>1346</v>
      </c>
      <c r="J20" s="25">
        <f ca="1">ROUND(M20*M21/10000,2)</f>
        <v>3.85</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0.03</v>
      </c>
      <c r="G21" s="1549"/>
      <c r="H21" s="332"/>
      <c r="I21" s="317"/>
      <c r="J21" s="29"/>
      <c r="K21" s="333"/>
      <c r="L21" s="308" t="s">
        <v>1352</v>
      </c>
      <c r="M21" s="309">
        <f ca="1">INDIRECT("'数据-取费表'!r"&amp;$G$1)</f>
        <v>25666.1</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ROUND(J14*M22,1)</f>
        <v>1205.9000000000001</v>
      </c>
      <c r="K22" s="1497" t="s">
        <v>1355</v>
      </c>
      <c r="L22" s="308" t="s">
        <v>1327</v>
      </c>
      <c r="M22" s="334">
        <f ca="1">INDIRECT("'数据-取费表'!Ak"&amp;$G$1)</f>
        <v>1.4999999999999999E-2</v>
      </c>
    </row>
    <row r="23" spans="1:37" s="1550" customFormat="1" ht="18" customHeight="1">
      <c r="A23" s="1113" t="s">
        <v>1002</v>
      </c>
      <c r="B23" s="308" t="s">
        <v>1356</v>
      </c>
      <c r="C23" s="24">
        <f ca="1">IF('数据-取费表'!B22&lt;=1,ROUND(C19*F24*F23/2,0)+ROUND(C20*F24*F23/2,0),ROUND(C19*(POWER((1+F24),F23/2)-1),0)+ROUND(C20*(POWER((1+F24),F23/2)-1),0))</f>
        <v>3810</v>
      </c>
      <c r="D23" s="335" t="str">
        <f>IF(F23&lt;=1,"(建造成本+管理费用)×利率×(建设周期÷2)","(建造成本+管理费用)×((1+利率)^(建设周期÷2)-1)")</f>
        <v>(建造成本+管理费用)×((1+利率)^(建设周期÷2)-1)</v>
      </c>
      <c r="E23" s="308" t="s">
        <v>1357</v>
      </c>
      <c r="F23" s="331">
        <f>'数据-取费表'!B20</f>
        <v>3</v>
      </c>
      <c r="G23" s="1549"/>
      <c r="H23" s="1113" t="s">
        <v>1043</v>
      </c>
      <c r="I23" s="308" t="s">
        <v>1358</v>
      </c>
      <c r="J23" s="24">
        <f ca="1">ROUND(J13*M23,1)</f>
        <v>0</v>
      </c>
      <c r="K23" s="1497" t="s">
        <v>1359</v>
      </c>
      <c r="L23" s="308" t="s">
        <v>1360</v>
      </c>
      <c r="M23" s="336">
        <f ca="1">INDIRECT("'数据-取费表'!Al"&amp;$G$1)</f>
        <v>2E-3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2E-3</v>
      </c>
      <c r="D24" s="335" t="str">
        <f>IF(F23&lt;=1,"销售费用×利率×(建设周期÷2)","销售费用×((1+利率)^(建设周期÷2)-1)")</f>
        <v>销售费用×((1+利率)^(建设周期÷2)-1)</v>
      </c>
      <c r="E24" s="308" t="s">
        <v>1363</v>
      </c>
      <c r="F24" s="337">
        <f ca="1">'数据-取费表'!B40</f>
        <v>4.3499999999999997E-2</v>
      </c>
      <c r="G24" s="1549"/>
      <c r="H24" s="1221" t="s">
        <v>1298</v>
      </c>
      <c r="I24" s="1222" t="s">
        <v>1344</v>
      </c>
      <c r="J24" s="1223">
        <f ca="1">ROUND(J5*M24,1)</f>
        <v>0</v>
      </c>
      <c r="K24" s="1224" t="s">
        <v>1364</v>
      </c>
      <c r="L24" s="1222" t="s">
        <v>1360</v>
      </c>
      <c r="M24" s="1218">
        <f ca="1">INDIRECT("'数据-取费表'!Am"&amp;$G$1)</f>
        <v>0.02</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-1885</v>
      </c>
      <c r="K25" s="1227" t="s">
        <v>1369</v>
      </c>
      <c r="L25" s="1228"/>
      <c r="M25" s="1229"/>
    </row>
    <row r="26" spans="1:37">
      <c r="A26" s="1113" t="s">
        <v>1002</v>
      </c>
      <c r="B26" s="308" t="s">
        <v>1370</v>
      </c>
      <c r="C26" s="24">
        <f ca="1">ROUND((C19+C20)*F26,0)</f>
        <v>11553</v>
      </c>
      <c r="D26" s="329" t="s">
        <v>1371</v>
      </c>
      <c r="E26" s="319" t="s">
        <v>1372</v>
      </c>
      <c r="F26" s="318">
        <f ca="1">INDIRECT("'数据-取费表'!q"&amp;$G$1)</f>
        <v>0.2</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6.0000000000000001E-3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80394</v>
      </c>
      <c r="D29" s="1224"/>
      <c r="E29" s="1222"/>
      <c r="F29" s="1225"/>
      <c r="G29" s="1549"/>
      <c r="H29" s="340" t="s">
        <v>1001</v>
      </c>
      <c r="I29" s="341" t="s">
        <v>1384</v>
      </c>
      <c r="J29" s="342">
        <f ca="1">ROUND(J26/(1+F40)^F41,0)</f>
        <v>0</v>
      </c>
      <c r="K29" s="343" t="s">
        <v>1385</v>
      </c>
      <c r="L29" s="344"/>
      <c r="M29" s="345">
        <f ca="1">INDIRECT("'数据-取费表'!k"&amp;$G$1)</f>
        <v>100560.83</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4748</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3032</v>
      </c>
      <c r="D31" s="1498" t="s">
        <v>1335</v>
      </c>
      <c r="E31" s="1497" t="s">
        <v>1386</v>
      </c>
      <c r="F31" s="2502" t="str">
        <f>IF(项目基本情况!B11="企业","——",IF('数据-取费表'!B10="住宅",IF(F6*F7*F8/12/(1+'数据-取费表'!F30)&gt;100000,4%,2.5%),IF(F6*F7*F8/12/(1+'数据-取费表'!F30)&gt;100000,12%,7%)))</f>
        <v>——</v>
      </c>
      <c r="G31" s="1537"/>
      <c r="H31" s="3008" t="s">
        <v>2996</v>
      </c>
      <c r="I31" s="1551"/>
      <c r="J31" s="1552"/>
      <c r="K31" s="2670"/>
      <c r="L31" s="2896"/>
      <c r="M31" s="2897"/>
    </row>
    <row r="32" spans="1:37" ht="18" customHeight="1">
      <c r="A32" s="1113" t="s">
        <v>1002</v>
      </c>
      <c r="B32" s="308" t="s">
        <v>1338</v>
      </c>
      <c r="C32" s="24">
        <f ca="1">IF(项目基本情况!B11="自然人","——",ROUND(C6*F32/(1+'数据-取费表'!C42),2))</f>
        <v>951.71</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2076.46</v>
      </c>
      <c r="D33" s="1523" t="s">
        <v>3285</v>
      </c>
      <c r="E33" s="308" t="s">
        <v>1327</v>
      </c>
      <c r="F33" s="328">
        <f>IF(D33="按票据","——",IF(D33="按租金收入计税",'数据-取费表'!B51,'数据-取费表'!B50))</f>
        <v>0.12</v>
      </c>
      <c r="G33" s="1537"/>
      <c r="H33" s="2898"/>
      <c r="I33" s="1551"/>
      <c r="J33" s="1552"/>
      <c r="K33" s="2899"/>
      <c r="L33" s="2898"/>
      <c r="M33" s="2898"/>
    </row>
    <row r="34" spans="1:18" ht="18" customHeight="1">
      <c r="A34" s="1201" t="s">
        <v>1294</v>
      </c>
      <c r="B34" s="160" t="s">
        <v>1346</v>
      </c>
      <c r="C34" s="25">
        <f ca="1">IF(项目基本情况!B11="自然人","——",ROUND(F34*F35/10000,2))</f>
        <v>3.85</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25666.1</v>
      </c>
      <c r="G35" s="1537"/>
      <c r="H35" s="2895"/>
      <c r="I35" s="1551"/>
      <c r="J35" s="1552"/>
      <c r="K35" s="2899"/>
      <c r="L35" s="2898"/>
      <c r="M35" s="2898"/>
    </row>
    <row r="36" spans="1:18" ht="18" customHeight="1">
      <c r="A36" s="1234" t="s">
        <v>1007</v>
      </c>
      <c r="B36" s="308" t="s">
        <v>1354</v>
      </c>
      <c r="C36" s="24">
        <f ca="1">ROUND(C29*F36,1)</f>
        <v>1205.9000000000001</v>
      </c>
      <c r="D36" s="1497" t="s">
        <v>1387</v>
      </c>
      <c r="E36" s="308" t="s">
        <v>1327</v>
      </c>
      <c r="F36" s="334">
        <f ca="1">INDIRECT("'数据-取费表'!Ak"&amp;$G$1)</f>
        <v>1.4999999999999999E-2</v>
      </c>
      <c r="G36" s="1537"/>
      <c r="H36" s="2898"/>
      <c r="I36" s="1551"/>
      <c r="J36" s="1552"/>
      <c r="K36" s="2739"/>
      <c r="L36" s="2898"/>
      <c r="M36" s="2898"/>
    </row>
    <row r="37" spans="1:18" ht="18" customHeight="1">
      <c r="A37" s="1113" t="s">
        <v>1043</v>
      </c>
      <c r="B37" s="308" t="s">
        <v>1358</v>
      </c>
      <c r="C37" s="24">
        <f ca="1">ROUND(C13*F37,1)</f>
        <v>146.30000000000001</v>
      </c>
      <c r="D37" s="1497" t="s">
        <v>1359</v>
      </c>
      <c r="E37" s="308" t="s">
        <v>1360</v>
      </c>
      <c r="F37" s="336">
        <f ca="1">INDIRECT("'数据-取费表'!Al"&amp;$G$1)</f>
        <v>2E-3</v>
      </c>
      <c r="G37" s="1537"/>
      <c r="H37" s="2898"/>
      <c r="I37" s="1551"/>
      <c r="J37" s="1552"/>
      <c r="K37" s="2739"/>
      <c r="L37" s="2898"/>
      <c r="M37" s="2898"/>
    </row>
    <row r="38" spans="1:18" ht="18" customHeight="1" thickBot="1">
      <c r="A38" s="1221" t="s">
        <v>1298</v>
      </c>
      <c r="B38" s="1222" t="s">
        <v>1344</v>
      </c>
      <c r="C38" s="1223">
        <f ca="1">ROUND(C5*F38,1)</f>
        <v>363.8</v>
      </c>
      <c r="D38" s="1224" t="s">
        <v>1364</v>
      </c>
      <c r="E38" s="1222" t="s">
        <v>1360</v>
      </c>
      <c r="F38" s="1218">
        <f ca="1">INDIRECT("'数据-取费表'!Am"&amp;$G$1)</f>
        <v>0.02</v>
      </c>
      <c r="G38" s="1537"/>
      <c r="H38" s="2898"/>
      <c r="I38" s="1551"/>
      <c r="J38" s="1552"/>
      <c r="K38" s="2902"/>
      <c r="L38" s="2898"/>
      <c r="M38" s="2898"/>
    </row>
    <row r="39" spans="1:18" ht="24.6" customHeight="1" thickTop="1">
      <c r="A39" s="1211" t="s">
        <v>999</v>
      </c>
      <c r="B39" s="1226" t="s">
        <v>1388</v>
      </c>
      <c r="C39" s="316">
        <f ca="1">C5-C30</f>
        <v>13444</v>
      </c>
      <c r="D39" s="1227" t="s">
        <v>1389</v>
      </c>
      <c r="E39" s="1228"/>
      <c r="F39" s="1229"/>
      <c r="G39" s="1537"/>
      <c r="H39" s="2898"/>
      <c r="I39" s="1551"/>
      <c r="J39" s="1552"/>
      <c r="K39" s="2902"/>
      <c r="L39" s="2898"/>
      <c r="M39" s="2898"/>
    </row>
    <row r="40" spans="1:18" ht="18" customHeight="1">
      <c r="A40" s="305" t="s">
        <v>1000</v>
      </c>
      <c r="B40" s="306" t="s">
        <v>1390</v>
      </c>
      <c r="C40" s="307">
        <f ca="1">ROUND(C39*(1-((1+F42)/(1+F40))^F41)/(F40-F42),0)</f>
        <v>209717</v>
      </c>
      <c r="D40" s="330" t="s">
        <v>1374</v>
      </c>
      <c r="E40" s="308" t="s">
        <v>1375</v>
      </c>
      <c r="F40" s="318">
        <f ca="1">INDIRECT("'数据-取费表'!I"&amp;$G$1)</f>
        <v>5.5E-2</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20.61</v>
      </c>
      <c r="G41" s="1537"/>
      <c r="H41" s="1324"/>
      <c r="I41" s="1551"/>
      <c r="J41" s="1552"/>
      <c r="K41" s="2739"/>
      <c r="L41" s="1324"/>
      <c r="M41" s="1324"/>
    </row>
    <row r="42" spans="1:18" ht="18" customHeight="1">
      <c r="A42" s="314"/>
      <c r="B42" s="315"/>
      <c r="C42" s="316"/>
      <c r="D42" s="333"/>
      <c r="E42" s="308" t="s">
        <v>1382</v>
      </c>
      <c r="F42" s="318">
        <f ca="1">INDIRECT("'数据-取费表'!v"&amp;$G$1)</f>
        <v>0.03</v>
      </c>
      <c r="G42" s="1537"/>
      <c r="H42" s="1324"/>
      <c r="I42" s="1551"/>
      <c r="J42" s="1552"/>
      <c r="K42" s="2739"/>
      <c r="L42" s="1324"/>
      <c r="M42" s="1324"/>
    </row>
    <row r="43" spans="1:18" ht="18" customHeight="1" thickBot="1">
      <c r="A43" s="340" t="s">
        <v>1001</v>
      </c>
      <c r="B43" s="341" t="s">
        <v>1392</v>
      </c>
      <c r="C43" s="342">
        <f ca="1">ROUND(C40*10000/F43,0)</f>
        <v>20855</v>
      </c>
      <c r="D43" s="343" t="s">
        <v>1393</v>
      </c>
      <c r="E43" s="344" t="s">
        <v>1394</v>
      </c>
      <c r="F43" s="345">
        <f ca="1">INDIRECT("'数据-取费表'!k"&amp;$G$1)</f>
        <v>100560.83</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3" t="s">
        <v>1424</v>
      </c>
      <c r="P45" s="1614"/>
      <c r="Q45" s="1614"/>
      <c r="R45" s="1614"/>
    </row>
    <row r="46" spans="1:18" s="1537" customFormat="1" ht="13.5" thickBot="1">
      <c r="A46" s="1557" t="s">
        <v>1425</v>
      </c>
      <c r="C46" s="1558">
        <f ca="1">C68-C40</f>
        <v>-308246</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3286</v>
      </c>
      <c r="K47" s="1569" t="s">
        <v>1432</v>
      </c>
      <c r="L47" s="1570">
        <f ca="1">INDIRECT("'数据-取费表'!d"&amp;$G$1)</f>
        <v>40</v>
      </c>
      <c r="M47" s="1533" t="str">
        <f>IF(ISNUMBER(FIND("住宅",C1)),"住宅","非住宅")</f>
        <v>非住宅</v>
      </c>
      <c r="O47" s="1571" t="s">
        <v>1008</v>
      </c>
      <c r="P47" s="1572" t="s">
        <v>1433</v>
      </c>
      <c r="Q47" s="1573">
        <f ca="1">C40+J29</f>
        <v>209717</v>
      </c>
      <c r="R47" s="1573" t="s">
        <v>1434</v>
      </c>
    </row>
    <row r="48" spans="1:18" s="1537" customFormat="1" ht="28.5" thickBot="1">
      <c r="A48" s="1242" t="s">
        <v>1044</v>
      </c>
      <c r="B48" s="306" t="s">
        <v>1306</v>
      </c>
      <c r="C48" s="1512">
        <f ca="1">C49+C53+C55</f>
        <v>0</v>
      </c>
      <c r="D48" s="1244"/>
      <c r="E48" s="1245"/>
      <c r="F48" s="1093"/>
      <c r="G48" s="731"/>
      <c r="H48" s="732"/>
      <c r="I48" s="1574" t="s">
        <v>1435</v>
      </c>
      <c r="J48" s="1575" t="s">
        <v>3287</v>
      </c>
      <c r="K48" s="1576" t="s">
        <v>1436</v>
      </c>
      <c r="L48" s="1577">
        <f ca="1">INDIRECT("'数据-取费表'!f"&amp;$G$1)</f>
        <v>20.61</v>
      </c>
      <c r="O48" s="1571" t="s">
        <v>1009</v>
      </c>
      <c r="P48" s="1572" t="s">
        <v>1437</v>
      </c>
      <c r="Q48" s="1573" t="str">
        <f ca="1">J60</f>
        <v>0</v>
      </c>
      <c r="R48" s="1573" t="s">
        <v>1438</v>
      </c>
    </row>
    <row r="49" spans="1:18" s="1537" customFormat="1" ht="13.5" thickBot="1">
      <c r="A49" s="1106" t="s">
        <v>1045</v>
      </c>
      <c r="B49" s="1524" t="s">
        <v>1395</v>
      </c>
      <c r="C49" s="1246">
        <f ca="1">ROUND(F49*F51*F50*(1-F52)/10000,0)</f>
        <v>0</v>
      </c>
      <c r="D49" s="1186" t="s">
        <v>2790</v>
      </c>
      <c r="E49" s="1525" t="s">
        <v>1396</v>
      </c>
      <c r="F49" s="1191"/>
      <c r="G49" s="1578"/>
      <c r="H49" s="732"/>
      <c r="I49" s="1574" t="s">
        <v>1439</v>
      </c>
      <c r="J49" s="1579">
        <v>2014</v>
      </c>
      <c r="K49" s="1576" t="s">
        <v>1440</v>
      </c>
      <c r="L49" s="1580"/>
      <c r="O49" s="1581" t="s">
        <v>1010</v>
      </c>
      <c r="P49" s="1572" t="s">
        <v>1441</v>
      </c>
      <c r="Q49" s="1573">
        <f ca="1">C29</f>
        <v>80394</v>
      </c>
      <c r="R49" s="1573" t="s">
        <v>1434</v>
      </c>
    </row>
    <row r="50" spans="1:18" s="1537" customFormat="1" ht="13.5" thickBot="1">
      <c r="A50" s="1107"/>
      <c r="B50" s="1110"/>
      <c r="C50" s="1250"/>
      <c r="D50" s="1084"/>
      <c r="E50" s="1187" t="s">
        <v>1311</v>
      </c>
      <c r="F50" s="1188">
        <f ca="1">F7</f>
        <v>100560.83</v>
      </c>
      <c r="H50" s="732"/>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8"/>
      <c r="B51" s="1110"/>
      <c r="C51" s="1111"/>
      <c r="D51" s="1084"/>
      <c r="E51" s="1112" t="s">
        <v>1312</v>
      </c>
      <c r="F51" s="309">
        <f ca="1">F8</f>
        <v>365</v>
      </c>
      <c r="I51" s="1585" t="s">
        <v>1445</v>
      </c>
      <c r="J51" s="1586">
        <f>IF(J49="",J50,J49+J50-YEAR('数据-取费表'!B2))</f>
        <v>52</v>
      </c>
      <c r="K51" s="1587" t="s">
        <v>1446</v>
      </c>
      <c r="L51" s="1588">
        <f ca="1">ROUND(-PV(INDIRECT("'数据-取费表'!h"&amp;$G$1),J51,(C39-C13*C76),0),0)</f>
        <v>146554</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20.61</v>
      </c>
      <c r="R52" s="1573" t="s">
        <v>1451</v>
      </c>
    </row>
    <row r="53" spans="1:18" s="1537" customFormat="1" ht="24.75" thickBot="1">
      <c r="A53" s="1286" t="s">
        <v>1046</v>
      </c>
      <c r="B53" s="1526" t="s">
        <v>1314</v>
      </c>
      <c r="C53" s="322">
        <f ca="1">ROUND(IF(F53="押一",C49/12*F11,IF(F53="押二",C49/12*2*F11,IF(F53="押三",C49/12*3*F11,C54*F11))),0)</f>
        <v>0</v>
      </c>
      <c r="D53" s="1519" t="s">
        <v>2796</v>
      </c>
      <c r="E53" s="319" t="s">
        <v>1315</v>
      </c>
      <c r="F53" s="1248"/>
      <c r="I53" s="1592" t="s">
        <v>1452</v>
      </c>
      <c r="J53" s="2355">
        <f ca="1">IF(M47="住宅",IF(D1="——",MAX(J51,L48),MAX(J51,L48-'数据-取费表'!B24)),IF(D1="——",MIN(J51,L48),MIN(J51,L48-'数据-取费表'!B24)))</f>
        <v>20.61</v>
      </c>
      <c r="K53" s="3528" t="s">
        <v>1453</v>
      </c>
      <c r="L53" s="3529"/>
      <c r="O53" s="1571" t="s">
        <v>1014</v>
      </c>
      <c r="P53" s="1572" t="s">
        <v>1454</v>
      </c>
      <c r="Q53" s="1573">
        <f ca="1">Q47+Q48</f>
        <v>209717</v>
      </c>
      <c r="R53" s="1573" t="s">
        <v>1015</v>
      </c>
    </row>
    <row r="54" spans="1:18" s="1537" customFormat="1" ht="13.5"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73159</v>
      </c>
      <c r="D56" s="1600"/>
      <c r="E56" s="1601"/>
      <c r="F56" s="1593"/>
      <c r="I56" s="1602" t="s">
        <v>1459</v>
      </c>
      <c r="J56" s="1603" t="s">
        <v>3142</v>
      </c>
      <c r="K56" s="1574" t="s">
        <v>1460</v>
      </c>
      <c r="L56" s="1577" t="str">
        <f ca="1">IF(L48&lt;J51,"——",L48-J53)</f>
        <v>——</v>
      </c>
      <c r="O56" s="1571" t="s">
        <v>1008</v>
      </c>
      <c r="P56" s="1572" t="s">
        <v>1433</v>
      </c>
      <c r="Q56" s="1573">
        <f ca="1">C40+J29</f>
        <v>209717</v>
      </c>
      <c r="R56" s="1573" t="s">
        <v>1434</v>
      </c>
    </row>
    <row r="57" spans="1:18" s="1537" customFormat="1" ht="24.75" thickBot="1">
      <c r="A57" s="1604"/>
      <c r="B57" s="1081" t="s">
        <v>1383</v>
      </c>
      <c r="C57" s="244">
        <f ca="1">C29</f>
        <v>80394</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8109</v>
      </c>
      <c r="D58" s="1091" t="s">
        <v>1330</v>
      </c>
      <c r="E58" s="1092"/>
      <c r="F58" s="1093"/>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6757</v>
      </c>
      <c r="D59" s="1094" t="s">
        <v>1335</v>
      </c>
      <c r="E59" s="1095"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6753.1</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3.85</v>
      </c>
      <c r="D62" s="1096" t="s">
        <v>1402</v>
      </c>
      <c r="E62" s="1081" t="s">
        <v>1403</v>
      </c>
      <c r="F62" s="331">
        <f t="shared" si="0"/>
        <v>1.5</v>
      </c>
      <c r="I62" s="1615" t="s">
        <v>1475</v>
      </c>
      <c r="J62" s="1616" t="s">
        <v>1476</v>
      </c>
      <c r="K62" s="1616" t="s">
        <v>1477</v>
      </c>
      <c r="L62" s="1616" t="s">
        <v>1478</v>
      </c>
      <c r="M62" s="1617" t="s">
        <v>1479</v>
      </c>
      <c r="O62" s="1571" t="s">
        <v>1014</v>
      </c>
      <c r="P62" s="1572" t="s">
        <v>1480</v>
      </c>
      <c r="Q62" s="1573">
        <f ca="1">Q56+Q57</f>
        <v>209717</v>
      </c>
      <c r="R62" s="1573" t="s">
        <v>1015</v>
      </c>
    </row>
    <row r="63" spans="1:18" s="1537" customFormat="1" ht="13.5" thickBot="1">
      <c r="A63" s="332"/>
      <c r="B63" s="1087"/>
      <c r="C63" s="29"/>
      <c r="D63" s="1097"/>
      <c r="E63" s="1081" t="s">
        <v>1404</v>
      </c>
      <c r="F63" s="309">
        <f t="shared" ca="1" si="0"/>
        <v>25666.1</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1205.9000000000001</v>
      </c>
      <c r="D64" s="1095" t="s">
        <v>1407</v>
      </c>
      <c r="E64" s="1081" t="s">
        <v>1399</v>
      </c>
      <c r="F64" s="334">
        <f t="shared" ca="1" si="0"/>
        <v>1.4999999999999999E-2</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146.30000000000001</v>
      </c>
      <c r="D65" s="1095" t="s">
        <v>1359</v>
      </c>
      <c r="E65" s="1081" t="s">
        <v>1360</v>
      </c>
      <c r="F65" s="336">
        <f t="shared" ca="1" si="0"/>
        <v>2E-3</v>
      </c>
      <c r="I65" s="1615" t="s">
        <v>1484</v>
      </c>
      <c r="J65" s="1616">
        <v>40</v>
      </c>
      <c r="K65" s="1616">
        <v>30</v>
      </c>
      <c r="L65" s="1616">
        <v>50</v>
      </c>
      <c r="M65" s="1618">
        <v>0.02</v>
      </c>
      <c r="O65" s="1571" t="s">
        <v>1008</v>
      </c>
      <c r="P65" s="1572" t="s">
        <v>1485</v>
      </c>
      <c r="Q65" s="1573">
        <f ca="1">C40+J29</f>
        <v>209717</v>
      </c>
      <c r="R65" s="1573" t="s">
        <v>1434</v>
      </c>
    </row>
    <row r="66" spans="1:18" s="1537" customFormat="1" ht="16.5" thickBot="1">
      <c r="A66" s="1113" t="s">
        <v>1409</v>
      </c>
      <c r="B66" s="1081" t="s">
        <v>1344</v>
      </c>
      <c r="C66" s="24">
        <f ca="1">ROUND(C48*F66,1)</f>
        <v>0</v>
      </c>
      <c r="D66" s="1095" t="s">
        <v>1410</v>
      </c>
      <c r="E66" s="1081" t="s">
        <v>1327</v>
      </c>
      <c r="F66" s="318">
        <f t="shared" ca="1" si="0"/>
        <v>0.02</v>
      </c>
      <c r="O66" s="1571" t="s">
        <v>1009</v>
      </c>
      <c r="P66" s="1572" t="s">
        <v>1463</v>
      </c>
      <c r="Q66" s="1573">
        <f ca="1">L60</f>
        <v>0</v>
      </c>
      <c r="R66" s="1573" t="s">
        <v>1486</v>
      </c>
    </row>
    <row r="67" spans="1:18" s="1537" customFormat="1" ht="16.5" thickBot="1">
      <c r="A67" s="1088" t="s">
        <v>999</v>
      </c>
      <c r="B67" s="1098" t="s">
        <v>1368</v>
      </c>
      <c r="C67" s="322">
        <f ca="1">C48-C58</f>
        <v>-8109</v>
      </c>
      <c r="D67" s="1094" t="s">
        <v>1369</v>
      </c>
      <c r="E67" s="1099"/>
      <c r="F67" s="1100"/>
      <c r="O67" s="1581" t="s">
        <v>1010</v>
      </c>
      <c r="P67" s="1572" t="s">
        <v>1467</v>
      </c>
      <c r="Q67" s="1619">
        <f ca="1">L51</f>
        <v>146554</v>
      </c>
      <c r="R67" s="1573" t="s">
        <v>1487</v>
      </c>
    </row>
    <row r="68" spans="1:18" s="1537" customFormat="1" ht="16.5" thickBot="1">
      <c r="A68" s="1078" t="s">
        <v>1000</v>
      </c>
      <c r="B68" s="1079" t="s">
        <v>1390</v>
      </c>
      <c r="C68" s="307">
        <f ca="1">ROUND(C67*(1-((1+F70)/(1+F68))^F69)/(F68-F70),0)</f>
        <v>-98529</v>
      </c>
      <c r="D68" s="1096" t="s">
        <v>1374</v>
      </c>
      <c r="E68" s="1081" t="s">
        <v>1375</v>
      </c>
      <c r="F68" s="318">
        <f ca="1">F40</f>
        <v>5.5E-2</v>
      </c>
      <c r="O68" s="1581" t="s">
        <v>1011</v>
      </c>
      <c r="P68" s="1620" t="s">
        <v>1488</v>
      </c>
      <c r="Q68" s="1573">
        <f ca="1">ROUND(Q69-Q70*Q71,0)</f>
        <v>7957</v>
      </c>
      <c r="R68" s="1573" t="s">
        <v>1019</v>
      </c>
    </row>
    <row r="69" spans="1:18" s="1537" customFormat="1" ht="13.5" thickBot="1">
      <c r="A69" s="1082"/>
      <c r="B69" s="1083"/>
      <c r="C69" s="312"/>
      <c r="D69" s="1101" t="s">
        <v>1378</v>
      </c>
      <c r="E69" s="1081" t="s">
        <v>1379</v>
      </c>
      <c r="F69" s="339">
        <f ca="1">F41</f>
        <v>20.61</v>
      </c>
      <c r="O69" s="1581" t="s">
        <v>1016</v>
      </c>
      <c r="P69" s="1620" t="s">
        <v>1489</v>
      </c>
      <c r="Q69" s="1573">
        <f ca="1">C39</f>
        <v>13444</v>
      </c>
      <c r="R69" s="1573" t="s">
        <v>1434</v>
      </c>
    </row>
    <row r="70" spans="1:18" s="1537" customFormat="1" ht="13.5" thickBot="1">
      <c r="A70" s="1085"/>
      <c r="B70" s="1086"/>
      <c r="C70" s="316"/>
      <c r="D70" s="1097"/>
      <c r="E70" s="1081" t="s">
        <v>1382</v>
      </c>
      <c r="F70" s="1185"/>
      <c r="O70" s="1581" t="s">
        <v>1017</v>
      </c>
      <c r="P70" s="1620" t="s">
        <v>1490</v>
      </c>
      <c r="Q70" s="1573">
        <f ca="1">C13</f>
        <v>73159</v>
      </c>
      <c r="R70" s="1573" t="s">
        <v>1434</v>
      </c>
    </row>
    <row r="71" spans="1:18" s="1537" customFormat="1" ht="13.5" thickBot="1">
      <c r="A71" s="1102" t="s">
        <v>1001</v>
      </c>
      <c r="B71" s="1103" t="s">
        <v>1392</v>
      </c>
      <c r="C71" s="342">
        <f ca="1">ROUND(C68*10000/F71,0)</f>
        <v>-9798</v>
      </c>
      <c r="D71" s="1104" t="s">
        <v>1393</v>
      </c>
      <c r="E71" s="1105" t="s">
        <v>1394</v>
      </c>
      <c r="F71" s="345">
        <f ca="1">F43</f>
        <v>100560.83</v>
      </c>
      <c r="O71" s="1581" t="s">
        <v>1018</v>
      </c>
      <c r="P71" s="1620" t="s">
        <v>1491</v>
      </c>
      <c r="Q71" s="1584">
        <f ca="1">C76</f>
        <v>7.4999999999999997E-2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5487</v>
      </c>
      <c r="D75" s="1537"/>
      <c r="E75" s="1537"/>
      <c r="F75" s="1537"/>
      <c r="K75" s="1555"/>
      <c r="L75" s="1537"/>
      <c r="O75" s="1571" t="s">
        <v>1014</v>
      </c>
      <c r="P75" s="1572" t="s">
        <v>1454</v>
      </c>
      <c r="Q75" s="1573">
        <f ca="1">Q65+Q66</f>
        <v>209717</v>
      </c>
      <c r="R75" s="1573" t="s">
        <v>1015</v>
      </c>
    </row>
    <row r="76" spans="1:18">
      <c r="B76" s="348" t="s">
        <v>1412</v>
      </c>
      <c r="C76" s="349">
        <f ca="1">INDIRECT("'数据-取费表'!j"&amp;$G$1)</f>
        <v>7.4999999999999997E-2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0.59200000000000008</v>
      </c>
    </row>
    <row r="80" spans="1:18">
      <c r="B80" s="346" t="s">
        <v>1416</v>
      </c>
      <c r="C80" s="280">
        <f ca="1">ROUND(C75/C39,3)</f>
        <v>0.40799999999999997</v>
      </c>
    </row>
    <row r="81" spans="2:3">
      <c r="B81" s="276" t="s">
        <v>1417</v>
      </c>
      <c r="C81" s="244"/>
    </row>
    <row r="82" spans="2:3">
      <c r="B82" s="279" t="s">
        <v>1418</v>
      </c>
      <c r="C82" s="281">
        <f ca="1">1-C83</f>
        <v>0.65100000000000002</v>
      </c>
    </row>
    <row r="83" spans="2:3">
      <c r="B83" s="279" t="s">
        <v>1419</v>
      </c>
      <c r="C83" s="280">
        <f ca="1">ROUND(C13/C40,3)</f>
        <v>0.34899999999999998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v>
      </c>
      <c r="G1" s="1531">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530" t="s">
        <v>1308</v>
      </c>
      <c r="C6" s="1206">
        <f ca="1">ROUND(F6*F8*F7*(1-F9),0)</f>
        <v>0</v>
      </c>
      <c r="D6" s="160" t="s">
        <v>2786</v>
      </c>
      <c r="E6" s="308" t="s">
        <v>1310</v>
      </c>
      <c r="F6" s="309">
        <f ca="1">INDIRECT("'数据-取费表'!u"&amp;$G$1)</f>
        <v>0</v>
      </c>
      <c r="G6" s="1537"/>
      <c r="H6" s="1201" t="s">
        <v>1003</v>
      </c>
      <c r="I6" s="3530" t="s">
        <v>1308</v>
      </c>
      <c r="J6" s="307">
        <f ca="1">ROUND(M6*M8*M7*(1-M9),0)</f>
        <v>0</v>
      </c>
      <c r="K6" s="1529" t="s">
        <v>2787</v>
      </c>
      <c r="L6" s="308" t="s">
        <v>1310</v>
      </c>
      <c r="M6" s="309">
        <f ca="1">INDIRECT("'数据-取费表'!z"&amp;$G$1)</f>
        <v>0</v>
      </c>
    </row>
    <row r="7" spans="1:37" ht="18" customHeight="1">
      <c r="A7" s="1205"/>
      <c r="B7" s="3531"/>
      <c r="C7" s="1207"/>
      <c r="D7" s="313"/>
      <c r="E7" s="1208" t="s">
        <v>1311</v>
      </c>
      <c r="F7" s="309">
        <f ca="1">IF(INDIRECT("'数据-取费表'!ah"&amp;$G$1)="",INDIRECT("'数据-取费表'!k"&amp;$G$1),INDIRECT("'数据-取费表'!ah"&amp;$G$1))</f>
        <v>0</v>
      </c>
      <c r="G7" s="1537"/>
      <c r="H7" s="310"/>
      <c r="I7" s="3531"/>
      <c r="J7" s="312"/>
      <c r="K7" s="313"/>
      <c r="L7" s="308" t="s">
        <v>1311</v>
      </c>
      <c r="M7" s="309">
        <f ca="1">F7</f>
        <v>0</v>
      </c>
    </row>
    <row r="8" spans="1:37" ht="18" customHeight="1">
      <c r="A8" s="310"/>
      <c r="B8" s="3531"/>
      <c r="C8" s="312"/>
      <c r="D8" s="313"/>
      <c r="E8" s="308" t="s">
        <v>1312</v>
      </c>
      <c r="F8" s="309">
        <f ca="1">INDIRECT("'数据-取费表'!ai"&amp;$G$1)</f>
        <v>0</v>
      </c>
      <c r="G8" s="1537"/>
      <c r="H8" s="310"/>
      <c r="I8" s="3531"/>
      <c r="J8" s="312"/>
      <c r="K8" s="313"/>
      <c r="L8" s="308" t="s">
        <v>1312</v>
      </c>
      <c r="M8" s="309">
        <f ca="1">INDIRECT("'数据-取费表'!ai"&amp;$G$1)</f>
        <v>0</v>
      </c>
    </row>
    <row r="9" spans="1:37" ht="18" customHeight="1">
      <c r="A9" s="310"/>
      <c r="B9" s="3532"/>
      <c r="C9" s="312"/>
      <c r="D9" s="313"/>
      <c r="E9" s="308" t="s">
        <v>1313</v>
      </c>
      <c r="F9" s="318">
        <f ca="1">INDIRECT("'数据-取费表'!w"&amp;$G$1)</f>
        <v>0</v>
      </c>
      <c r="G9" s="1537"/>
      <c r="H9" s="310"/>
      <c r="I9" s="3532"/>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2796</v>
      </c>
      <c r="E10" s="319" t="s">
        <v>1315</v>
      </c>
      <c r="F10" s="1248"/>
      <c r="G10" s="1537"/>
      <c r="H10" s="1201" t="s">
        <v>1007</v>
      </c>
      <c r="I10" s="1518" t="s">
        <v>1314</v>
      </c>
      <c r="J10" s="307">
        <f ca="1">ROUND(IF(M10="押一",J6/12*M11,IF(M10="押二",J6/12*2*M11,IF(M10="押三",J6/12*3*M11,J11*M11))),0)</f>
        <v>0</v>
      </c>
      <c r="K10" s="1530" t="s">
        <v>2798</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0.05</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0.03</v>
      </c>
      <c r="G20" s="1549"/>
      <c r="H20" s="1113"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0.03</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3</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2E-3</v>
      </c>
      <c r="D24" s="335" t="str">
        <f>IF(F23&lt;=1,"销售费用×利率×(建设周期÷2)","销售费用×((1+利率)^(建设周期÷2)-1)")</f>
        <v>销售费用×((1+利率)^(建设周期÷2)-1)</v>
      </c>
      <c r="E24" s="308" t="s">
        <v>1363</v>
      </c>
      <c r="F24" s="337">
        <f ca="1">'数据-取费表'!B40</f>
        <v>4.3499999999999997E-2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2996</v>
      </c>
      <c r="I31" s="1551"/>
      <c r="J31" s="1552"/>
      <c r="K31" s="2670"/>
      <c r="L31" s="2896"/>
      <c r="M31" s="2897"/>
    </row>
    <row r="32" spans="1:37" ht="18" customHeight="1">
      <c r="A32" s="1113" t="s">
        <v>1002</v>
      </c>
      <c r="B32" s="308" t="s">
        <v>1338</v>
      </c>
      <c r="C32" s="24">
        <f ca="1">IF(项目基本情况!B11="自然人","——",ROUND(C6*F32/(1+'数据-取费表'!C42),0))</f>
        <v>0</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8"/>
      <c r="I33" s="1551"/>
      <c r="J33" s="1552"/>
      <c r="K33" s="2899"/>
      <c r="L33" s="2898"/>
      <c r="M33" s="2898"/>
    </row>
    <row r="34" spans="1:18" ht="18" customHeight="1">
      <c r="A34" s="1201" t="s">
        <v>1294</v>
      </c>
      <c r="B34" s="160" t="s">
        <v>1346</v>
      </c>
      <c r="C34" s="25">
        <f ca="1">IF(项目基本情况!B11="自然人","——",ROUND(F34*F35,))</f>
        <v>0</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0</v>
      </c>
      <c r="G35" s="1537"/>
      <c r="H35" s="2895"/>
      <c r="I35" s="1551"/>
      <c r="J35" s="1552"/>
      <c r="K35" s="2899"/>
      <c r="L35" s="2898"/>
      <c r="M35" s="2898"/>
    </row>
    <row r="36" spans="1:18" ht="18" customHeight="1">
      <c r="A36" s="1234" t="s">
        <v>1007</v>
      </c>
      <c r="B36" s="308" t="s">
        <v>1354</v>
      </c>
      <c r="C36" s="24">
        <f ca="1">ROUND(C29*F36,0)</f>
        <v>0</v>
      </c>
      <c r="D36" s="1497" t="s">
        <v>1387</v>
      </c>
      <c r="E36" s="308" t="s">
        <v>1327</v>
      </c>
      <c r="F36" s="334">
        <f ca="1">INDIRECT("'数据-取费表'!Ak"&amp;$G$1)</f>
        <v>0</v>
      </c>
      <c r="G36" s="1537"/>
      <c r="H36" s="2898"/>
      <c r="I36" s="1551"/>
      <c r="J36" s="1552"/>
      <c r="K36" s="2739"/>
      <c r="L36" s="2898"/>
      <c r="M36" s="2898"/>
    </row>
    <row r="37" spans="1:18" ht="18" customHeight="1">
      <c r="A37" s="1113" t="s">
        <v>1043</v>
      </c>
      <c r="B37" s="308" t="s">
        <v>1358</v>
      </c>
      <c r="C37" s="24">
        <f ca="1">ROUND(C13*F37,0)</f>
        <v>0</v>
      </c>
      <c r="D37" s="1497" t="s">
        <v>1359</v>
      </c>
      <c r="E37" s="308" t="s">
        <v>1360</v>
      </c>
      <c r="F37" s="336">
        <f ca="1">INDIRECT("'数据-取费表'!Al"&amp;$G$1)</f>
        <v>0</v>
      </c>
      <c r="G37" s="1537"/>
      <c r="H37" s="2898"/>
      <c r="I37" s="1551"/>
      <c r="J37" s="1552"/>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7"/>
      <c r="H38" s="2898"/>
      <c r="I38" s="1551"/>
      <c r="J38" s="1552"/>
      <c r="K38" s="2902"/>
      <c r="L38" s="2898"/>
      <c r="M38" s="2898"/>
    </row>
    <row r="39" spans="1:18" ht="24.6" customHeight="1" thickTop="1">
      <c r="A39" s="1211" t="s">
        <v>999</v>
      </c>
      <c r="B39" s="1226" t="s">
        <v>1388</v>
      </c>
      <c r="C39" s="316">
        <f ca="1">C5-C30</f>
        <v>0</v>
      </c>
      <c r="D39" s="1227" t="s">
        <v>1389</v>
      </c>
      <c r="E39" s="1228"/>
      <c r="F39" s="1229"/>
      <c r="G39" s="1537"/>
      <c r="H39" s="2898"/>
      <c r="I39" s="1551"/>
      <c r="J39" s="1552"/>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3" t="s">
        <v>1046</v>
      </c>
      <c r="B53" s="329" t="s">
        <v>1314</v>
      </c>
      <c r="C53" s="322">
        <f ca="1">ROUND(IF(F53="押一",C49/12*F11,IF(F53="押二",C49/12*2*F11,IF(F53="押三",C49/12*3*F11,C54*F11))),0)</f>
        <v>0</v>
      </c>
      <c r="D53" s="1519" t="s">
        <v>2799</v>
      </c>
      <c r="E53" s="319" t="s">
        <v>1315</v>
      </c>
      <c r="F53" s="1248"/>
      <c r="I53" s="1592" t="s">
        <v>1452</v>
      </c>
      <c r="J53" s="2355">
        <f ca="1">IF(M47="住宅",IF(D1="——",MAX(J51,L48),MAX(J51,L48-'数据-取费表'!B24)),IF(D1="——",MIN(J51,L48),MIN(J51,L48-'数据-取费表'!B24)))</f>
        <v>0</v>
      </c>
      <c r="K53" s="3528" t="s">
        <v>1453</v>
      </c>
      <c r="L53" s="3529"/>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3124</v>
      </c>
      <c r="B1" s="3032"/>
      <c r="C1" s="3044"/>
      <c r="D1" s="3044"/>
      <c r="E1" s="3033"/>
      <c r="F1" s="3034"/>
      <c r="G1" s="3035"/>
      <c r="J1" s="3038" t="s">
        <v>3003</v>
      </c>
      <c r="K1" s="3039"/>
      <c r="L1" s="3039"/>
      <c r="M1" s="3039"/>
      <c r="N1" s="3039"/>
      <c r="O1" s="3039"/>
      <c r="P1" s="3039"/>
      <c r="Q1" s="3039"/>
      <c r="R1" s="3040"/>
      <c r="S1" s="3041"/>
      <c r="T1" s="3041"/>
      <c r="U1" s="3041"/>
    </row>
    <row r="2" spans="1:22" s="3053" customFormat="1" ht="13.15" customHeight="1">
      <c r="A2" s="1538" t="s">
        <v>3004</v>
      </c>
      <c r="B2" s="3043" t="e">
        <f>C40</f>
        <v>#DIV/0!</v>
      </c>
      <c r="C2" s="3044" t="s">
        <v>3005</v>
      </c>
      <c r="D2" s="3044"/>
      <c r="E2" s="3045"/>
      <c r="F2" s="3046"/>
      <c r="G2" s="3047"/>
      <c r="H2" s="3048"/>
      <c r="I2" s="3049"/>
      <c r="J2" s="3539" t="s">
        <v>3006</v>
      </c>
      <c r="K2" s="3540"/>
      <c r="L2" s="3050" t="s">
        <v>3007</v>
      </c>
      <c r="M2" s="3050" t="s">
        <v>3008</v>
      </c>
      <c r="N2" s="3050" t="s">
        <v>3009</v>
      </c>
      <c r="O2" s="3050" t="s">
        <v>3010</v>
      </c>
      <c r="P2" s="3050" t="s">
        <v>3011</v>
      </c>
      <c r="Q2" s="3051" t="s">
        <v>3012</v>
      </c>
      <c r="R2" s="3052" t="s">
        <v>3013</v>
      </c>
      <c r="S2" s="3041"/>
      <c r="T2" s="3041"/>
      <c r="U2" s="3041"/>
      <c r="V2" s="3049"/>
    </row>
    <row r="3" spans="1:22" s="3053" customFormat="1" ht="13.15" customHeight="1">
      <c r="A3" s="3054" t="s">
        <v>3014</v>
      </c>
      <c r="B3" s="3055" t="e">
        <f>ROUND(B2*10000/B4,0)</f>
        <v>#DIV/0!</v>
      </c>
      <c r="C3" s="3044" t="s">
        <v>3015</v>
      </c>
      <c r="D3" s="3044"/>
      <c r="E3" s="3045"/>
      <c r="F3" s="3046"/>
      <c r="G3" s="3047"/>
      <c r="H3" s="3048"/>
      <c r="I3" s="3049"/>
      <c r="J3" s="3541" t="s">
        <v>3016</v>
      </c>
      <c r="K3" s="3542"/>
      <c r="L3" s="3056"/>
      <c r="M3" s="3056"/>
      <c r="N3" s="3056"/>
      <c r="O3" s="3056"/>
      <c r="P3" s="3056"/>
      <c r="Q3" s="3057"/>
      <c r="R3" s="3058">
        <f>SUM(L3:Q3)</f>
        <v>0</v>
      </c>
      <c r="S3" s="3041"/>
      <c r="T3" s="3041"/>
      <c r="U3" s="3041"/>
      <c r="V3" s="3049"/>
    </row>
    <row r="4" spans="1:22" s="3053" customFormat="1" ht="13.15" customHeight="1">
      <c r="A4" s="3059" t="s">
        <v>3017</v>
      </c>
      <c r="B4" s="3060"/>
      <c r="C4" s="3044"/>
      <c r="D4" s="3044"/>
      <c r="E4" s="3045"/>
      <c r="F4" s="3046"/>
      <c r="G4" s="3047"/>
      <c r="H4" s="3048"/>
      <c r="I4" s="3049"/>
      <c r="J4" s="3541" t="s">
        <v>3018</v>
      </c>
      <c r="K4" s="3542"/>
      <c r="L4" s="3061"/>
      <c r="M4" s="3061"/>
      <c r="N4" s="3061"/>
      <c r="O4" s="3061"/>
      <c r="P4" s="3061"/>
      <c r="Q4" s="3062"/>
      <c r="R4" s="3063">
        <f>SUM(L4:Q4)</f>
        <v>0</v>
      </c>
      <c r="S4" s="3041"/>
      <c r="T4" s="3041"/>
      <c r="U4" s="3041"/>
      <c r="V4" s="3049"/>
    </row>
    <row r="5" spans="1:22" s="3053" customFormat="1" ht="13.15" customHeight="1" thickBot="1">
      <c r="A5" s="3064" t="s">
        <v>3019</v>
      </c>
      <c r="B5" s="3065"/>
      <c r="C5" s="3044"/>
      <c r="D5" s="3066"/>
      <c r="E5" s="3046"/>
      <c r="F5" s="3046"/>
      <c r="G5" s="3047"/>
      <c r="H5" s="3048"/>
      <c r="I5" s="3049"/>
      <c r="J5" s="3067" t="s">
        <v>3020</v>
      </c>
      <c r="K5" s="3068"/>
      <c r="L5" s="3068"/>
      <c r="M5" s="3069"/>
      <c r="N5" s="3069"/>
      <c r="O5" s="3069"/>
      <c r="P5" s="3069"/>
      <c r="Q5" s="3069"/>
      <c r="R5" s="3052">
        <f>SUM(R14,R19,R24,R25,R27,R28)</f>
        <v>0</v>
      </c>
      <c r="S5" s="3041"/>
      <c r="T5" s="3041" t="s">
        <v>3021</v>
      </c>
      <c r="U5" s="3041" t="e">
        <f>ROUND(R5*10000/365/R3,1)</f>
        <v>#DIV/0!</v>
      </c>
      <c r="V5" s="3049"/>
    </row>
    <row r="6" spans="1:22" s="3053" customFormat="1" ht="13.15" customHeight="1" thickBot="1">
      <c r="A6" s="3547" t="s">
        <v>3022</v>
      </c>
      <c r="B6" s="3548"/>
      <c r="C6" s="3549"/>
      <c r="D6" s="3070"/>
      <c r="E6" s="3071"/>
      <c r="F6" s="3072"/>
      <c r="G6" s="3073"/>
      <c r="H6" s="3048"/>
      <c r="I6" s="3049"/>
      <c r="J6" s="3533">
        <v>1</v>
      </c>
      <c r="K6" s="3534" t="s">
        <v>3023</v>
      </c>
      <c r="L6" s="3074" t="s">
        <v>3024</v>
      </c>
      <c r="M6" s="3075" t="s">
        <v>3025</v>
      </c>
      <c r="N6" s="3075" t="s">
        <v>3026</v>
      </c>
      <c r="O6" s="3075" t="s">
        <v>3027</v>
      </c>
      <c r="P6" s="3075" t="s">
        <v>3028</v>
      </c>
      <c r="Q6" s="3075" t="s">
        <v>3029</v>
      </c>
      <c r="R6" s="3058" t="s">
        <v>3030</v>
      </c>
      <c r="S6" s="3041"/>
      <c r="T6" s="3041" t="s">
        <v>3031</v>
      </c>
      <c r="U6" s="3041"/>
      <c r="V6" s="3049"/>
    </row>
    <row r="7" spans="1:22" s="3053" customFormat="1" ht="13.15" customHeight="1">
      <c r="A7" s="3076" t="s">
        <v>3032</v>
      </c>
      <c r="B7" s="3077"/>
      <c r="C7" s="3078"/>
      <c r="D7" s="3079">
        <f>SUM(D9,D10,D11,D17,0)</f>
        <v>0</v>
      </c>
      <c r="E7" s="3080" t="e">
        <f>E9+E10+E11+E17</f>
        <v>#DIV/0!</v>
      </c>
      <c r="F7" s="3081"/>
      <c r="G7" s="3082"/>
      <c r="H7" s="3048"/>
      <c r="I7" s="3049"/>
      <c r="J7" s="3533"/>
      <c r="K7" s="3535"/>
      <c r="L7" s="3083" t="s">
        <v>3033</v>
      </c>
      <c r="M7" s="3084"/>
      <c r="N7" s="3060"/>
      <c r="O7" s="3085"/>
      <c r="P7" s="3085"/>
      <c r="Q7" s="3086">
        <v>365</v>
      </c>
      <c r="R7" s="3087">
        <f>ROUND(M7*N7*O7*P7*Q7/10000,0)</f>
        <v>0</v>
      </c>
      <c r="S7" s="3041"/>
      <c r="T7" s="3041" t="s">
        <v>3034</v>
      </c>
      <c r="U7" s="3041"/>
      <c r="V7" s="3049"/>
    </row>
    <row r="8" spans="1:22" s="3053" customFormat="1" ht="13.15" customHeight="1">
      <c r="A8" s="3088" t="s">
        <v>3035</v>
      </c>
      <c r="B8" s="3550" t="s">
        <v>3036</v>
      </c>
      <c r="C8" s="3551"/>
      <c r="D8" s="3089" t="s">
        <v>3037</v>
      </c>
      <c r="E8" s="3090" t="s">
        <v>3038</v>
      </c>
      <c r="F8" s="3091" t="s">
        <v>3039</v>
      </c>
      <c r="G8" s="3092"/>
      <c r="H8" s="3048"/>
      <c r="I8" s="3049"/>
      <c r="J8" s="3533"/>
      <c r="K8" s="3535"/>
      <c r="L8" s="3083" t="s">
        <v>3040</v>
      </c>
      <c r="M8" s="3084"/>
      <c r="N8" s="3060"/>
      <c r="O8" s="3085"/>
      <c r="P8" s="3085"/>
      <c r="Q8" s="3086">
        <v>365</v>
      </c>
      <c r="R8" s="3087">
        <f t="shared" ref="R8:R13" si="0">ROUND(M8*N8*O8*P8*Q8/10000,0)</f>
        <v>0</v>
      </c>
      <c r="S8" s="3041"/>
      <c r="T8" s="3041" t="s">
        <v>3041</v>
      </c>
      <c r="U8" s="3041"/>
      <c r="V8" s="3049"/>
    </row>
    <row r="9" spans="1:22" s="3053" customFormat="1" ht="13.15" customHeight="1">
      <c r="A9" s="3088">
        <v>1</v>
      </c>
      <c r="B9" s="3550" t="s">
        <v>3042</v>
      </c>
      <c r="C9" s="3551"/>
      <c r="D9" s="3089">
        <f>ROUND(D6*E9,0)</f>
        <v>0</v>
      </c>
      <c r="E9" s="3093"/>
      <c r="F9" s="3094" t="s">
        <v>3043</v>
      </c>
      <c r="G9" s="3073"/>
      <c r="H9" s="3048"/>
      <c r="I9" s="3049"/>
      <c r="J9" s="3533"/>
      <c r="K9" s="3535"/>
      <c r="L9" s="3083" t="s">
        <v>3044</v>
      </c>
      <c r="M9" s="3084"/>
      <c r="N9" s="3060"/>
      <c r="O9" s="3085"/>
      <c r="P9" s="3085"/>
      <c r="Q9" s="3086">
        <v>365</v>
      </c>
      <c r="R9" s="3087">
        <f t="shared" si="0"/>
        <v>0</v>
      </c>
      <c r="S9" s="3041"/>
      <c r="T9" s="3041"/>
      <c r="U9" s="3041"/>
      <c r="V9" s="3049"/>
    </row>
    <row r="10" spans="1:22" s="3053" customFormat="1" ht="13.15" customHeight="1">
      <c r="A10" s="3088">
        <v>2</v>
      </c>
      <c r="B10" s="3550" t="s">
        <v>3045</v>
      </c>
      <c r="C10" s="3551"/>
      <c r="D10" s="3089">
        <f>ROUND(D6*E10,0)</f>
        <v>0</v>
      </c>
      <c r="E10" s="3093"/>
      <c r="F10" s="3094" t="s">
        <v>3046</v>
      </c>
      <c r="G10" s="3073"/>
      <c r="H10" s="3048"/>
      <c r="I10" s="3049"/>
      <c r="J10" s="3533"/>
      <c r="K10" s="3535"/>
      <c r="L10" s="3083" t="s">
        <v>3047</v>
      </c>
      <c r="M10" s="3084"/>
      <c r="N10" s="3060"/>
      <c r="O10" s="3085"/>
      <c r="P10" s="3085"/>
      <c r="Q10" s="3086">
        <v>365</v>
      </c>
      <c r="R10" s="3087">
        <f t="shared" si="0"/>
        <v>0</v>
      </c>
      <c r="S10" s="3041"/>
      <c r="T10" s="3041"/>
      <c r="U10" s="3041"/>
      <c r="V10" s="3049"/>
    </row>
    <row r="11" spans="1:22" s="3053" customFormat="1" ht="13.15" customHeight="1">
      <c r="A11" s="3088">
        <v>3</v>
      </c>
      <c r="B11" s="3550" t="s">
        <v>3048</v>
      </c>
      <c r="C11" s="3551"/>
      <c r="D11" s="3089">
        <f>D12+D14+D15+D16</f>
        <v>0</v>
      </c>
      <c r="E11" s="3095" t="e">
        <f>D11/D6</f>
        <v>#DIV/0!</v>
      </c>
      <c r="F11" s="3091"/>
      <c r="G11" s="3092"/>
      <c r="H11" s="3048"/>
      <c r="I11" s="3049"/>
      <c r="J11" s="3533"/>
      <c r="K11" s="3535"/>
      <c r="L11" s="3083" t="s">
        <v>3049</v>
      </c>
      <c r="M11" s="3084"/>
      <c r="N11" s="3060"/>
      <c r="O11" s="3085"/>
      <c r="P11" s="3085"/>
      <c r="Q11" s="3086">
        <v>365</v>
      </c>
      <c r="R11" s="3087">
        <f t="shared" si="0"/>
        <v>0</v>
      </c>
      <c r="S11" s="3041"/>
      <c r="T11" s="3041"/>
      <c r="U11" s="3041"/>
      <c r="V11" s="3049"/>
    </row>
    <row r="12" spans="1:22" s="3053" customFormat="1" ht="13.15" customHeight="1">
      <c r="A12" s="3096" t="s">
        <v>3050</v>
      </c>
      <c r="B12" s="3543" t="s">
        <v>3051</v>
      </c>
      <c r="C12" s="3544"/>
      <c r="D12" s="3097">
        <f>ROUND(D13*1.2%*(1-30%),0)</f>
        <v>0</v>
      </c>
      <c r="E12" s="3098">
        <v>1.2E-2</v>
      </c>
      <c r="F12" s="3091" t="s">
        <v>3052</v>
      </c>
      <c r="G12" s="3092"/>
      <c r="H12" s="3048"/>
      <c r="I12" s="3049"/>
      <c r="J12" s="3533"/>
      <c r="K12" s="3535"/>
      <c r="L12" s="3083" t="s">
        <v>3053</v>
      </c>
      <c r="M12" s="3084"/>
      <c r="N12" s="3060"/>
      <c r="O12" s="3085"/>
      <c r="P12" s="3085"/>
      <c r="Q12" s="3086">
        <v>365</v>
      </c>
      <c r="R12" s="3087">
        <f t="shared" si="0"/>
        <v>0</v>
      </c>
      <c r="S12" s="3041"/>
      <c r="T12" s="3041"/>
      <c r="U12" s="3041"/>
      <c r="V12" s="3049"/>
    </row>
    <row r="13" spans="1:22" s="3053" customFormat="1" ht="13.15" customHeight="1">
      <c r="A13" s="3096"/>
      <c r="B13" s="3099"/>
      <c r="C13" s="3100" t="s">
        <v>3054</v>
      </c>
      <c r="D13" s="3101"/>
      <c r="E13" s="3102"/>
      <c r="F13" s="3091"/>
      <c r="G13" s="3092"/>
      <c r="H13" s="3048"/>
      <c r="I13" s="3049"/>
      <c r="J13" s="3533"/>
      <c r="K13" s="3535"/>
      <c r="L13" s="3083" t="s">
        <v>3055</v>
      </c>
      <c r="M13" s="3084"/>
      <c r="N13" s="3060"/>
      <c r="O13" s="3085"/>
      <c r="P13" s="3085"/>
      <c r="Q13" s="3086">
        <v>365</v>
      </c>
      <c r="R13" s="3087">
        <f t="shared" si="0"/>
        <v>0</v>
      </c>
      <c r="S13" s="3041"/>
      <c r="T13" s="3041"/>
      <c r="U13" s="3041"/>
      <c r="V13" s="3049"/>
    </row>
    <row r="14" spans="1:22" s="3053" customFormat="1" ht="13.15" customHeight="1">
      <c r="A14" s="3096" t="s">
        <v>3056</v>
      </c>
      <c r="B14" s="3543" t="s">
        <v>3057</v>
      </c>
      <c r="C14" s="3544"/>
      <c r="D14" s="3097">
        <f>ROUND(E14*B5/10000,0)</f>
        <v>0</v>
      </c>
      <c r="E14" s="3086"/>
      <c r="F14" s="3091" t="s">
        <v>3058</v>
      </c>
      <c r="G14" s="3092"/>
      <c r="H14" s="3048"/>
      <c r="I14" s="3049"/>
      <c r="J14" s="3533"/>
      <c r="K14" s="3536"/>
      <c r="L14" s="3103" t="s">
        <v>3059</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3060</v>
      </c>
      <c r="B15" s="3543" t="s">
        <v>3061</v>
      </c>
      <c r="C15" s="3544"/>
      <c r="D15" s="3097">
        <f>ROUND(D6*E15,0)</f>
        <v>0</v>
      </c>
      <c r="E15" s="3098">
        <v>5.5E-2</v>
      </c>
      <c r="F15" s="3091" t="s">
        <v>3062</v>
      </c>
      <c r="G15" s="3073"/>
      <c r="H15" s="3048"/>
      <c r="I15" s="3049"/>
      <c r="J15" s="3533">
        <v>2</v>
      </c>
      <c r="K15" s="3534" t="s">
        <v>3063</v>
      </c>
      <c r="L15" s="3083" t="s">
        <v>3064</v>
      </c>
      <c r="M15" s="3084" t="s">
        <v>3065</v>
      </c>
      <c r="N15" s="3084" t="s">
        <v>3066</v>
      </c>
      <c r="O15" s="3085" t="s">
        <v>3067</v>
      </c>
      <c r="P15" s="3085" t="s">
        <v>3029</v>
      </c>
      <c r="Q15" s="3060" t="s">
        <v>3068</v>
      </c>
      <c r="R15" s="3107" t="s">
        <v>3030</v>
      </c>
      <c r="S15" s="3041"/>
      <c r="T15" s="3041"/>
      <c r="U15" s="3041"/>
      <c r="V15" s="3049"/>
    </row>
    <row r="16" spans="1:22" s="3053" customFormat="1" ht="13.15" customHeight="1">
      <c r="A16" s="3096" t="s">
        <v>3069</v>
      </c>
      <c r="B16" s="3543" t="s">
        <v>3070</v>
      </c>
      <c r="C16" s="3544"/>
      <c r="D16" s="3108">
        <f>D6*E16</f>
        <v>0</v>
      </c>
      <c r="E16" s="3109"/>
      <c r="F16" s="3094" t="s">
        <v>3071</v>
      </c>
      <c r="G16" s="3073"/>
      <c r="H16" s="3048"/>
      <c r="I16" s="3049"/>
      <c r="J16" s="3533"/>
      <c r="K16" s="3535"/>
      <c r="L16" s="3083" t="s">
        <v>3072</v>
      </c>
      <c r="M16" s="3084"/>
      <c r="N16" s="3084"/>
      <c r="O16" s="3085"/>
      <c r="P16" s="3086">
        <v>365</v>
      </c>
      <c r="Q16" s="3060"/>
      <c r="R16" s="3107">
        <f>ROUND(M16*N16*O16*P16/10000,0)</f>
        <v>0</v>
      </c>
      <c r="S16" s="3041"/>
      <c r="T16" s="3041"/>
      <c r="U16" s="3041"/>
      <c r="V16" s="3049"/>
    </row>
    <row r="17" spans="1:22" s="3053" customFormat="1" ht="13.15" customHeight="1" thickBot="1">
      <c r="A17" s="3110">
        <v>4</v>
      </c>
      <c r="B17" s="3545" t="s">
        <v>3073</v>
      </c>
      <c r="C17" s="3546"/>
      <c r="D17" s="3111">
        <f>ROUND(D6*E17,0)</f>
        <v>0</v>
      </c>
      <c r="E17" s="3112"/>
      <c r="F17" s="3113" t="s">
        <v>3074</v>
      </c>
      <c r="G17" s="3073"/>
      <c r="H17" s="3048"/>
      <c r="I17" s="3049"/>
      <c r="J17" s="3533"/>
      <c r="K17" s="3535"/>
      <c r="L17" s="3083" t="s">
        <v>3075</v>
      </c>
      <c r="M17" s="3084"/>
      <c r="N17" s="3084"/>
      <c r="O17" s="3085"/>
      <c r="P17" s="3086">
        <v>365</v>
      </c>
      <c r="Q17" s="3060"/>
      <c r="R17" s="3107">
        <f>ROUND(M17*N17*O17*P17/10000,0)</f>
        <v>0</v>
      </c>
      <c r="S17" s="3041"/>
      <c r="T17" s="3041"/>
      <c r="U17" s="3041"/>
      <c r="V17" s="3049"/>
    </row>
    <row r="18" spans="1:22" s="3053" customFormat="1" ht="13.15" customHeight="1" thickBot="1">
      <c r="A18" s="3076" t="s">
        <v>3076</v>
      </c>
      <c r="B18" s="3077"/>
      <c r="C18" s="3077"/>
      <c r="D18" s="3114">
        <f>ROUND(D6*E18,0)</f>
        <v>0</v>
      </c>
      <c r="E18" s="3115"/>
      <c r="F18" s="3116" t="s">
        <v>3077</v>
      </c>
      <c r="G18" s="3073"/>
      <c r="H18" s="3048"/>
      <c r="I18" s="3049"/>
      <c r="J18" s="3533"/>
      <c r="K18" s="3535"/>
      <c r="L18" s="3083" t="s">
        <v>3078</v>
      </c>
      <c r="M18" s="3084"/>
      <c r="N18" s="3084"/>
      <c r="O18" s="3085"/>
      <c r="P18" s="3086">
        <v>365</v>
      </c>
      <c r="Q18" s="3060"/>
      <c r="R18" s="3107">
        <f>ROUND(M18*N18*O18*P18/10000,0)</f>
        <v>0</v>
      </c>
      <c r="S18" s="3041"/>
      <c r="T18" s="3041"/>
      <c r="U18" s="3041"/>
      <c r="V18" s="3049"/>
    </row>
    <row r="19" spans="1:22" s="3053" customFormat="1" ht="13.15" customHeight="1" thickBot="1">
      <c r="A19" s="3117" t="s">
        <v>3079</v>
      </c>
      <c r="B19" s="3071"/>
      <c r="C19" s="3071"/>
      <c r="D19" s="3071"/>
      <c r="E19" s="3071"/>
      <c r="F19" s="3072"/>
      <c r="G19" s="3092"/>
      <c r="H19" s="3048"/>
      <c r="I19" s="3049"/>
      <c r="J19" s="3533"/>
      <c r="K19" s="3536"/>
      <c r="L19" s="3103" t="s">
        <v>3059</v>
      </c>
      <c r="M19" s="3104"/>
      <c r="N19" s="3104">
        <f>SUM(N16:N18)</f>
        <v>0</v>
      </c>
      <c r="O19" s="3105"/>
      <c r="P19" s="3118" t="s">
        <v>3123</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533">
        <v>3</v>
      </c>
      <c r="K20" s="3534" t="s">
        <v>3080</v>
      </c>
      <c r="L20" s="3083" t="s">
        <v>3081</v>
      </c>
      <c r="M20" s="3084" t="s">
        <v>3082</v>
      </c>
      <c r="N20" s="3121" t="s">
        <v>3083</v>
      </c>
      <c r="O20" s="3085" t="s">
        <v>3084</v>
      </c>
      <c r="P20" s="3086" t="s">
        <v>3085</v>
      </c>
      <c r="Q20" s="3060" t="s">
        <v>3086</v>
      </c>
      <c r="R20" s="3107" t="s">
        <v>3087</v>
      </c>
      <c r="S20" s="3122"/>
      <c r="T20" s="3122"/>
      <c r="U20" s="3122"/>
      <c r="V20" s="3049"/>
    </row>
    <row r="21" spans="1:22" s="3053" customFormat="1" ht="13.15" customHeight="1">
      <c r="A21" s="3076"/>
      <c r="B21" s="3077"/>
      <c r="C21" s="3123" t="s">
        <v>3088</v>
      </c>
      <c r="D21" s="3124" t="s">
        <v>3089</v>
      </c>
      <c r="E21" s="3125" t="s">
        <v>3090</v>
      </c>
      <c r="F21" s="3120"/>
      <c r="G21" s="3092"/>
      <c r="H21" s="3048"/>
      <c r="I21" s="3049"/>
      <c r="J21" s="3533"/>
      <c r="K21" s="3535"/>
      <c r="L21" s="3083" t="s">
        <v>3091</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3092</v>
      </c>
      <c r="D22" s="3128" t="s">
        <v>3093</v>
      </c>
      <c r="E22" s="3129" t="s">
        <v>3094</v>
      </c>
      <c r="F22" s="3120"/>
      <c r="G22" s="3130"/>
      <c r="H22" s="3048"/>
      <c r="I22" s="3049"/>
      <c r="J22" s="3533"/>
      <c r="K22" s="3535"/>
      <c r="L22" s="3083" t="s">
        <v>3095</v>
      </c>
      <c r="M22" s="3084"/>
      <c r="N22" s="3084"/>
      <c r="O22" s="3085"/>
      <c r="P22" s="3086">
        <v>365</v>
      </c>
      <c r="Q22" s="3060"/>
      <c r="R22" s="3126">
        <f>ROUND(M22*N22*O22*P22/10000,0)</f>
        <v>0</v>
      </c>
      <c r="S22" s="3122"/>
      <c r="T22" s="3122"/>
      <c r="U22" s="3122"/>
      <c r="V22" s="3049"/>
    </row>
    <row r="23" spans="1:22" s="3053" customFormat="1" ht="13.15" customHeight="1">
      <c r="A23" s="3131">
        <v>1</v>
      </c>
      <c r="B23" s="3132" t="s">
        <v>3096</v>
      </c>
      <c r="C23" s="3133">
        <f>D6</f>
        <v>0</v>
      </c>
      <c r="D23" s="3134">
        <f>C23*(1+D24)</f>
        <v>0</v>
      </c>
      <c r="E23" s="3135">
        <f>D23*(1+E24)</f>
        <v>0</v>
      </c>
      <c r="F23" s="3136"/>
      <c r="G23" s="3137"/>
      <c r="H23" s="3048"/>
      <c r="I23" s="3049"/>
      <c r="J23" s="3533"/>
      <c r="K23" s="3535"/>
      <c r="L23" s="3083" t="s">
        <v>3097</v>
      </c>
      <c r="M23" s="3084"/>
      <c r="N23" s="3084"/>
      <c r="O23" s="3085"/>
      <c r="P23" s="3086">
        <v>365</v>
      </c>
      <c r="Q23" s="3060"/>
      <c r="R23" s="3126">
        <f>ROUND(M23*N23*O23*P23/10000,0)</f>
        <v>0</v>
      </c>
      <c r="S23" s="3041"/>
      <c r="T23" s="3041"/>
      <c r="U23" s="3041"/>
      <c r="V23" s="3049"/>
    </row>
    <row r="24" spans="1:22" s="3053" customFormat="1" ht="13.15" customHeight="1">
      <c r="A24" s="3138"/>
      <c r="B24" s="3139" t="s">
        <v>3098</v>
      </c>
      <c r="C24" s="3140"/>
      <c r="D24" s="3141"/>
      <c r="E24" s="3142"/>
      <c r="F24" s="3143"/>
      <c r="G24" s="3137"/>
      <c r="H24" s="3048"/>
      <c r="I24" s="3049"/>
      <c r="J24" s="3533"/>
      <c r="K24" s="3536"/>
      <c r="L24" s="3103" t="s">
        <v>3059</v>
      </c>
      <c r="M24" s="3104">
        <f>SUM(M21:M23)</f>
        <v>0</v>
      </c>
      <c r="N24" s="3104"/>
      <c r="O24" s="3105"/>
      <c r="P24" s="3118" t="s">
        <v>3123</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3099</v>
      </c>
      <c r="L25" s="3146"/>
      <c r="M25" s="3146"/>
      <c r="N25" s="3146"/>
      <c r="O25" s="3146"/>
      <c r="P25" s="3147"/>
      <c r="Q25" s="3148">
        <v>0</v>
      </c>
      <c r="R25" s="3119">
        <f>ROUND(R14*Q25,0)</f>
        <v>0</v>
      </c>
      <c r="S25" s="3041"/>
      <c r="T25" s="3041"/>
      <c r="U25" s="3041"/>
      <c r="V25" s="3149"/>
    </row>
    <row r="26" spans="1:22" s="3150" customFormat="1" ht="13.15" customHeight="1">
      <c r="A26" s="3131">
        <v>2</v>
      </c>
      <c r="B26" s="3132" t="s">
        <v>3100</v>
      </c>
      <c r="C26" s="3133">
        <f>D7</f>
        <v>0</v>
      </c>
      <c r="D26" s="3134">
        <f>D23*D27</f>
        <v>0</v>
      </c>
      <c r="E26" s="3135">
        <f>E23*E27</f>
        <v>0</v>
      </c>
      <c r="F26" s="3136"/>
      <c r="G26" s="3137"/>
      <c r="H26" s="3048"/>
      <c r="I26" s="3049"/>
      <c r="J26" s="3537">
        <v>5</v>
      </c>
      <c r="K26" s="3151" t="s">
        <v>3101</v>
      </c>
      <c r="L26" s="3152"/>
      <c r="M26" s="3153"/>
      <c r="N26" s="3154" t="s">
        <v>3102</v>
      </c>
      <c r="O26" s="3154" t="s">
        <v>3103</v>
      </c>
      <c r="P26" s="3155" t="s">
        <v>3104</v>
      </c>
      <c r="Q26" s="3155" t="s">
        <v>3105</v>
      </c>
      <c r="R26" s="3058" t="s">
        <v>3030</v>
      </c>
      <c r="S26" s="3156"/>
      <c r="T26" s="3156"/>
      <c r="U26" s="3156"/>
      <c r="V26" s="3149"/>
    </row>
    <row r="27" spans="1:22" s="3053" customFormat="1" ht="13.15" customHeight="1">
      <c r="A27" s="3138"/>
      <c r="B27" s="3139" t="s">
        <v>3106</v>
      </c>
      <c r="C27" s="3157" t="e">
        <f>E7</f>
        <v>#DIV/0!</v>
      </c>
      <c r="D27" s="3141"/>
      <c r="E27" s="3142"/>
      <c r="F27" s="3143"/>
      <c r="G27" s="3137"/>
      <c r="H27" s="3158"/>
      <c r="I27" s="3149"/>
      <c r="J27" s="3538"/>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3107</v>
      </c>
      <c r="F28" s="3143"/>
      <c r="G28" s="3130"/>
      <c r="H28" s="3158"/>
      <c r="I28" s="3149"/>
      <c r="J28" s="3164">
        <v>6</v>
      </c>
      <c r="K28" s="3165" t="s">
        <v>3108</v>
      </c>
      <c r="L28" s="3166" t="s">
        <v>3109</v>
      </c>
      <c r="M28" s="3167"/>
      <c r="N28" s="3166" t="s">
        <v>3110</v>
      </c>
      <c r="O28" s="3168"/>
      <c r="P28" s="3166" t="s">
        <v>3111</v>
      </c>
      <c r="Q28" s="3169">
        <v>1.4999999999999999E-2</v>
      </c>
      <c r="R28" s="3170"/>
      <c r="S28" s="3122"/>
      <c r="T28" s="3122"/>
      <c r="U28" s="3122"/>
      <c r="V28" s="3149"/>
    </row>
    <row r="29" spans="1:22" s="3150" customFormat="1" ht="13.15" customHeight="1">
      <c r="A29" s="3131">
        <v>3</v>
      </c>
      <c r="B29" s="3132" t="s">
        <v>3112</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3106</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3113</v>
      </c>
      <c r="K31" s="3039"/>
      <c r="L31" s="3039"/>
      <c r="M31" s="3039"/>
      <c r="N31" s="3039"/>
      <c r="O31" s="3039"/>
      <c r="P31" s="3039"/>
      <c r="Q31" s="3039"/>
      <c r="R31" s="3040"/>
      <c r="S31" s="3122"/>
      <c r="T31" s="3041"/>
      <c r="U31" s="3041"/>
      <c r="V31" s="3149"/>
    </row>
    <row r="32" spans="1:22" s="3150" customFormat="1" ht="13.15" customHeight="1">
      <c r="A32" s="3131">
        <v>4</v>
      </c>
      <c r="B32" s="3132" t="s">
        <v>3114</v>
      </c>
      <c r="C32" s="3133">
        <f>C23-C26-C29</f>
        <v>0</v>
      </c>
      <c r="D32" s="3134">
        <f>D23-D26-D29</f>
        <v>0</v>
      </c>
      <c r="E32" s="3135">
        <f>E23-E26-E29</f>
        <v>0</v>
      </c>
      <c r="F32" s="3136"/>
      <c r="G32" s="3130"/>
      <c r="H32" s="3048"/>
      <c r="I32" s="3049"/>
      <c r="J32" s="3539" t="s">
        <v>3006</v>
      </c>
      <c r="K32" s="3540"/>
      <c r="L32" s="3050" t="s">
        <v>3007</v>
      </c>
      <c r="M32" s="3050" t="s">
        <v>3008</v>
      </c>
      <c r="N32" s="3050" t="s">
        <v>3009</v>
      </c>
      <c r="O32" s="3050" t="s">
        <v>3010</v>
      </c>
      <c r="P32" s="3050" t="s">
        <v>3011</v>
      </c>
      <c r="Q32" s="3051" t="s">
        <v>3012</v>
      </c>
      <c r="R32" s="3173" t="s">
        <v>3013</v>
      </c>
      <c r="S32" s="3122"/>
      <c r="T32" s="3041"/>
      <c r="U32" s="3041"/>
      <c r="V32" s="3149"/>
    </row>
    <row r="33" spans="1:23" s="3053" customFormat="1" ht="13.15" customHeight="1">
      <c r="A33" s="3131"/>
      <c r="B33" s="3132"/>
      <c r="C33" s="3133"/>
      <c r="D33" s="3174"/>
      <c r="E33" s="3175"/>
      <c r="F33" s="3136"/>
      <c r="G33" s="3130"/>
      <c r="H33" s="3158"/>
      <c r="I33" s="3149"/>
      <c r="J33" s="3541" t="s">
        <v>3016</v>
      </c>
      <c r="K33" s="3542"/>
      <c r="L33" s="3056"/>
      <c r="M33" s="3056"/>
      <c r="N33" s="3056"/>
      <c r="O33" s="3056"/>
      <c r="P33" s="3056"/>
      <c r="Q33" s="3057"/>
      <c r="R33" s="3176">
        <f>SUM(L33:Q33)</f>
        <v>0</v>
      </c>
      <c r="S33" s="3122"/>
      <c r="T33" s="3041"/>
      <c r="U33" s="3041"/>
      <c r="V33" s="3049"/>
    </row>
    <row r="34" spans="1:23" s="3053" customFormat="1" ht="13.15" customHeight="1">
      <c r="A34" s="3131">
        <v>5</v>
      </c>
      <c r="B34" s="3132" t="s">
        <v>3115</v>
      </c>
      <c r="C34" s="3177"/>
      <c r="D34" s="3178"/>
      <c r="E34" s="3179"/>
      <c r="F34" s="3136"/>
      <c r="G34" s="3130"/>
      <c r="H34" s="3158"/>
      <c r="I34" s="3149"/>
      <c r="J34" s="3541" t="s">
        <v>3018</v>
      </c>
      <c r="K34" s="3542"/>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3116</v>
      </c>
      <c r="C35" s="3181"/>
      <c r="D35" s="3182"/>
      <c r="E35" s="3183"/>
      <c r="F35" s="3136"/>
      <c r="G35" s="3184"/>
      <c r="H35" s="3048"/>
      <c r="I35" s="3149"/>
      <c r="J35" s="3067" t="s">
        <v>3020</v>
      </c>
      <c r="K35" s="3068"/>
      <c r="L35" s="3068"/>
      <c r="M35" s="3069"/>
      <c r="N35" s="3069"/>
      <c r="O35" s="3069"/>
      <c r="P35" s="3069"/>
      <c r="Q35" s="3069"/>
      <c r="R35" s="3185">
        <f>R40+R41+R43</f>
        <v>0</v>
      </c>
      <c r="S35" s="3122"/>
      <c r="T35" s="3041" t="s">
        <v>3021</v>
      </c>
      <c r="U35" s="3041"/>
      <c r="V35" s="3049"/>
    </row>
    <row r="36" spans="1:23" s="3053" customFormat="1" ht="13.15" customHeight="1" thickBot="1">
      <c r="A36" s="3131">
        <v>7</v>
      </c>
      <c r="B36" s="3186" t="s">
        <v>3117</v>
      </c>
      <c r="C36" s="3187"/>
      <c r="D36" s="3188"/>
      <c r="E36" s="3189"/>
      <c r="F36" s="3190">
        <f>C36+D36+E36</f>
        <v>0</v>
      </c>
      <c r="G36" s="3130"/>
      <c r="H36" s="3048"/>
      <c r="I36" s="3049"/>
      <c r="J36" s="3533">
        <v>1</v>
      </c>
      <c r="K36" s="3534" t="s">
        <v>3118</v>
      </c>
      <c r="L36" s="3074"/>
      <c r="M36" s="3075"/>
      <c r="N36" s="3075"/>
      <c r="O36" s="3075"/>
      <c r="P36" s="3075"/>
      <c r="Q36" s="3075"/>
      <c r="R36" s="3058" t="s">
        <v>3030</v>
      </c>
      <c r="S36" s="3122"/>
      <c r="T36" s="3041" t="s">
        <v>3031</v>
      </c>
      <c r="U36" s="3041"/>
      <c r="V36" s="3049"/>
    </row>
    <row r="37" spans="1:23" s="3053" customFormat="1" ht="13.15" customHeight="1">
      <c r="A37" s="3131"/>
      <c r="B37" s="3132"/>
      <c r="C37" s="3132"/>
      <c r="D37" s="3132"/>
      <c r="E37" s="3132"/>
      <c r="F37" s="3136"/>
      <c r="G37" s="3130"/>
      <c r="H37" s="3048"/>
      <c r="I37" s="3049"/>
      <c r="J37" s="3533"/>
      <c r="K37" s="3535"/>
      <c r="L37" s="3083"/>
      <c r="M37" s="3084"/>
      <c r="N37" s="3060"/>
      <c r="O37" s="3085"/>
      <c r="P37" s="3085"/>
      <c r="Q37" s="3086"/>
      <c r="R37" s="3087"/>
      <c r="S37" s="3122"/>
      <c r="T37" s="3041" t="s">
        <v>3034</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533"/>
      <c r="K38" s="3535"/>
      <c r="L38" s="3083"/>
      <c r="M38" s="3084"/>
      <c r="N38" s="3060"/>
      <c r="O38" s="3085"/>
      <c r="P38" s="3085"/>
      <c r="Q38" s="3086"/>
      <c r="R38" s="3087"/>
      <c r="S38" s="3122"/>
      <c r="T38" s="3041" t="s">
        <v>3041</v>
      </c>
      <c r="U38" s="3041"/>
      <c r="V38" s="3049"/>
    </row>
    <row r="39" spans="1:23" s="3053" customFormat="1" ht="13.15" customHeight="1">
      <c r="A39" s="3131">
        <v>9</v>
      </c>
      <c r="B39" s="3132" t="s">
        <v>3119</v>
      </c>
      <c r="C39" s="3097" t="e">
        <f>C38</f>
        <v>#DIV/0!</v>
      </c>
      <c r="D39" s="3132">
        <f>D38/(1+D34)^C36</f>
        <v>0</v>
      </c>
      <c r="E39" s="3132">
        <f>E38/(1+E34)^(C36+D36)</f>
        <v>0</v>
      </c>
      <c r="F39" s="3136"/>
      <c r="G39" s="3191"/>
      <c r="H39" s="3048"/>
      <c r="I39" s="3049"/>
      <c r="J39" s="3533"/>
      <c r="K39" s="3535"/>
      <c r="L39" s="3083"/>
      <c r="M39" s="3084"/>
      <c r="N39" s="3060"/>
      <c r="O39" s="3085"/>
      <c r="P39" s="3085"/>
      <c r="Q39" s="3086"/>
      <c r="R39" s="3087"/>
      <c r="S39" s="3122"/>
      <c r="T39" s="3041"/>
      <c r="U39" s="3041"/>
      <c r="V39" s="3049"/>
    </row>
    <row r="40" spans="1:23" s="3053" customFormat="1" ht="13.15" customHeight="1">
      <c r="A40" s="3192">
        <v>10</v>
      </c>
      <c r="B40" s="3132" t="s">
        <v>3120</v>
      </c>
      <c r="C40" s="3193" t="e">
        <f>C39+D39+E39</f>
        <v>#DIV/0!</v>
      </c>
      <c r="D40" s="3194"/>
      <c r="E40" s="3194"/>
      <c r="F40" s="3195"/>
      <c r="G40" s="3130"/>
      <c r="H40" s="3048"/>
      <c r="I40" s="3049"/>
      <c r="J40" s="3533"/>
      <c r="K40" s="3536"/>
      <c r="L40" s="3103" t="s">
        <v>3059</v>
      </c>
      <c r="M40" s="3104"/>
      <c r="N40" s="3104"/>
      <c r="O40" s="3105"/>
      <c r="P40" s="3105"/>
      <c r="Q40" s="3106"/>
      <c r="R40" s="3052">
        <f>SUM(R37:R39)</f>
        <v>0</v>
      </c>
      <c r="S40" s="3122"/>
      <c r="T40" s="3041"/>
      <c r="U40" s="3041"/>
      <c r="V40" s="3049"/>
    </row>
    <row r="41" spans="1:23" s="3053" customFormat="1" ht="13.15" customHeight="1" thickBot="1">
      <c r="A41" s="3196">
        <v>11</v>
      </c>
      <c r="B41" s="3197" t="s">
        <v>3121</v>
      </c>
      <c r="C41" s="3197" t="e">
        <f>ROUND(C40*10000/B4,0)</f>
        <v>#DIV/0!</v>
      </c>
      <c r="D41" s="3198"/>
      <c r="E41" s="3198"/>
      <c r="F41" s="3199"/>
      <c r="G41" s="3200"/>
      <c r="H41" s="3048"/>
      <c r="I41" s="3049"/>
      <c r="J41" s="3144">
        <v>2</v>
      </c>
      <c r="K41" s="3145" t="s">
        <v>3099</v>
      </c>
      <c r="L41" s="3146"/>
      <c r="M41" s="3146"/>
      <c r="N41" s="3146"/>
      <c r="O41" s="3146"/>
      <c r="P41" s="3147"/>
      <c r="Q41" s="3148"/>
      <c r="R41" s="3119">
        <f>ROUND(R40*Q41,0)</f>
        <v>0</v>
      </c>
      <c r="S41" s="3122"/>
      <c r="T41" s="3041"/>
      <c r="U41" s="3156"/>
      <c r="V41" s="3049"/>
    </row>
    <row r="42" spans="1:23" s="3053" customFormat="1" ht="13.15" customHeight="1">
      <c r="G42" s="3200"/>
      <c r="H42" s="3048"/>
      <c r="I42" s="3049"/>
      <c r="J42" s="3537">
        <v>3</v>
      </c>
      <c r="K42" s="3151" t="s">
        <v>3101</v>
      </c>
      <c r="L42" s="3152"/>
      <c r="M42" s="3153"/>
      <c r="N42" s="3154" t="s">
        <v>3102</v>
      </c>
      <c r="O42" s="3154" t="s">
        <v>3103</v>
      </c>
      <c r="P42" s="3155" t="s">
        <v>3104</v>
      </c>
      <c r="Q42" s="3155" t="s">
        <v>3105</v>
      </c>
      <c r="R42" s="3058" t="s">
        <v>3030</v>
      </c>
      <c r="S42" s="3156"/>
      <c r="T42" s="3156"/>
      <c r="U42" s="3041"/>
      <c r="V42" s="3049"/>
    </row>
    <row r="43" spans="1:23" ht="13.15" customHeight="1">
      <c r="A43" s="3053"/>
      <c r="B43" s="3053"/>
      <c r="C43" s="3053"/>
      <c r="D43" s="3053"/>
      <c r="E43" s="3053"/>
      <c r="F43" s="3053"/>
      <c r="I43" s="3036"/>
      <c r="J43" s="3538"/>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3108</v>
      </c>
      <c r="L44" s="3204" t="s">
        <v>3109</v>
      </c>
      <c r="M44" s="3167"/>
      <c r="N44" s="3204" t="s">
        <v>3110</v>
      </c>
      <c r="O44" s="3167"/>
      <c r="P44" s="3204" t="s">
        <v>3111</v>
      </c>
      <c r="Q44" s="3169">
        <v>1.4999999999999999E-2</v>
      </c>
      <c r="R44" s="31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5"/>
      <c r="G1" s="1643"/>
      <c r="H1" s="1643"/>
      <c r="I1" s="1643"/>
      <c r="J1" s="1643"/>
      <c r="K1" s="1643"/>
      <c r="L1" s="1643"/>
      <c r="M1" s="1643"/>
      <c r="N1" s="1643"/>
      <c r="O1" s="1643"/>
      <c r="P1" s="1643"/>
      <c r="Q1" s="1643"/>
      <c r="R1" s="1643"/>
      <c r="S1" s="1643"/>
    </row>
    <row r="2" spans="1:22" ht="15.75">
      <c r="A2" s="2025" t="s">
        <v>2088</v>
      </c>
      <c r="B2" s="2026">
        <f ca="1">SUMIF(B6:B13,"&lt;&gt;#ref!",B6:B13)</f>
        <v>209717</v>
      </c>
      <c r="C2" s="2027" t="s">
        <v>2280</v>
      </c>
      <c r="D2" s="2028" t="s">
        <v>2281</v>
      </c>
      <c r="E2" s="2802">
        <f>SUM(E6:E13)</f>
        <v>101504.34</v>
      </c>
      <c r="F2" s="2905"/>
      <c r="G2" s="1643"/>
      <c r="H2" s="1643"/>
      <c r="I2" s="1643"/>
      <c r="J2" s="1643"/>
      <c r="K2" s="1643"/>
      <c r="L2" s="1643"/>
      <c r="M2" s="1643"/>
      <c r="N2" s="1643"/>
      <c r="O2" s="1643"/>
      <c r="P2" s="1643"/>
      <c r="Q2" s="1643"/>
      <c r="R2" s="1643"/>
      <c r="S2" s="1643"/>
    </row>
    <row r="3" spans="1:22" ht="15.75">
      <c r="A3" s="2025" t="s">
        <v>1300</v>
      </c>
      <c r="B3" s="2796">
        <f ca="1">ROUND(B2*10000/E2,0)</f>
        <v>20661</v>
      </c>
      <c r="C3" s="2027" t="s">
        <v>2288</v>
      </c>
      <c r="D3" s="2907"/>
      <c r="E3" s="2909"/>
      <c r="F3" s="2905"/>
      <c r="G3" s="1643"/>
      <c r="H3" s="1643"/>
      <c r="I3" s="1643"/>
      <c r="J3" s="1643"/>
      <c r="K3" s="1643"/>
      <c r="L3" s="1643"/>
      <c r="M3" s="1643"/>
      <c r="N3" s="1643"/>
      <c r="O3" s="1643"/>
      <c r="P3" s="1643"/>
      <c r="Q3" s="1643"/>
      <c r="R3" s="1643"/>
      <c r="S3" s="1643"/>
    </row>
    <row r="4" spans="1:22" ht="15.75">
      <c r="A4" s="2910"/>
      <c r="B4" s="2907"/>
      <c r="C4" s="2907"/>
      <c r="D4" s="2907"/>
      <c r="E4" s="2909"/>
      <c r="F4" s="2905"/>
      <c r="G4" s="1643"/>
      <c r="H4" s="1643"/>
      <c r="I4" s="1643"/>
      <c r="J4" s="1643"/>
      <c r="K4" s="1643"/>
      <c r="L4" s="1643"/>
      <c r="M4" s="1643"/>
      <c r="N4" s="1643"/>
      <c r="O4" s="1643"/>
      <c r="P4" s="1643"/>
      <c r="Q4" s="1643"/>
      <c r="R4" s="1643"/>
      <c r="S4" s="1643"/>
    </row>
    <row r="5" spans="1:22" ht="15">
      <c r="A5" s="2798" t="s">
        <v>2282</v>
      </c>
      <c r="B5" s="3552" t="s">
        <v>2283</v>
      </c>
      <c r="C5" s="3553"/>
      <c r="D5" s="2906"/>
      <c r="E5" s="2029" t="s">
        <v>2284</v>
      </c>
      <c r="F5" s="2030" t="s">
        <v>2285</v>
      </c>
      <c r="G5" s="1643"/>
      <c r="H5" s="1643"/>
      <c r="I5" s="1643"/>
      <c r="J5" s="1643"/>
      <c r="K5" s="1643"/>
      <c r="L5" s="1643"/>
      <c r="M5" s="1643"/>
      <c r="N5" s="1643"/>
      <c r="O5" s="1643"/>
      <c r="P5" s="1643"/>
      <c r="Q5" s="1643"/>
      <c r="R5" s="1643"/>
      <c r="S5" s="1643"/>
    </row>
    <row r="6" spans="1:22">
      <c r="A6" s="2799" t="str">
        <f>'数据-取费表'!AN6</f>
        <v>收益法</v>
      </c>
      <c r="B6" s="2797">
        <f ca="1">IF(F6="是",'数据-取费表'!AO6,0)</f>
        <v>209717</v>
      </c>
      <c r="C6" s="2027" t="s">
        <v>2280</v>
      </c>
      <c r="D6" s="2907"/>
      <c r="E6" s="2801">
        <f>IF(OR(A6=0,F6="否"),0,'数据-取费表'!K6+'数据-取费表'!S6)</f>
        <v>101504.34</v>
      </c>
      <c r="F6" s="2031" t="s">
        <v>2286</v>
      </c>
      <c r="G6" s="1643"/>
      <c r="H6" s="1643"/>
      <c r="I6" s="1643"/>
      <c r="J6" s="1643"/>
      <c r="K6" s="1643"/>
      <c r="L6" s="1643"/>
      <c r="M6" s="1643"/>
      <c r="N6" s="1643"/>
      <c r="O6" s="1643"/>
      <c r="P6" s="1643"/>
      <c r="Q6" s="1643"/>
      <c r="R6" s="1643"/>
      <c r="S6" s="1643"/>
    </row>
    <row r="7" spans="1:22">
      <c r="A7" s="2799">
        <f>'数据-取费表'!AN7</f>
        <v>0</v>
      </c>
      <c r="B7" s="2797" t="e">
        <f ca="1">IF(F7="是",'数据-取费表'!AO7,0)</f>
        <v>#REF!</v>
      </c>
      <c r="C7" s="2027" t="s">
        <v>2280</v>
      </c>
      <c r="D7" s="2907"/>
      <c r="E7" s="2801">
        <f>IF(OR(A7=0,F7="否"),0,'数据-取费表'!K7+'数据-取费表'!S7)</f>
        <v>0</v>
      </c>
      <c r="F7" s="2031" t="s">
        <v>2286</v>
      </c>
      <c r="G7" s="1643"/>
      <c r="H7" s="1643"/>
      <c r="I7" s="1643"/>
      <c r="J7" s="1643"/>
      <c r="K7" s="1643"/>
      <c r="L7" s="1643"/>
      <c r="M7" s="1643"/>
      <c r="N7" s="1643"/>
      <c r="O7" s="1643"/>
      <c r="P7" s="1643"/>
      <c r="Q7" s="1643"/>
      <c r="R7" s="1643"/>
      <c r="S7" s="1643"/>
    </row>
    <row r="8" spans="1:22">
      <c r="A8" s="2799">
        <f>'数据-取费表'!AN8</f>
        <v>0</v>
      </c>
      <c r="B8" s="2797" t="e">
        <f ca="1">IF(F8="是",'数据-取费表'!AO8,0)</f>
        <v>#REF!</v>
      </c>
      <c r="C8" s="2027" t="s">
        <v>2280</v>
      </c>
      <c r="D8" s="2907"/>
      <c r="E8" s="2801">
        <f>IF(OR(A8=0,F8="否"),0,'数据-取费表'!K8+'数据-取费表'!S8)</f>
        <v>0</v>
      </c>
      <c r="F8" s="2031" t="s">
        <v>2286</v>
      </c>
      <c r="G8" s="1643"/>
      <c r="H8" s="1643"/>
      <c r="I8" s="1643"/>
      <c r="J8" s="1643"/>
      <c r="K8" s="1643"/>
      <c r="L8" s="1643"/>
      <c r="M8" s="1643"/>
      <c r="N8" s="1643"/>
      <c r="O8" s="1643"/>
      <c r="P8" s="1643"/>
      <c r="Q8" s="1643"/>
      <c r="R8" s="1643"/>
      <c r="S8" s="1643"/>
    </row>
    <row r="9" spans="1:22">
      <c r="A9" s="2799">
        <f>'数据-取费表'!AN9</f>
        <v>0</v>
      </c>
      <c r="B9" s="2797" t="e">
        <f ca="1">IF(F9="是",'数据-取费表'!AO9,0)</f>
        <v>#REF!</v>
      </c>
      <c r="C9" s="2027" t="s">
        <v>2280</v>
      </c>
      <c r="D9" s="2907"/>
      <c r="E9" s="2801">
        <f>IF(OR(A9=0,F9="否"),0,'数据-取费表'!K9+'数据-取费表'!S9)</f>
        <v>0</v>
      </c>
      <c r="F9" s="2031" t="s">
        <v>2286</v>
      </c>
      <c r="G9" s="1643"/>
      <c r="H9" s="1643"/>
      <c r="I9" s="1643"/>
      <c r="J9" s="1643"/>
      <c r="K9" s="1643"/>
      <c r="L9" s="1643"/>
      <c r="M9" s="1643"/>
      <c r="N9" s="1643"/>
      <c r="O9" s="1643"/>
      <c r="P9" s="1643"/>
      <c r="Q9" s="1643"/>
      <c r="R9" s="1643"/>
      <c r="S9" s="1643"/>
    </row>
    <row r="10" spans="1:22">
      <c r="A10" s="2799">
        <f>'数据-取费表'!AN10</f>
        <v>0</v>
      </c>
      <c r="B10" s="2797" t="e">
        <f ca="1">IF(F10="是",'数据-取费表'!AO10,0)</f>
        <v>#REF!</v>
      </c>
      <c r="C10" s="2027" t="s">
        <v>2280</v>
      </c>
      <c r="D10" s="2907"/>
      <c r="E10" s="2801">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9">
        <f>'数据-取费表'!AN11</f>
        <v>0</v>
      </c>
      <c r="B11" s="2797" t="e">
        <f ca="1">IF(F11="是",'数据-取费表'!AO11,0)</f>
        <v>#REF!</v>
      </c>
      <c r="C11" s="2027" t="s">
        <v>2280</v>
      </c>
      <c r="D11" s="2907"/>
      <c r="E11" s="2801">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9">
        <f>'数据-取费表'!AN12</f>
        <v>0</v>
      </c>
      <c r="B12" s="2797" t="e">
        <f ca="1">IF(F12="是",'数据-取费表'!AO12,0)</f>
        <v>#REF!</v>
      </c>
      <c r="C12" s="2027" t="s">
        <v>2280</v>
      </c>
      <c r="D12" s="2907"/>
      <c r="E12" s="2801">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2290</v>
      </c>
      <c r="C1" s="1377" t="s">
        <v>2291</v>
      </c>
      <c r="D1" s="1364"/>
      <c r="E1" s="2513"/>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101504.34</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2296</v>
      </c>
      <c r="B4" s="362"/>
      <c r="C4" s="3572" t="s">
        <v>2297</v>
      </c>
      <c r="D4" s="3573"/>
      <c r="E4" s="3574" t="s">
        <v>2298</v>
      </c>
      <c r="F4" s="3575"/>
      <c r="G4" s="3572" t="s">
        <v>2299</v>
      </c>
      <c r="H4" s="3573"/>
      <c r="I4" s="3572" t="s">
        <v>2300</v>
      </c>
      <c r="J4" s="3573"/>
      <c r="K4" s="2044" t="s">
        <v>2301</v>
      </c>
      <c r="L4" s="2913"/>
      <c r="M4" s="2914"/>
      <c r="N4" s="2914"/>
      <c r="O4" s="2914"/>
      <c r="P4" s="3576" t="s">
        <v>2302</v>
      </c>
      <c r="Q4" s="3577"/>
      <c r="R4" s="3582" t="s">
        <v>2298</v>
      </c>
      <c r="S4" s="3583"/>
      <c r="T4" s="3582" t="s">
        <v>2299</v>
      </c>
      <c r="U4" s="3583"/>
      <c r="V4" s="3588" t="s">
        <v>2300</v>
      </c>
      <c r="W4" s="3588"/>
      <c r="X4" s="1508"/>
      <c r="Y4" s="3582" t="s">
        <v>2302</v>
      </c>
      <c r="Z4" s="3583"/>
      <c r="AA4" s="3569" t="s">
        <v>2298</v>
      </c>
      <c r="AB4" s="3569" t="s">
        <v>2299</v>
      </c>
      <c r="AC4" s="3569" t="s">
        <v>2300</v>
      </c>
    </row>
    <row r="5" spans="1:29" ht="15">
      <c r="A5" s="364"/>
      <c r="B5" s="365"/>
      <c r="C5" s="3591" t="s">
        <v>2303</v>
      </c>
      <c r="D5" s="3592"/>
      <c r="E5" s="3598" t="s">
        <v>2304</v>
      </c>
      <c r="F5" s="3599"/>
      <c r="G5" s="3591" t="s">
        <v>2305</v>
      </c>
      <c r="H5" s="3592"/>
      <c r="I5" s="3591" t="s">
        <v>2306</v>
      </c>
      <c r="J5" s="3592"/>
      <c r="K5" s="2045"/>
      <c r="L5" s="2913"/>
      <c r="M5" s="2914"/>
      <c r="N5" s="2914"/>
      <c r="O5" s="2914"/>
      <c r="P5" s="3578"/>
      <c r="Q5" s="3579"/>
      <c r="R5" s="3584"/>
      <c r="S5" s="3585"/>
      <c r="T5" s="3584"/>
      <c r="U5" s="3585"/>
      <c r="V5" s="3588"/>
      <c r="W5" s="3588"/>
      <c r="X5" s="1508"/>
      <c r="Y5" s="3584"/>
      <c r="Z5" s="3585"/>
      <c r="AA5" s="3570"/>
      <c r="AB5" s="3570"/>
      <c r="AC5" s="3570"/>
    </row>
    <row r="6" spans="1:29" ht="15.75" thickBot="1">
      <c r="A6" s="366"/>
      <c r="B6" s="367"/>
      <c r="C6" s="3589" t="s">
        <v>2307</v>
      </c>
      <c r="D6" s="3590"/>
      <c r="E6" s="3596" t="s">
        <v>2307</v>
      </c>
      <c r="F6" s="3597"/>
      <c r="G6" s="3589" t="s">
        <v>2307</v>
      </c>
      <c r="H6" s="3590"/>
      <c r="I6" s="3589" t="s">
        <v>2307</v>
      </c>
      <c r="J6" s="3590"/>
      <c r="K6" s="2045" t="s">
        <v>2308</v>
      </c>
      <c r="L6" s="2913"/>
      <c r="M6" s="2914"/>
      <c r="N6" s="2914"/>
      <c r="O6" s="2914"/>
      <c r="P6" s="3580"/>
      <c r="Q6" s="3581"/>
      <c r="R6" s="3584"/>
      <c r="S6" s="3585"/>
      <c r="T6" s="3586"/>
      <c r="U6" s="3587"/>
      <c r="V6" s="3588"/>
      <c r="W6" s="3588"/>
      <c r="X6" s="1508"/>
      <c r="Y6" s="3586"/>
      <c r="Z6" s="3587"/>
      <c r="AA6" s="3571"/>
      <c r="AB6" s="3571"/>
      <c r="AC6" s="3571"/>
    </row>
    <row r="7" spans="1:29" s="113" customFormat="1" ht="15.75" thickBot="1">
      <c r="A7" s="368" t="s">
        <v>2309</v>
      </c>
      <c r="B7" s="369"/>
      <c r="C7" s="370">
        <f>'数据-取费表'!B2</f>
        <v>44567</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593" t="s">
        <v>2310</v>
      </c>
      <c r="Q7" s="3595"/>
      <c r="R7" s="710" t="s">
        <v>23</v>
      </c>
      <c r="S7" s="711">
        <f t="shared" ref="S7:S15" si="0">F7</f>
        <v>0</v>
      </c>
      <c r="T7" s="710" t="s">
        <v>23</v>
      </c>
      <c r="U7" s="711">
        <f t="shared" ref="U7:U15" si="1">H7</f>
        <v>0</v>
      </c>
      <c r="V7" s="710" t="s">
        <v>23</v>
      </c>
      <c r="W7" s="711">
        <f t="shared" ref="W7:W15" si="2">J7</f>
        <v>0</v>
      </c>
      <c r="X7" s="712"/>
      <c r="Y7" s="3593" t="s">
        <v>2310</v>
      </c>
      <c r="Z7" s="3594"/>
      <c r="AA7" s="713" t="e">
        <f>D7/F7</f>
        <v>#DIV/0!</v>
      </c>
      <c r="AB7" s="713" t="e">
        <f>D7/H7</f>
        <v>#DIV/0!</v>
      </c>
      <c r="AC7" s="713" t="e">
        <f>D7/J7</f>
        <v>#DIV/0!</v>
      </c>
    </row>
    <row r="8" spans="1:29" s="113" customFormat="1" ht="15.7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593" t="s">
        <v>2313</v>
      </c>
      <c r="Q8" s="3594"/>
      <c r="R8" s="710" t="s">
        <v>23</v>
      </c>
      <c r="S8" s="711">
        <f t="shared" si="0"/>
        <v>0</v>
      </c>
      <c r="T8" s="710" t="s">
        <v>23</v>
      </c>
      <c r="U8" s="711">
        <f t="shared" si="1"/>
        <v>0</v>
      </c>
      <c r="V8" s="710" t="s">
        <v>23</v>
      </c>
      <c r="W8" s="711">
        <f t="shared" si="2"/>
        <v>0</v>
      </c>
      <c r="X8" s="712"/>
      <c r="Y8" s="3593" t="s">
        <v>2313</v>
      </c>
      <c r="Z8" s="3594"/>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568" t="s">
        <v>2316</v>
      </c>
      <c r="Q9" s="1496" t="str">
        <f t="shared" ref="Q9:Q15" si="6">B9</f>
        <v>用途</v>
      </c>
      <c r="R9" s="710" t="s">
        <v>17</v>
      </c>
      <c r="S9" s="711">
        <f t="shared" si="0"/>
        <v>100</v>
      </c>
      <c r="T9" s="710" t="s">
        <v>17</v>
      </c>
      <c r="U9" s="711">
        <f t="shared" si="1"/>
        <v>100</v>
      </c>
      <c r="V9" s="710" t="s">
        <v>17</v>
      </c>
      <c r="W9" s="711">
        <f t="shared" si="2"/>
        <v>100</v>
      </c>
      <c r="X9" s="712"/>
      <c r="Y9" s="3429"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568"/>
      <c r="Q10" s="1496" t="str">
        <f t="shared" si="6"/>
        <v>土地使用年限（年）</v>
      </c>
      <c r="R10" s="710" t="s">
        <v>17</v>
      </c>
      <c r="S10" s="711">
        <f t="shared" si="0"/>
        <v>100</v>
      </c>
      <c r="T10" s="710" t="s">
        <v>17</v>
      </c>
      <c r="U10" s="711">
        <f t="shared" si="1"/>
        <v>100</v>
      </c>
      <c r="V10" s="710" t="s">
        <v>17</v>
      </c>
      <c r="W10" s="711">
        <f t="shared" si="2"/>
        <v>100</v>
      </c>
      <c r="X10" s="712"/>
      <c r="Y10" s="3429"/>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568"/>
      <c r="Q11" s="1496" t="str">
        <f t="shared" si="6"/>
        <v>容积率</v>
      </c>
      <c r="R11" s="710" t="s">
        <v>21</v>
      </c>
      <c r="S11" s="711" t="e">
        <f t="shared" si="0"/>
        <v>#N/A</v>
      </c>
      <c r="T11" s="710" t="s">
        <v>21</v>
      </c>
      <c r="U11" s="711" t="e">
        <f t="shared" si="1"/>
        <v>#N/A</v>
      </c>
      <c r="V11" s="710" t="s">
        <v>21</v>
      </c>
      <c r="W11" s="711" t="e">
        <f t="shared" si="2"/>
        <v>#N/A</v>
      </c>
      <c r="X11" s="712"/>
      <c r="Y11" s="3429"/>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568"/>
      <c r="Q12" s="1496">
        <f t="shared" si="6"/>
        <v>111</v>
      </c>
      <c r="R12" s="710" t="s">
        <v>21</v>
      </c>
      <c r="S12" s="711">
        <f t="shared" si="0"/>
        <v>100</v>
      </c>
      <c r="T12" s="710" t="s">
        <v>21</v>
      </c>
      <c r="U12" s="711">
        <f t="shared" si="1"/>
        <v>100</v>
      </c>
      <c r="V12" s="710" t="s">
        <v>21</v>
      </c>
      <c r="W12" s="711">
        <f t="shared" si="2"/>
        <v>100</v>
      </c>
      <c r="X12" s="712"/>
      <c r="Y12" s="3429"/>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568"/>
      <c r="Q13" s="1496">
        <f t="shared" si="6"/>
        <v>111</v>
      </c>
      <c r="R13" s="710" t="s">
        <v>21</v>
      </c>
      <c r="S13" s="711">
        <f t="shared" si="0"/>
        <v>100</v>
      </c>
      <c r="T13" s="710" t="s">
        <v>21</v>
      </c>
      <c r="U13" s="711">
        <f t="shared" si="1"/>
        <v>100</v>
      </c>
      <c r="V13" s="710" t="s">
        <v>21</v>
      </c>
      <c r="W13" s="711">
        <f t="shared" si="2"/>
        <v>100</v>
      </c>
      <c r="X13" s="712"/>
      <c r="Y13" s="3429"/>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568"/>
      <c r="Q14" s="1496">
        <f t="shared" si="6"/>
        <v>111</v>
      </c>
      <c r="R14" s="710" t="s">
        <v>21</v>
      </c>
      <c r="S14" s="711">
        <f t="shared" si="0"/>
        <v>100</v>
      </c>
      <c r="T14" s="710" t="s">
        <v>21</v>
      </c>
      <c r="U14" s="711">
        <f t="shared" si="1"/>
        <v>100</v>
      </c>
      <c r="V14" s="710" t="s">
        <v>21</v>
      </c>
      <c r="W14" s="711">
        <f t="shared" si="2"/>
        <v>100</v>
      </c>
      <c r="X14" s="712"/>
      <c r="Y14" s="3429"/>
      <c r="Z14" s="55">
        <f t="shared" si="7"/>
        <v>111</v>
      </c>
      <c r="AA14" s="713">
        <f t="shared" si="3"/>
        <v>1</v>
      </c>
      <c r="AB14" s="713">
        <f t="shared" si="4"/>
        <v>1</v>
      </c>
      <c r="AC14" s="713">
        <f t="shared" si="5"/>
        <v>1</v>
      </c>
    </row>
    <row r="15" spans="1:29" ht="99.75">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566" t="s">
        <v>2321</v>
      </c>
      <c r="Q15" s="1505" t="str">
        <f t="shared" si="6"/>
        <v>居住社区成熟度</v>
      </c>
      <c r="R15" s="714" t="s">
        <v>21</v>
      </c>
      <c r="S15" s="715">
        <f t="shared" si="0"/>
        <v>100</v>
      </c>
      <c r="T15" s="714" t="s">
        <v>21</v>
      </c>
      <c r="U15" s="715">
        <f t="shared" si="1"/>
        <v>100</v>
      </c>
      <c r="V15" s="714" t="s">
        <v>21</v>
      </c>
      <c r="W15" s="715">
        <f t="shared" si="2"/>
        <v>100</v>
      </c>
      <c r="X15" s="1508"/>
      <c r="Y15" s="3559" t="s">
        <v>2321</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20"/>
      <c r="M16" s="2914"/>
      <c r="N16" s="2914"/>
      <c r="O16" s="2914"/>
      <c r="P16" s="3567"/>
      <c r="Q16" s="1505"/>
      <c r="R16" s="714"/>
      <c r="S16" s="715"/>
      <c r="T16" s="714"/>
      <c r="U16" s="715"/>
      <c r="V16" s="714"/>
      <c r="W16" s="715"/>
      <c r="X16" s="1508"/>
      <c r="Y16" s="3560"/>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567"/>
      <c r="Q17" s="1505" t="str">
        <f>B17</f>
        <v>交通便捷度</v>
      </c>
      <c r="R17" s="714" t="s">
        <v>21</v>
      </c>
      <c r="S17" s="715">
        <f>F17</f>
        <v>100</v>
      </c>
      <c r="T17" s="714" t="s">
        <v>21</v>
      </c>
      <c r="U17" s="715">
        <f>H17</f>
        <v>100</v>
      </c>
      <c r="V17" s="714" t="s">
        <v>21</v>
      </c>
      <c r="W17" s="715">
        <f>J17</f>
        <v>100</v>
      </c>
      <c r="X17" s="1508"/>
      <c r="Y17" s="3560"/>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20"/>
      <c r="M18" s="2914"/>
      <c r="N18" s="2914"/>
      <c r="O18" s="2914"/>
      <c r="P18" s="3567"/>
      <c r="Q18" s="1505"/>
      <c r="R18" s="714"/>
      <c r="S18" s="715"/>
      <c r="T18" s="714"/>
      <c r="U18" s="715"/>
      <c r="V18" s="714"/>
      <c r="W18" s="715"/>
      <c r="X18" s="1508"/>
      <c r="Y18" s="3560"/>
      <c r="Z18" s="1509"/>
      <c r="AA18" s="1506">
        <v>1</v>
      </c>
      <c r="AB18" s="1506">
        <v>1</v>
      </c>
      <c r="AC18" s="1506">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567"/>
      <c r="Q19" s="1505" t="str">
        <f>B19</f>
        <v>公共配套设施</v>
      </c>
      <c r="R19" s="714" t="s">
        <v>21</v>
      </c>
      <c r="S19" s="715">
        <f>F19</f>
        <v>100</v>
      </c>
      <c r="T19" s="714" t="s">
        <v>21</v>
      </c>
      <c r="U19" s="715">
        <f>H19</f>
        <v>100</v>
      </c>
      <c r="V19" s="714" t="s">
        <v>21</v>
      </c>
      <c r="W19" s="715">
        <f>J19</f>
        <v>100</v>
      </c>
      <c r="X19" s="1508"/>
      <c r="Y19" s="3560"/>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20"/>
      <c r="M20" s="2914"/>
      <c r="N20" s="2914"/>
      <c r="O20" s="2914"/>
      <c r="P20" s="3567"/>
      <c r="Q20" s="1505"/>
      <c r="R20" s="714"/>
      <c r="S20" s="715"/>
      <c r="T20" s="714"/>
      <c r="U20" s="715"/>
      <c r="V20" s="714"/>
      <c r="W20" s="715"/>
      <c r="X20" s="1508"/>
      <c r="Y20" s="3560"/>
      <c r="Z20" s="1509"/>
      <c r="AA20" s="1506">
        <v>1</v>
      </c>
      <c r="AB20" s="1506">
        <v>1</v>
      </c>
      <c r="AC20" s="1506">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567"/>
      <c r="Q21" s="1505" t="str">
        <f>B21</f>
        <v>基础设施水平</v>
      </c>
      <c r="R21" s="714" t="s">
        <v>17</v>
      </c>
      <c r="S21" s="715">
        <f>F21</f>
        <v>100</v>
      </c>
      <c r="T21" s="714" t="s">
        <v>17</v>
      </c>
      <c r="U21" s="715">
        <f>H21</f>
        <v>100</v>
      </c>
      <c r="V21" s="714" t="s">
        <v>17</v>
      </c>
      <c r="W21" s="715">
        <f>J21</f>
        <v>100</v>
      </c>
      <c r="X21" s="1508"/>
      <c r="Y21" s="3560"/>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20"/>
      <c r="M22" s="2914"/>
      <c r="N22" s="2914"/>
      <c r="O22" s="2914"/>
      <c r="P22" s="3567"/>
      <c r="Q22" s="1505"/>
      <c r="R22" s="714"/>
      <c r="S22" s="715"/>
      <c r="T22" s="714"/>
      <c r="U22" s="715"/>
      <c r="V22" s="714"/>
      <c r="W22" s="715"/>
      <c r="X22" s="1508"/>
      <c r="Y22" s="3560"/>
      <c r="Z22" s="1509"/>
      <c r="AA22" s="1506">
        <v>1</v>
      </c>
      <c r="AB22" s="1506">
        <v>1</v>
      </c>
      <c r="AC22" s="1506">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567"/>
      <c r="Q23" s="1505" t="str">
        <f>B23</f>
        <v>自然及人文环境</v>
      </c>
      <c r="R23" s="714" t="s">
        <v>21</v>
      </c>
      <c r="S23" s="715">
        <f>F23</f>
        <v>100</v>
      </c>
      <c r="T23" s="714" t="s">
        <v>21</v>
      </c>
      <c r="U23" s="715">
        <f>H23</f>
        <v>100</v>
      </c>
      <c r="V23" s="714" t="s">
        <v>21</v>
      </c>
      <c r="W23" s="715">
        <f>J23</f>
        <v>100</v>
      </c>
      <c r="X23" s="1508"/>
      <c r="Y23" s="3560"/>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20"/>
      <c r="M24" s="2914"/>
      <c r="N24" s="2914"/>
      <c r="O24" s="2914"/>
      <c r="P24" s="3567"/>
      <c r="Q24" s="1505"/>
      <c r="R24" s="714"/>
      <c r="S24" s="715"/>
      <c r="T24" s="714"/>
      <c r="U24" s="715"/>
      <c r="V24" s="714"/>
      <c r="W24" s="715"/>
      <c r="X24" s="1508"/>
      <c r="Y24" s="3560"/>
      <c r="Z24" s="1509"/>
      <c r="AA24" s="1506">
        <v>1</v>
      </c>
      <c r="AB24" s="1506">
        <v>1</v>
      </c>
      <c r="AC24" s="1506">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567"/>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560"/>
      <c r="Z25" s="1509" t="str">
        <f>Q25</f>
        <v>楼层-1</v>
      </c>
      <c r="AA25" s="1506">
        <f t="shared" ref="AA25:AA46" si="15">D25/F25</f>
        <v>1</v>
      </c>
      <c r="AB25" s="1506">
        <f t="shared" ref="AB25:AB46" si="16">D25/H25</f>
        <v>1</v>
      </c>
      <c r="AC25" s="1506">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567"/>
      <c r="Q26" s="1505" t="str">
        <f t="shared" si="11"/>
        <v>朝向</v>
      </c>
      <c r="R26" s="714" t="s">
        <v>21</v>
      </c>
      <c r="S26" s="715">
        <f t="shared" si="12"/>
        <v>100</v>
      </c>
      <c r="T26" s="714" t="s">
        <v>21</v>
      </c>
      <c r="U26" s="715">
        <f t="shared" si="13"/>
        <v>100</v>
      </c>
      <c r="V26" s="714" t="s">
        <v>21</v>
      </c>
      <c r="W26" s="715">
        <f t="shared" si="14"/>
        <v>100</v>
      </c>
      <c r="X26" s="1508"/>
      <c r="Y26" s="3560"/>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567"/>
      <c r="Q27" s="1496">
        <f t="shared" si="11"/>
        <v>111</v>
      </c>
      <c r="R27" s="710" t="s">
        <v>21</v>
      </c>
      <c r="S27" s="711">
        <f t="shared" si="12"/>
        <v>100</v>
      </c>
      <c r="T27" s="710" t="s">
        <v>21</v>
      </c>
      <c r="U27" s="711">
        <f t="shared" si="13"/>
        <v>100</v>
      </c>
      <c r="V27" s="710" t="s">
        <v>21</v>
      </c>
      <c r="W27" s="711">
        <f t="shared" si="14"/>
        <v>100</v>
      </c>
      <c r="X27" s="712"/>
      <c r="Y27" s="3560"/>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567"/>
      <c r="Q28" s="1505">
        <f t="shared" si="11"/>
        <v>111</v>
      </c>
      <c r="R28" s="714" t="s">
        <v>21</v>
      </c>
      <c r="S28" s="715">
        <f t="shared" si="12"/>
        <v>100</v>
      </c>
      <c r="T28" s="714" t="s">
        <v>21</v>
      </c>
      <c r="U28" s="715">
        <f t="shared" si="13"/>
        <v>100</v>
      </c>
      <c r="V28" s="714" t="s">
        <v>21</v>
      </c>
      <c r="W28" s="715">
        <f t="shared" si="14"/>
        <v>100</v>
      </c>
      <c r="X28" s="1508"/>
      <c r="Y28" s="3560"/>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567"/>
      <c r="Q29" s="1505">
        <f t="shared" si="11"/>
        <v>111</v>
      </c>
      <c r="R29" s="714" t="s">
        <v>21</v>
      </c>
      <c r="S29" s="715">
        <f t="shared" si="12"/>
        <v>100</v>
      </c>
      <c r="T29" s="714" t="s">
        <v>21</v>
      </c>
      <c r="U29" s="715">
        <f t="shared" si="13"/>
        <v>100</v>
      </c>
      <c r="V29" s="714" t="s">
        <v>21</v>
      </c>
      <c r="W29" s="715">
        <f t="shared" si="14"/>
        <v>100</v>
      </c>
      <c r="X29" s="1508"/>
      <c r="Y29" s="3560"/>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567"/>
      <c r="Q30" s="1505">
        <f t="shared" si="11"/>
        <v>111</v>
      </c>
      <c r="R30" s="714" t="s">
        <v>21</v>
      </c>
      <c r="S30" s="715">
        <f t="shared" si="12"/>
        <v>100</v>
      </c>
      <c r="T30" s="714" t="s">
        <v>21</v>
      </c>
      <c r="U30" s="715">
        <f t="shared" si="13"/>
        <v>100</v>
      </c>
      <c r="V30" s="714" t="s">
        <v>21</v>
      </c>
      <c r="W30" s="715">
        <f t="shared" si="14"/>
        <v>100</v>
      </c>
      <c r="X30" s="1508"/>
      <c r="Y30" s="3560"/>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567"/>
      <c r="Q31" s="1505">
        <f t="shared" si="11"/>
        <v>111</v>
      </c>
      <c r="R31" s="714" t="s">
        <v>21</v>
      </c>
      <c r="S31" s="715">
        <f t="shared" si="12"/>
        <v>100</v>
      </c>
      <c r="T31" s="714" t="s">
        <v>21</v>
      </c>
      <c r="U31" s="715">
        <f t="shared" si="13"/>
        <v>100</v>
      </c>
      <c r="V31" s="714" t="s">
        <v>21</v>
      </c>
      <c r="W31" s="715">
        <f t="shared" si="14"/>
        <v>100</v>
      </c>
      <c r="X31" s="1508"/>
      <c r="Y31" s="3560"/>
      <c r="Z31" s="1509">
        <f t="shared" si="18"/>
        <v>111</v>
      </c>
      <c r="AA31" s="1506">
        <f t="shared" si="15"/>
        <v>1</v>
      </c>
      <c r="AB31" s="1506">
        <f t="shared" si="16"/>
        <v>1</v>
      </c>
      <c r="AC31" s="1506">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561" t="s">
        <v>2326</v>
      </c>
      <c r="Q32" s="1505" t="str">
        <f t="shared" si="11"/>
        <v>建筑类型</v>
      </c>
      <c r="R32" s="714" t="s">
        <v>21</v>
      </c>
      <c r="S32" s="715">
        <f t="shared" si="12"/>
        <v>100</v>
      </c>
      <c r="T32" s="714" t="s">
        <v>21</v>
      </c>
      <c r="U32" s="715">
        <f t="shared" si="13"/>
        <v>100</v>
      </c>
      <c r="V32" s="714" t="s">
        <v>21</v>
      </c>
      <c r="W32" s="715">
        <f t="shared" si="14"/>
        <v>100</v>
      </c>
      <c r="X32" s="1508"/>
      <c r="Y32" s="3564" t="s">
        <v>2326</v>
      </c>
      <c r="Z32" s="1509" t="str">
        <f t="shared" si="18"/>
        <v>建筑类型</v>
      </c>
      <c r="AA32" s="1506">
        <f t="shared" si="15"/>
        <v>1</v>
      </c>
      <c r="AB32" s="1506">
        <f t="shared" si="16"/>
        <v>1</v>
      </c>
      <c r="AC32" s="1506">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562"/>
      <c r="Q33" s="716" t="str">
        <f t="shared" si="11"/>
        <v>项目建筑规模</v>
      </c>
      <c r="R33" s="717" t="s">
        <v>21</v>
      </c>
      <c r="S33" s="718" t="e">
        <f t="shared" si="12"/>
        <v>#N/A</v>
      </c>
      <c r="T33" s="717" t="s">
        <v>21</v>
      </c>
      <c r="U33" s="718" t="e">
        <f t="shared" si="13"/>
        <v>#N/A</v>
      </c>
      <c r="V33" s="717" t="s">
        <v>21</v>
      </c>
      <c r="W33" s="718" t="e">
        <f t="shared" si="14"/>
        <v>#N/A</v>
      </c>
      <c r="X33" s="719"/>
      <c r="Y33" s="3564"/>
      <c r="Z33" s="720" t="str">
        <f t="shared" si="18"/>
        <v>项目建筑规模</v>
      </c>
      <c r="AA33" s="1506" t="e">
        <f t="shared" si="15"/>
        <v>#N/A</v>
      </c>
      <c r="AB33" s="1506" t="e">
        <f t="shared" si="16"/>
        <v>#N/A</v>
      </c>
      <c r="AC33" s="1506"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562"/>
      <c r="Q34" s="1505" t="str">
        <f t="shared" si="11"/>
        <v>建筑结构</v>
      </c>
      <c r="R34" s="714" t="s">
        <v>21</v>
      </c>
      <c r="S34" s="715">
        <f t="shared" si="12"/>
        <v>100</v>
      </c>
      <c r="T34" s="714" t="s">
        <v>21</v>
      </c>
      <c r="U34" s="715">
        <f t="shared" si="13"/>
        <v>100</v>
      </c>
      <c r="V34" s="714" t="s">
        <v>21</v>
      </c>
      <c r="W34" s="715">
        <f t="shared" si="14"/>
        <v>100</v>
      </c>
      <c r="X34" s="1508"/>
      <c r="Y34" s="3564"/>
      <c r="Z34" s="1509" t="str">
        <f t="shared" si="18"/>
        <v>建筑结构</v>
      </c>
      <c r="AA34" s="1506">
        <f t="shared" si="15"/>
        <v>1</v>
      </c>
      <c r="AB34" s="1506">
        <f t="shared" si="16"/>
        <v>1</v>
      </c>
      <c r="AC34" s="1506">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562"/>
      <c r="Q35" s="1505" t="str">
        <f t="shared" si="11"/>
        <v>建筑品质</v>
      </c>
      <c r="R35" s="714" t="s">
        <v>21</v>
      </c>
      <c r="S35" s="715">
        <f t="shared" si="12"/>
        <v>100</v>
      </c>
      <c r="T35" s="714" t="s">
        <v>21</v>
      </c>
      <c r="U35" s="715">
        <f t="shared" si="13"/>
        <v>100</v>
      </c>
      <c r="V35" s="714" t="s">
        <v>21</v>
      </c>
      <c r="W35" s="715">
        <f t="shared" si="14"/>
        <v>100</v>
      </c>
      <c r="X35" s="1508"/>
      <c r="Y35" s="3564"/>
      <c r="Z35" s="1509" t="str">
        <f t="shared" si="18"/>
        <v>建筑品质</v>
      </c>
      <c r="AA35" s="1506">
        <f t="shared" si="15"/>
        <v>1</v>
      </c>
      <c r="AB35" s="1506">
        <f t="shared" si="16"/>
        <v>1</v>
      </c>
      <c r="AC35" s="1506">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562"/>
      <c r="Q36" s="1505" t="str">
        <f t="shared" si="11"/>
        <v>公共部分装修</v>
      </c>
      <c r="R36" s="714" t="s">
        <v>21</v>
      </c>
      <c r="S36" s="715">
        <f t="shared" si="12"/>
        <v>100</v>
      </c>
      <c r="T36" s="714" t="s">
        <v>21</v>
      </c>
      <c r="U36" s="715">
        <f t="shared" si="13"/>
        <v>100</v>
      </c>
      <c r="V36" s="714" t="s">
        <v>21</v>
      </c>
      <c r="W36" s="715">
        <f t="shared" si="14"/>
        <v>100</v>
      </c>
      <c r="X36" s="1508"/>
      <c r="Y36" s="3564"/>
      <c r="Z36" s="1509" t="str">
        <f t="shared" si="18"/>
        <v>公共部分装修</v>
      </c>
      <c r="AA36" s="1506">
        <f t="shared" si="15"/>
        <v>1</v>
      </c>
      <c r="AB36" s="1506">
        <f t="shared" si="16"/>
        <v>1</v>
      </c>
      <c r="AC36" s="1506">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562"/>
      <c r="Q37" s="1496" t="str">
        <f t="shared" si="11"/>
        <v>成新度</v>
      </c>
      <c r="R37" s="710" t="s">
        <v>21</v>
      </c>
      <c r="S37" s="711" t="e">
        <f t="shared" si="12"/>
        <v>#N/A</v>
      </c>
      <c r="T37" s="710" t="s">
        <v>21</v>
      </c>
      <c r="U37" s="711" t="e">
        <f t="shared" si="13"/>
        <v>#N/A</v>
      </c>
      <c r="V37" s="710" t="s">
        <v>21</v>
      </c>
      <c r="W37" s="711" t="e">
        <f t="shared" si="14"/>
        <v>#N/A</v>
      </c>
      <c r="X37" s="712"/>
      <c r="Y37" s="3564"/>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562" t="s">
        <v>2326</v>
      </c>
      <c r="Q38" s="1505" t="str">
        <f t="shared" si="11"/>
        <v>物业管理</v>
      </c>
      <c r="R38" s="714" t="s">
        <v>21</v>
      </c>
      <c r="S38" s="715">
        <f t="shared" si="12"/>
        <v>100</v>
      </c>
      <c r="T38" s="714" t="s">
        <v>21</v>
      </c>
      <c r="U38" s="715">
        <f t="shared" si="13"/>
        <v>100</v>
      </c>
      <c r="V38" s="714" t="s">
        <v>21</v>
      </c>
      <c r="W38" s="715">
        <f t="shared" si="14"/>
        <v>100</v>
      </c>
      <c r="X38" s="1508"/>
      <c r="Y38" s="3564" t="s">
        <v>2326</v>
      </c>
      <c r="Z38" s="1509" t="str">
        <f t="shared" si="18"/>
        <v>物业管理</v>
      </c>
      <c r="AA38" s="1506">
        <f t="shared" si="15"/>
        <v>1</v>
      </c>
      <c r="AB38" s="1506">
        <f t="shared" si="16"/>
        <v>1</v>
      </c>
      <c r="AC38" s="1506">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562"/>
      <c r="Q39" s="1505" t="str">
        <f t="shared" si="11"/>
        <v>市政基础设施</v>
      </c>
      <c r="R39" s="714" t="s">
        <v>21</v>
      </c>
      <c r="S39" s="715">
        <f t="shared" si="12"/>
        <v>100</v>
      </c>
      <c r="T39" s="714" t="s">
        <v>21</v>
      </c>
      <c r="U39" s="715">
        <f t="shared" si="13"/>
        <v>100</v>
      </c>
      <c r="V39" s="714" t="s">
        <v>21</v>
      </c>
      <c r="W39" s="715">
        <f t="shared" si="14"/>
        <v>100</v>
      </c>
      <c r="X39" s="1508"/>
      <c r="Y39" s="3564"/>
      <c r="Z39" s="1509" t="str">
        <f t="shared" si="18"/>
        <v>市政基础设施</v>
      </c>
      <c r="AA39" s="1506">
        <f t="shared" si="15"/>
        <v>1</v>
      </c>
      <c r="AB39" s="1506">
        <f t="shared" si="16"/>
        <v>1</v>
      </c>
      <c r="AC39" s="1506">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562"/>
      <c r="Q40" s="1505" t="str">
        <f t="shared" si="11"/>
        <v>房型</v>
      </c>
      <c r="R40" s="714" t="s">
        <v>21</v>
      </c>
      <c r="S40" s="715">
        <f t="shared" si="12"/>
        <v>100</v>
      </c>
      <c r="T40" s="714" t="s">
        <v>21</v>
      </c>
      <c r="U40" s="715">
        <f t="shared" si="13"/>
        <v>100</v>
      </c>
      <c r="V40" s="714" t="s">
        <v>21</v>
      </c>
      <c r="W40" s="715">
        <f t="shared" si="14"/>
        <v>100</v>
      </c>
      <c r="X40" s="1508"/>
      <c r="Y40" s="3564"/>
      <c r="Z40" s="1509" t="str">
        <f t="shared" si="18"/>
        <v>房型</v>
      </c>
      <c r="AA40" s="1506">
        <f t="shared" si="15"/>
        <v>1</v>
      </c>
      <c r="AB40" s="1506">
        <f t="shared" si="16"/>
        <v>1</v>
      </c>
      <c r="AC40" s="1506">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562"/>
      <c r="Q41" s="716" t="str">
        <f t="shared" si="11"/>
        <v>单套/主力户型建筑面积</v>
      </c>
      <c r="R41" s="717" t="s">
        <v>21</v>
      </c>
      <c r="S41" s="718">
        <f t="shared" si="12"/>
        <v>100</v>
      </c>
      <c r="T41" s="717" t="s">
        <v>21</v>
      </c>
      <c r="U41" s="718">
        <f t="shared" si="13"/>
        <v>100</v>
      </c>
      <c r="V41" s="717" t="s">
        <v>21</v>
      </c>
      <c r="W41" s="718">
        <f t="shared" si="14"/>
        <v>100</v>
      </c>
      <c r="X41" s="719"/>
      <c r="Y41" s="3564"/>
      <c r="Z41" s="720" t="str">
        <f t="shared" si="18"/>
        <v>单套/主力户型建筑面积</v>
      </c>
      <c r="AA41" s="1506">
        <f t="shared" si="15"/>
        <v>1</v>
      </c>
      <c r="AB41" s="1506">
        <f t="shared" si="16"/>
        <v>1</v>
      </c>
      <c r="AC41" s="1506">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562"/>
      <c r="Q42" s="1505" t="str">
        <f t="shared" si="11"/>
        <v>内部装修</v>
      </c>
      <c r="R42" s="714" t="s">
        <v>21</v>
      </c>
      <c r="S42" s="715">
        <f t="shared" si="12"/>
        <v>100</v>
      </c>
      <c r="T42" s="714" t="s">
        <v>21</v>
      </c>
      <c r="U42" s="715">
        <f t="shared" si="13"/>
        <v>100</v>
      </c>
      <c r="V42" s="714" t="s">
        <v>21</v>
      </c>
      <c r="W42" s="715">
        <f t="shared" si="14"/>
        <v>100</v>
      </c>
      <c r="X42" s="1508"/>
      <c r="Y42" s="3564"/>
      <c r="Z42" s="1509" t="str">
        <f t="shared" si="18"/>
        <v>内部装修</v>
      </c>
      <c r="AA42" s="1506">
        <f t="shared" si="15"/>
        <v>1</v>
      </c>
      <c r="AB42" s="1506">
        <f t="shared" si="16"/>
        <v>1</v>
      </c>
      <c r="AC42" s="1506">
        <f t="shared" si="17"/>
        <v>1</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562"/>
      <c r="Q43" s="1505" t="str">
        <f t="shared" si="11"/>
        <v>内部装修维护情况</v>
      </c>
      <c r="R43" s="714" t="s">
        <v>21</v>
      </c>
      <c r="S43" s="715">
        <f t="shared" si="12"/>
        <v>100</v>
      </c>
      <c r="T43" s="714" t="s">
        <v>21</v>
      </c>
      <c r="U43" s="715">
        <f t="shared" si="13"/>
        <v>100</v>
      </c>
      <c r="V43" s="714" t="s">
        <v>21</v>
      </c>
      <c r="W43" s="715">
        <f t="shared" si="14"/>
        <v>100</v>
      </c>
      <c r="X43" s="1508"/>
      <c r="Y43" s="3564"/>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562"/>
      <c r="Q44" s="1496">
        <f t="shared" si="11"/>
        <v>111</v>
      </c>
      <c r="R44" s="710" t="s">
        <v>21</v>
      </c>
      <c r="S44" s="711">
        <f t="shared" si="12"/>
        <v>100</v>
      </c>
      <c r="T44" s="710" t="s">
        <v>21</v>
      </c>
      <c r="U44" s="711">
        <f t="shared" si="13"/>
        <v>100</v>
      </c>
      <c r="V44" s="710" t="s">
        <v>21</v>
      </c>
      <c r="W44" s="711">
        <f t="shared" si="14"/>
        <v>100</v>
      </c>
      <c r="X44" s="712"/>
      <c r="Y44" s="3564"/>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562"/>
      <c r="Q45" s="1505">
        <f t="shared" si="11"/>
        <v>111</v>
      </c>
      <c r="R45" s="714" t="s">
        <v>21</v>
      </c>
      <c r="S45" s="715">
        <f t="shared" si="12"/>
        <v>100</v>
      </c>
      <c r="T45" s="714" t="s">
        <v>21</v>
      </c>
      <c r="U45" s="715">
        <f t="shared" si="13"/>
        <v>100</v>
      </c>
      <c r="V45" s="714" t="s">
        <v>21</v>
      </c>
      <c r="W45" s="715">
        <f t="shared" si="14"/>
        <v>100</v>
      </c>
      <c r="X45" s="1508"/>
      <c r="Y45" s="3564"/>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563"/>
      <c r="Q46" s="1505">
        <f t="shared" si="11"/>
        <v>111</v>
      </c>
      <c r="R46" s="714" t="s">
        <v>20</v>
      </c>
      <c r="S46" s="715">
        <f t="shared" si="12"/>
        <v>100</v>
      </c>
      <c r="T46" s="714" t="s">
        <v>20</v>
      </c>
      <c r="U46" s="715">
        <f t="shared" si="13"/>
        <v>100</v>
      </c>
      <c r="V46" s="714" t="s">
        <v>20</v>
      </c>
      <c r="W46" s="715">
        <f t="shared" si="14"/>
        <v>100</v>
      </c>
      <c r="X46" s="1508"/>
      <c r="Y46" s="3565"/>
      <c r="Z46" s="1509">
        <f t="shared" si="18"/>
        <v>111</v>
      </c>
      <c r="AA46" s="1506">
        <f t="shared" si="15"/>
        <v>1</v>
      </c>
      <c r="AB46" s="1506">
        <f t="shared" si="16"/>
        <v>1</v>
      </c>
      <c r="AC46" s="1506">
        <f t="shared" si="17"/>
        <v>1</v>
      </c>
    </row>
    <row r="47" spans="1:29" ht="15">
      <c r="A47" s="438" t="s">
        <v>2338</v>
      </c>
      <c r="B47" s="439"/>
      <c r="C47" s="1288" t="s">
        <v>19</v>
      </c>
      <c r="D47" s="1289"/>
      <c r="E47" s="1290"/>
      <c r="F47" s="1291"/>
      <c r="G47" s="1292"/>
      <c r="H47" s="1293"/>
      <c r="I47" s="1290"/>
      <c r="J47" s="1293"/>
      <c r="K47" s="2069"/>
      <c r="L47" s="2922"/>
      <c r="M47" s="2923"/>
      <c r="N47" s="2914"/>
      <c r="O47" s="2923"/>
      <c r="P47" s="3557" t="str">
        <f>A47</f>
        <v>成交单价（元/平方米）</v>
      </c>
      <c r="Q47" s="3557"/>
      <c r="R47" s="3558">
        <f>E47</f>
        <v>0</v>
      </c>
      <c r="S47" s="3558"/>
      <c r="T47" s="3558">
        <f>G47</f>
        <v>0</v>
      </c>
      <c r="U47" s="3558"/>
      <c r="V47" s="3558">
        <f>I47</f>
        <v>0</v>
      </c>
      <c r="W47" s="3558"/>
      <c r="X47" s="699"/>
      <c r="Y47" s="721"/>
      <c r="Z47" s="699"/>
      <c r="AA47" s="699"/>
      <c r="AB47" s="699"/>
      <c r="AC47" s="699"/>
    </row>
    <row r="48" spans="1:29" ht="15.75" thickBot="1">
      <c r="A48" s="445" t="s">
        <v>2339</v>
      </c>
      <c r="B48" s="446"/>
      <c r="C48" s="1294" t="e">
        <f>R49</f>
        <v>#DIV/0!</v>
      </c>
      <c r="D48" s="2507" t="s">
        <v>2819</v>
      </c>
      <c r="E48" s="1295" t="e">
        <f>R48</f>
        <v>#DIV/0!</v>
      </c>
      <c r="F48" s="2508"/>
      <c r="G48" s="1294" t="e">
        <f>T48</f>
        <v>#DIV/0!</v>
      </c>
      <c r="H48" s="2508"/>
      <c r="I48" s="1295" t="e">
        <f>V48</f>
        <v>#DIV/0!</v>
      </c>
      <c r="J48" s="2508"/>
      <c r="K48" s="2509">
        <f>F48+H48+J48</f>
        <v>0</v>
      </c>
      <c r="L48" s="2922"/>
      <c r="M48" s="2923"/>
      <c r="N48" s="2923"/>
      <c r="O48" s="2923"/>
      <c r="P48" s="3557" t="str">
        <f>A48</f>
        <v>比较价值（元/平方米）</v>
      </c>
      <c r="Q48" s="3557"/>
      <c r="R48" s="3558" t="e">
        <f>IF(F1="售价",ROUND(PRODUCT(R47,AA7:AA46),0),ROUND(PRODUCT(R47,AA7:AA46),1))</f>
        <v>#DIV/0!</v>
      </c>
      <c r="S48" s="3558"/>
      <c r="T48" s="3558" t="e">
        <f>IF(F1="售价",ROUND(PRODUCT(T47,AB7:AB46),0),ROUND(PRODUCT(T47,AB7:AB46),1))</f>
        <v>#DIV/0!</v>
      </c>
      <c r="U48" s="3558"/>
      <c r="V48" s="3558" t="e">
        <f>IF(F1="售价",ROUND(PRODUCT(V47,AC7:AC46),0),ROUND(PRODUCT(V47,AC7:AC46),1))</f>
        <v>#DIV/0!</v>
      </c>
      <c r="W48" s="3558"/>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0"/>
      <c r="L49" s="2922"/>
      <c r="M49" s="2923"/>
      <c r="N49" s="2923"/>
      <c r="O49" s="2923"/>
      <c r="P49" s="3554" t="str">
        <f>A49</f>
        <v>估价对象XX用房的比较价值（楼面单价，元/平方米）</v>
      </c>
      <c r="Q49" s="3555"/>
      <c r="R49" s="3556" t="e">
        <f>IF(F1="售价",ROUND(IF(D48="简单平均",AVERAGE(R48:V48),R48*F48+T48*H48+V48*J48),0),ROUND(IF(D48="简单平均",AVERAGE(R48:V48),R48*F48+T48*H48+V48*J48),1))</f>
        <v>#DIV/0!</v>
      </c>
      <c r="S49" s="3556"/>
      <c r="T49" s="3556"/>
      <c r="U49" s="3556"/>
      <c r="V49" s="3556"/>
      <c r="W49" s="3556"/>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2344</v>
      </c>
      <c r="B57" s="699"/>
      <c r="C57" s="704"/>
      <c r="D57" s="704"/>
      <c r="E57" s="704"/>
      <c r="F57" s="705"/>
      <c r="G57" s="705"/>
      <c r="H57" s="704"/>
      <c r="I57" s="704"/>
      <c r="J57" s="704"/>
      <c r="K57" s="1072"/>
      <c r="L57" s="1073"/>
      <c r="M57" s="1071"/>
      <c r="N57" s="1071"/>
      <c r="O57" s="1071"/>
      <c r="P57" s="2073"/>
      <c r="Q57" s="461"/>
    </row>
    <row r="58" spans="1:29" s="465" customFormat="1" ht="15">
      <c r="A58" s="462" t="s">
        <v>2345</v>
      </c>
      <c r="B58" s="463"/>
      <c r="C58" s="1319" t="str">
        <f>YEAR(C7)&amp;"-"&amp;MONTH(C7)</f>
        <v>2022-1</v>
      </c>
      <c r="D58" s="1318">
        <f>EDATE(C58,-1)</f>
        <v>44531</v>
      </c>
      <c r="E58" s="1318">
        <f>EDATE(D58,-1)</f>
        <v>44501</v>
      </c>
      <c r="F58" s="1318">
        <f t="shared" ref="F58:O58" si="19">EDATE(E58,-1)</f>
        <v>44470</v>
      </c>
      <c r="G58" s="1318">
        <f t="shared" si="19"/>
        <v>44440</v>
      </c>
      <c r="H58" s="1318">
        <f t="shared" si="19"/>
        <v>44409</v>
      </c>
      <c r="I58" s="1318">
        <f t="shared" si="19"/>
        <v>44378</v>
      </c>
      <c r="J58" s="1318">
        <f t="shared" si="19"/>
        <v>44348</v>
      </c>
      <c r="K58" s="1318">
        <f t="shared" si="19"/>
        <v>44317</v>
      </c>
      <c r="L58" s="1318">
        <f t="shared" si="19"/>
        <v>44287</v>
      </c>
      <c r="M58" s="1318">
        <f t="shared" si="19"/>
        <v>44256</v>
      </c>
      <c r="N58" s="1318">
        <f t="shared" si="19"/>
        <v>44228</v>
      </c>
      <c r="O58" s="1318">
        <f t="shared" si="19"/>
        <v>44197</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2346</v>
      </c>
      <c r="B60" s="473"/>
      <c r="C60" s="474"/>
      <c r="D60" s="475"/>
      <c r="E60" s="475"/>
      <c r="F60" s="475"/>
      <c r="G60" s="475"/>
      <c r="H60" s="475"/>
      <c r="I60" s="475"/>
      <c r="J60" s="475"/>
      <c r="K60" s="475"/>
      <c r="L60" s="475"/>
      <c r="M60" s="476"/>
      <c r="N60" s="475"/>
      <c r="O60" s="476"/>
      <c r="P60" s="2075"/>
      <c r="Q60" s="461"/>
    </row>
    <row r="61" spans="1:29" s="113" customFormat="1" ht="15">
      <c r="A61" s="478" t="s">
        <v>2347</v>
      </c>
      <c r="B61" s="467"/>
      <c r="C61" s="479" t="s">
        <v>2348</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2349</v>
      </c>
      <c r="B63" s="485" t="s">
        <v>2315</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2371</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2372</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2324</v>
      </c>
      <c r="B100" s="485" t="s">
        <v>2373</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5.75"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c r="B147" s="2084" t="s">
        <v>2401</v>
      </c>
    </row>
    <row r="148" spans="2:11">
      <c r="B148" s="2084"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2403</v>
      </c>
      <c r="C1" s="1377" t="s">
        <v>2291</v>
      </c>
      <c r="D1" s="1364"/>
      <c r="E1" s="2512"/>
      <c r="F1" s="2034"/>
      <c r="G1" s="1374" t="s">
        <v>2404</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101504.34</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2406</v>
      </c>
      <c r="B4" s="362"/>
      <c r="C4" s="3572" t="s">
        <v>2407</v>
      </c>
      <c r="D4" s="3573"/>
      <c r="E4" s="3574" t="s">
        <v>2408</v>
      </c>
      <c r="F4" s="3575"/>
      <c r="G4" s="3572" t="s">
        <v>2409</v>
      </c>
      <c r="H4" s="3573"/>
      <c r="I4" s="3572" t="s">
        <v>2410</v>
      </c>
      <c r="J4" s="3573"/>
      <c r="K4" s="567" t="s">
        <v>2411</v>
      </c>
      <c r="L4" s="2913"/>
      <c r="M4" s="2914"/>
      <c r="N4" s="2914"/>
      <c r="O4" s="2914"/>
      <c r="P4" s="3576" t="s">
        <v>2412</v>
      </c>
      <c r="Q4" s="3577"/>
      <c r="R4" s="3582" t="s">
        <v>2408</v>
      </c>
      <c r="S4" s="3583"/>
      <c r="T4" s="3582" t="s">
        <v>2409</v>
      </c>
      <c r="U4" s="3583"/>
      <c r="V4" s="3588" t="s">
        <v>2410</v>
      </c>
      <c r="W4" s="3588"/>
      <c r="X4" s="1508"/>
      <c r="Y4" s="3582" t="s">
        <v>2412</v>
      </c>
      <c r="Z4" s="3583"/>
      <c r="AA4" s="3569" t="s">
        <v>2408</v>
      </c>
      <c r="AB4" s="3588" t="s">
        <v>2409</v>
      </c>
      <c r="AC4" s="3569" t="s">
        <v>2410</v>
      </c>
    </row>
    <row r="5" spans="1:29" ht="15">
      <c r="A5" s="364"/>
      <c r="B5" s="365"/>
      <c r="C5" s="3591" t="s">
        <v>2303</v>
      </c>
      <c r="D5" s="3592"/>
      <c r="E5" s="3598" t="s">
        <v>2304</v>
      </c>
      <c r="F5" s="3599"/>
      <c r="G5" s="3591" t="s">
        <v>2305</v>
      </c>
      <c r="H5" s="3592"/>
      <c r="I5" s="3591" t="s">
        <v>2306</v>
      </c>
      <c r="J5" s="3592"/>
      <c r="K5" s="567"/>
      <c r="L5" s="2913"/>
      <c r="M5" s="2914"/>
      <c r="N5" s="2914"/>
      <c r="O5" s="2914"/>
      <c r="P5" s="3578"/>
      <c r="Q5" s="3579"/>
      <c r="R5" s="3584"/>
      <c r="S5" s="3585"/>
      <c r="T5" s="3584"/>
      <c r="U5" s="3585"/>
      <c r="V5" s="3588"/>
      <c r="W5" s="3588"/>
      <c r="X5" s="1508"/>
      <c r="Y5" s="3584"/>
      <c r="Z5" s="3585"/>
      <c r="AA5" s="3570"/>
      <c r="AB5" s="3588"/>
      <c r="AC5" s="3570"/>
    </row>
    <row r="6" spans="1:29" ht="15.75" thickBot="1">
      <c r="A6" s="366"/>
      <c r="B6" s="367"/>
      <c r="C6" s="3589" t="s">
        <v>2307</v>
      </c>
      <c r="D6" s="3590"/>
      <c r="E6" s="3596" t="s">
        <v>2307</v>
      </c>
      <c r="F6" s="3597"/>
      <c r="G6" s="3589" t="s">
        <v>2307</v>
      </c>
      <c r="H6" s="3590"/>
      <c r="I6" s="3589" t="s">
        <v>2307</v>
      </c>
      <c r="J6" s="3590"/>
      <c r="K6" s="567" t="s">
        <v>2308</v>
      </c>
      <c r="L6" s="2913"/>
      <c r="M6" s="2914"/>
      <c r="N6" s="2914"/>
      <c r="O6" s="2914"/>
      <c r="P6" s="3580"/>
      <c r="Q6" s="3581"/>
      <c r="R6" s="3584"/>
      <c r="S6" s="3585"/>
      <c r="T6" s="3586"/>
      <c r="U6" s="3587"/>
      <c r="V6" s="3588"/>
      <c r="W6" s="3588"/>
      <c r="X6" s="1508"/>
      <c r="Y6" s="3586"/>
      <c r="Z6" s="3587"/>
      <c r="AA6" s="3571"/>
      <c r="AB6" s="3588"/>
      <c r="AC6" s="3571"/>
    </row>
    <row r="7" spans="1:29" s="113" customFormat="1" ht="15.75" thickBot="1">
      <c r="A7" s="368" t="s">
        <v>2309</v>
      </c>
      <c r="B7" s="369"/>
      <c r="C7" s="370">
        <f>'数据-取费表'!B2</f>
        <v>44567</v>
      </c>
      <c r="D7" s="371">
        <v>100</v>
      </c>
      <c r="E7" s="372"/>
      <c r="F7" s="373">
        <f>SUMIF(58:58,YEAR(E7)&amp;"-"&amp;MONTH(E7),59:59)</f>
        <v>0</v>
      </c>
      <c r="G7" s="372"/>
      <c r="H7" s="371">
        <f>SUMIF(58:58,YEAR(G7)&amp;"-"&amp;MONTH(G7),59:59)</f>
        <v>0</v>
      </c>
      <c r="I7" s="372"/>
      <c r="J7" s="371">
        <f>SUMIF(58:58,YEAR(I7)&amp;"-"&amp;MONTH(I7),59:59)</f>
        <v>0</v>
      </c>
      <c r="K7" s="568"/>
      <c r="L7" s="2915"/>
      <c r="M7" s="2916"/>
      <c r="N7" s="2916"/>
      <c r="O7" s="2916"/>
      <c r="P7" s="3593" t="s">
        <v>2310</v>
      </c>
      <c r="Q7" s="3595"/>
      <c r="R7" s="710" t="s">
        <v>17</v>
      </c>
      <c r="S7" s="711">
        <f t="shared" ref="S7:S15" si="0">F7</f>
        <v>0</v>
      </c>
      <c r="T7" s="710" t="s">
        <v>17</v>
      </c>
      <c r="U7" s="711">
        <f t="shared" ref="U7:U15" si="1">H7</f>
        <v>0</v>
      </c>
      <c r="V7" s="710" t="s">
        <v>17</v>
      </c>
      <c r="W7" s="711">
        <f t="shared" ref="W7:W15" si="2">J7</f>
        <v>0</v>
      </c>
      <c r="X7" s="712"/>
      <c r="Y7" s="3593" t="s">
        <v>2310</v>
      </c>
      <c r="Z7" s="3594"/>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593" t="s">
        <v>2313</v>
      </c>
      <c r="Q8" s="3594"/>
      <c r="R8" s="710" t="s">
        <v>17</v>
      </c>
      <c r="S8" s="711">
        <f t="shared" si="0"/>
        <v>0</v>
      </c>
      <c r="T8" s="710" t="s">
        <v>17</v>
      </c>
      <c r="U8" s="711">
        <f t="shared" si="1"/>
        <v>0</v>
      </c>
      <c r="V8" s="710" t="s">
        <v>17</v>
      </c>
      <c r="W8" s="711">
        <f t="shared" si="2"/>
        <v>0</v>
      </c>
      <c r="X8" s="712"/>
      <c r="Y8" s="3593" t="s">
        <v>2313</v>
      </c>
      <c r="Z8" s="3594"/>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568" t="s">
        <v>2316</v>
      </c>
      <c r="Q9" s="1496" t="str">
        <f t="shared" ref="Q9:Q15" si="6">B9</f>
        <v>用途</v>
      </c>
      <c r="R9" s="710" t="s">
        <v>17</v>
      </c>
      <c r="S9" s="711">
        <f t="shared" si="0"/>
        <v>100</v>
      </c>
      <c r="T9" s="710" t="s">
        <v>17</v>
      </c>
      <c r="U9" s="711">
        <f t="shared" si="1"/>
        <v>100</v>
      </c>
      <c r="V9" s="710" t="s">
        <v>17</v>
      </c>
      <c r="W9" s="711">
        <f t="shared" si="2"/>
        <v>100</v>
      </c>
      <c r="X9" s="712"/>
      <c r="Y9" s="3429"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568"/>
      <c r="Q10" s="1496" t="str">
        <f t="shared" si="6"/>
        <v>土地使用年限（年）</v>
      </c>
      <c r="R10" s="710" t="s">
        <v>17</v>
      </c>
      <c r="S10" s="711">
        <f t="shared" si="0"/>
        <v>100</v>
      </c>
      <c r="T10" s="710" t="s">
        <v>17</v>
      </c>
      <c r="U10" s="711">
        <f t="shared" si="1"/>
        <v>100</v>
      </c>
      <c r="V10" s="710" t="s">
        <v>17</v>
      </c>
      <c r="W10" s="711">
        <f t="shared" si="2"/>
        <v>100</v>
      </c>
      <c r="X10" s="712"/>
      <c r="Y10" s="3429"/>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568"/>
      <c r="Q11" s="1496" t="str">
        <f t="shared" si="6"/>
        <v>容积率</v>
      </c>
      <c r="R11" s="710" t="s">
        <v>17</v>
      </c>
      <c r="S11" s="711" t="e">
        <f t="shared" si="0"/>
        <v>#N/A</v>
      </c>
      <c r="T11" s="710" t="s">
        <v>17</v>
      </c>
      <c r="U11" s="711" t="e">
        <f t="shared" si="1"/>
        <v>#N/A</v>
      </c>
      <c r="V11" s="710" t="s">
        <v>17</v>
      </c>
      <c r="W11" s="711" t="e">
        <f t="shared" si="2"/>
        <v>#N/A</v>
      </c>
      <c r="X11" s="712"/>
      <c r="Y11" s="3429"/>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568"/>
      <c r="Q12" s="1496">
        <f t="shared" si="6"/>
        <v>111</v>
      </c>
      <c r="R12" s="710" t="s">
        <v>17</v>
      </c>
      <c r="S12" s="711">
        <f t="shared" si="0"/>
        <v>100</v>
      </c>
      <c r="T12" s="710" t="s">
        <v>17</v>
      </c>
      <c r="U12" s="711">
        <f t="shared" si="1"/>
        <v>100</v>
      </c>
      <c r="V12" s="710" t="s">
        <v>17</v>
      </c>
      <c r="W12" s="711">
        <f t="shared" si="2"/>
        <v>100</v>
      </c>
      <c r="X12" s="712"/>
      <c r="Y12" s="3429"/>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568"/>
      <c r="Q13" s="1496">
        <f t="shared" si="6"/>
        <v>111</v>
      </c>
      <c r="R13" s="710" t="s">
        <v>17</v>
      </c>
      <c r="S13" s="711">
        <f t="shared" si="0"/>
        <v>100</v>
      </c>
      <c r="T13" s="710" t="s">
        <v>17</v>
      </c>
      <c r="U13" s="711">
        <f t="shared" si="1"/>
        <v>100</v>
      </c>
      <c r="V13" s="710" t="s">
        <v>17</v>
      </c>
      <c r="W13" s="711">
        <f t="shared" si="2"/>
        <v>100</v>
      </c>
      <c r="X13" s="712"/>
      <c r="Y13" s="3429"/>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568"/>
      <c r="Q14" s="1496">
        <f t="shared" si="6"/>
        <v>111</v>
      </c>
      <c r="R14" s="710" t="s">
        <v>17</v>
      </c>
      <c r="S14" s="711">
        <f t="shared" si="0"/>
        <v>100</v>
      </c>
      <c r="T14" s="710" t="s">
        <v>17</v>
      </c>
      <c r="U14" s="711">
        <f t="shared" si="1"/>
        <v>100</v>
      </c>
      <c r="V14" s="710" t="s">
        <v>17</v>
      </c>
      <c r="W14" s="711">
        <f t="shared" si="2"/>
        <v>100</v>
      </c>
      <c r="X14" s="712"/>
      <c r="Y14" s="3429"/>
      <c r="Z14" s="55">
        <f t="shared" si="7"/>
        <v>111</v>
      </c>
      <c r="AA14" s="713">
        <f t="shared" si="3"/>
        <v>1</v>
      </c>
      <c r="AB14" s="713">
        <f t="shared" si="4"/>
        <v>1</v>
      </c>
      <c r="AC14" s="713">
        <f t="shared" si="5"/>
        <v>1</v>
      </c>
    </row>
    <row r="15" spans="1:29" ht="71.25">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566" t="s">
        <v>2321</v>
      </c>
      <c r="Q15" s="1505" t="str">
        <f t="shared" si="6"/>
        <v>商业繁华度</v>
      </c>
      <c r="R15" s="714" t="s">
        <v>17</v>
      </c>
      <c r="S15" s="715">
        <f t="shared" si="0"/>
        <v>100</v>
      </c>
      <c r="T15" s="714" t="s">
        <v>17</v>
      </c>
      <c r="U15" s="715">
        <f t="shared" si="1"/>
        <v>100</v>
      </c>
      <c r="V15" s="714" t="s">
        <v>17</v>
      </c>
      <c r="W15" s="715">
        <f t="shared" si="2"/>
        <v>100</v>
      </c>
      <c r="X15" s="1508"/>
      <c r="Y15" s="3559" t="s">
        <v>2321</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20"/>
      <c r="M16" s="2914"/>
      <c r="N16" s="2914"/>
      <c r="O16" s="2914"/>
      <c r="P16" s="3567"/>
      <c r="Q16" s="1505"/>
      <c r="R16" s="714"/>
      <c r="S16" s="715"/>
      <c r="T16" s="714"/>
      <c r="U16" s="715"/>
      <c r="V16" s="714"/>
      <c r="W16" s="715"/>
      <c r="X16" s="1508"/>
      <c r="Y16" s="3560"/>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567"/>
      <c r="Q17" s="1505" t="str">
        <f>B17</f>
        <v>交通便捷度</v>
      </c>
      <c r="R17" s="714" t="s">
        <v>17</v>
      </c>
      <c r="S17" s="715">
        <f>F17</f>
        <v>100</v>
      </c>
      <c r="T17" s="714" t="s">
        <v>17</v>
      </c>
      <c r="U17" s="715">
        <f>H17</f>
        <v>100</v>
      </c>
      <c r="V17" s="714" t="s">
        <v>17</v>
      </c>
      <c r="W17" s="715">
        <f>J17</f>
        <v>100</v>
      </c>
      <c r="X17" s="1508"/>
      <c r="Y17" s="3560"/>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20"/>
      <c r="M18" s="2914"/>
      <c r="N18" s="2914"/>
      <c r="O18" s="2914"/>
      <c r="P18" s="3567"/>
      <c r="Q18" s="1505"/>
      <c r="R18" s="714"/>
      <c r="S18" s="715"/>
      <c r="T18" s="714"/>
      <c r="U18" s="715"/>
      <c r="V18" s="714"/>
      <c r="W18" s="715"/>
      <c r="X18" s="1508"/>
      <c r="Y18" s="3560"/>
      <c r="Z18" s="1509"/>
      <c r="AA18" s="1506">
        <v>1</v>
      </c>
      <c r="AB18" s="1506">
        <v>1</v>
      </c>
      <c r="AC18" s="1506">
        <v>1</v>
      </c>
    </row>
    <row r="19" spans="1:29" ht="42.75">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567"/>
      <c r="Q19" s="1505" t="str">
        <f>B19</f>
        <v>公共配套设施</v>
      </c>
      <c r="R19" s="714" t="s">
        <v>17</v>
      </c>
      <c r="S19" s="715">
        <f>F19</f>
        <v>100</v>
      </c>
      <c r="T19" s="714" t="s">
        <v>17</v>
      </c>
      <c r="U19" s="715">
        <f>H19</f>
        <v>100</v>
      </c>
      <c r="V19" s="714" t="s">
        <v>17</v>
      </c>
      <c r="W19" s="715">
        <f>J19</f>
        <v>100</v>
      </c>
      <c r="X19" s="1508"/>
      <c r="Y19" s="3560"/>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20"/>
      <c r="M20" s="2914"/>
      <c r="N20" s="2914"/>
      <c r="O20" s="2914"/>
      <c r="P20" s="3567"/>
      <c r="Q20" s="1505"/>
      <c r="R20" s="714"/>
      <c r="S20" s="715"/>
      <c r="T20" s="714"/>
      <c r="U20" s="715"/>
      <c r="V20" s="714"/>
      <c r="W20" s="715"/>
      <c r="X20" s="1508"/>
      <c r="Y20" s="3560"/>
      <c r="Z20" s="1509"/>
      <c r="AA20" s="1506">
        <v>1</v>
      </c>
      <c r="AB20" s="1506">
        <v>1</v>
      </c>
      <c r="AC20" s="1506">
        <v>1</v>
      </c>
    </row>
    <row r="21" spans="1:29" ht="28.5">
      <c r="A21" s="387"/>
      <c r="B21" s="1265"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567"/>
      <c r="Q21" s="1505" t="str">
        <f>B21</f>
        <v>基础设施水平</v>
      </c>
      <c r="R21" s="714" t="s">
        <v>17</v>
      </c>
      <c r="S21" s="715">
        <f>F21</f>
        <v>100</v>
      </c>
      <c r="T21" s="714" t="s">
        <v>17</v>
      </c>
      <c r="U21" s="715">
        <f>H21</f>
        <v>100</v>
      </c>
      <c r="V21" s="714" t="s">
        <v>17</v>
      </c>
      <c r="W21" s="715">
        <f>J21</f>
        <v>100</v>
      </c>
      <c r="X21" s="1508"/>
      <c r="Y21" s="3560"/>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20"/>
      <c r="M22" s="2914"/>
      <c r="N22" s="2914"/>
      <c r="O22" s="2914"/>
      <c r="P22" s="3567"/>
      <c r="Q22" s="1505"/>
      <c r="R22" s="714"/>
      <c r="S22" s="715"/>
      <c r="T22" s="714"/>
      <c r="U22" s="715"/>
      <c r="V22" s="714"/>
      <c r="W22" s="715"/>
      <c r="X22" s="1508"/>
      <c r="Y22" s="3560"/>
      <c r="Z22" s="1509"/>
      <c r="AA22" s="1506">
        <v>1</v>
      </c>
      <c r="AB22" s="1506">
        <v>1</v>
      </c>
      <c r="AC22" s="1506">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567"/>
      <c r="Q23" s="1505" t="str">
        <f>B23</f>
        <v>自然及人文环境</v>
      </c>
      <c r="R23" s="714" t="s">
        <v>17</v>
      </c>
      <c r="S23" s="715">
        <f>F23</f>
        <v>100</v>
      </c>
      <c r="T23" s="714" t="s">
        <v>17</v>
      </c>
      <c r="U23" s="715">
        <f>H23</f>
        <v>100</v>
      </c>
      <c r="V23" s="714" t="s">
        <v>17</v>
      </c>
      <c r="W23" s="715">
        <f>J23</f>
        <v>100</v>
      </c>
      <c r="X23" s="1508"/>
      <c r="Y23" s="3560"/>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20"/>
      <c r="M24" s="2914"/>
      <c r="N24" s="2914"/>
      <c r="O24" s="2914"/>
      <c r="P24" s="3567"/>
      <c r="Q24" s="1505"/>
      <c r="R24" s="714"/>
      <c r="S24" s="715"/>
      <c r="T24" s="714"/>
      <c r="U24" s="715"/>
      <c r="V24" s="714"/>
      <c r="W24" s="715"/>
      <c r="X24" s="1508"/>
      <c r="Y24" s="3560"/>
      <c r="Z24" s="1509"/>
      <c r="AA24" s="1506">
        <v>1</v>
      </c>
      <c r="AB24" s="1506">
        <v>1</v>
      </c>
      <c r="AC24" s="1506">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567"/>
      <c r="Q25" s="1505" t="str">
        <f t="shared" ref="Q25:Q46" si="11">B25</f>
        <v>临街状况</v>
      </c>
      <c r="R25" s="714" t="s">
        <v>17</v>
      </c>
      <c r="S25" s="715">
        <f>F25</f>
        <v>100</v>
      </c>
      <c r="T25" s="714" t="s">
        <v>17</v>
      </c>
      <c r="U25" s="715">
        <f>H25</f>
        <v>100</v>
      </c>
      <c r="V25" s="714" t="s">
        <v>17</v>
      </c>
      <c r="W25" s="715">
        <f>J25</f>
        <v>100</v>
      </c>
      <c r="X25" s="1508"/>
      <c r="Y25" s="3560"/>
      <c r="Z25" s="1509" t="str">
        <f>Q25</f>
        <v>临街状况</v>
      </c>
      <c r="AA25" s="1506">
        <f t="shared" si="3"/>
        <v>1</v>
      </c>
      <c r="AB25" s="1506">
        <f t="shared" si="4"/>
        <v>1</v>
      </c>
      <c r="AC25" s="1506">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567"/>
      <c r="Q26" s="1505" t="str">
        <f t="shared" si="11"/>
        <v>平面位置/可视性</v>
      </c>
      <c r="R26" s="714" t="s">
        <v>17</v>
      </c>
      <c r="S26" s="715">
        <f>F26</f>
        <v>100</v>
      </c>
      <c r="T26" s="714" t="s">
        <v>17</v>
      </c>
      <c r="U26" s="715">
        <f>H26</f>
        <v>100</v>
      </c>
      <c r="V26" s="714" t="s">
        <v>17</v>
      </c>
      <c r="W26" s="715">
        <f>J26</f>
        <v>100</v>
      </c>
      <c r="X26" s="1508"/>
      <c r="Y26" s="3560"/>
      <c r="Z26" s="1509" t="str">
        <f>Q26</f>
        <v>平面位置/可视性</v>
      </c>
      <c r="AA26" s="1506">
        <f t="shared" si="3"/>
        <v>1</v>
      </c>
      <c r="AB26" s="1506">
        <f t="shared" si="4"/>
        <v>1</v>
      </c>
      <c r="AC26" s="1506">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567"/>
      <c r="Q27" s="1496" t="str">
        <f t="shared" si="11"/>
        <v>人流量</v>
      </c>
      <c r="R27" s="710" t="s">
        <v>17</v>
      </c>
      <c r="S27" s="711">
        <f>F27</f>
        <v>100</v>
      </c>
      <c r="T27" s="710" t="s">
        <v>17</v>
      </c>
      <c r="U27" s="711">
        <f>H27</f>
        <v>100</v>
      </c>
      <c r="V27" s="710" t="s">
        <v>17</v>
      </c>
      <c r="W27" s="711">
        <f>J27</f>
        <v>100</v>
      </c>
      <c r="X27" s="712"/>
      <c r="Y27" s="3560"/>
      <c r="Z27" s="55" t="str">
        <f>Q27</f>
        <v>人流量</v>
      </c>
      <c r="AA27" s="1506">
        <f>D27/F27</f>
        <v>1</v>
      </c>
      <c r="AB27" s="1506">
        <f>D27/H27</f>
        <v>1</v>
      </c>
      <c r="AC27" s="1506">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567"/>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560"/>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567"/>
      <c r="Q29" s="1505">
        <f t="shared" si="11"/>
        <v>111</v>
      </c>
      <c r="R29" s="714" t="s">
        <v>17</v>
      </c>
      <c r="S29" s="715">
        <f t="shared" si="12"/>
        <v>100</v>
      </c>
      <c r="T29" s="714" t="s">
        <v>17</v>
      </c>
      <c r="U29" s="715">
        <f t="shared" si="13"/>
        <v>100</v>
      </c>
      <c r="V29" s="714" t="s">
        <v>17</v>
      </c>
      <c r="W29" s="715">
        <f t="shared" si="14"/>
        <v>100</v>
      </c>
      <c r="X29" s="1508"/>
      <c r="Y29" s="3560"/>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567"/>
      <c r="Q30" s="1505">
        <f t="shared" si="11"/>
        <v>111</v>
      </c>
      <c r="R30" s="714" t="s">
        <v>17</v>
      </c>
      <c r="S30" s="715">
        <f t="shared" si="12"/>
        <v>100</v>
      </c>
      <c r="T30" s="714" t="s">
        <v>17</v>
      </c>
      <c r="U30" s="715">
        <f t="shared" si="13"/>
        <v>100</v>
      </c>
      <c r="V30" s="714" t="s">
        <v>17</v>
      </c>
      <c r="W30" s="715">
        <f t="shared" si="14"/>
        <v>100</v>
      </c>
      <c r="X30" s="1508"/>
      <c r="Y30" s="3560"/>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567"/>
      <c r="Q31" s="1505">
        <f t="shared" si="11"/>
        <v>111</v>
      </c>
      <c r="R31" s="714" t="s">
        <v>17</v>
      </c>
      <c r="S31" s="715">
        <f t="shared" si="12"/>
        <v>100</v>
      </c>
      <c r="T31" s="714" t="s">
        <v>17</v>
      </c>
      <c r="U31" s="715">
        <f t="shared" si="13"/>
        <v>100</v>
      </c>
      <c r="V31" s="714" t="s">
        <v>17</v>
      </c>
      <c r="W31" s="715">
        <f t="shared" si="14"/>
        <v>100</v>
      </c>
      <c r="X31" s="1508"/>
      <c r="Y31" s="3560"/>
      <c r="Z31" s="1509">
        <f t="shared" si="15"/>
        <v>111</v>
      </c>
      <c r="AA31" s="1506">
        <f t="shared" si="3"/>
        <v>1</v>
      </c>
      <c r="AB31" s="1506">
        <f t="shared" si="4"/>
        <v>1</v>
      </c>
      <c r="AC31" s="1506">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561" t="s">
        <v>2326</v>
      </c>
      <c r="Q32" s="1505" t="str">
        <f t="shared" si="11"/>
        <v>商业类型</v>
      </c>
      <c r="R32" s="714" t="s">
        <v>17</v>
      </c>
      <c r="S32" s="715">
        <f t="shared" si="12"/>
        <v>100</v>
      </c>
      <c r="T32" s="714" t="s">
        <v>17</v>
      </c>
      <c r="U32" s="715">
        <f t="shared" si="13"/>
        <v>100</v>
      </c>
      <c r="V32" s="714" t="s">
        <v>17</v>
      </c>
      <c r="W32" s="715">
        <f t="shared" si="14"/>
        <v>100</v>
      </c>
      <c r="X32" s="1508"/>
      <c r="Y32" s="3564" t="s">
        <v>2326</v>
      </c>
      <c r="Z32" s="1509" t="str">
        <f t="shared" si="15"/>
        <v>商业类型</v>
      </c>
      <c r="AA32" s="1506">
        <f t="shared" si="3"/>
        <v>1</v>
      </c>
      <c r="AB32" s="1506">
        <f t="shared" si="4"/>
        <v>1</v>
      </c>
      <c r="AC32" s="1506">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562"/>
      <c r="Q33" s="716" t="str">
        <f t="shared" si="11"/>
        <v>项目建筑规模</v>
      </c>
      <c r="R33" s="717" t="s">
        <v>17</v>
      </c>
      <c r="S33" s="718" t="e">
        <f t="shared" si="12"/>
        <v>#N/A</v>
      </c>
      <c r="T33" s="717" t="s">
        <v>17</v>
      </c>
      <c r="U33" s="718" t="e">
        <f t="shared" si="13"/>
        <v>#N/A</v>
      </c>
      <c r="V33" s="717" t="s">
        <v>17</v>
      </c>
      <c r="W33" s="718" t="e">
        <f t="shared" si="14"/>
        <v>#N/A</v>
      </c>
      <c r="X33" s="719"/>
      <c r="Y33" s="3564"/>
      <c r="Z33" s="720" t="str">
        <f t="shared" si="15"/>
        <v>项目建筑规模</v>
      </c>
      <c r="AA33" s="1506" t="e">
        <f t="shared" si="3"/>
        <v>#N/A</v>
      </c>
      <c r="AB33" s="1506" t="e">
        <f t="shared" si="4"/>
        <v>#N/A</v>
      </c>
      <c r="AC33" s="1506"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562"/>
      <c r="Q34" s="1505" t="str">
        <f t="shared" si="11"/>
        <v>建筑结构</v>
      </c>
      <c r="R34" s="714" t="s">
        <v>17</v>
      </c>
      <c r="S34" s="715">
        <f t="shared" si="12"/>
        <v>100</v>
      </c>
      <c r="T34" s="714" t="s">
        <v>17</v>
      </c>
      <c r="U34" s="715">
        <f t="shared" si="13"/>
        <v>100</v>
      </c>
      <c r="V34" s="714" t="s">
        <v>17</v>
      </c>
      <c r="W34" s="715">
        <f t="shared" si="14"/>
        <v>100</v>
      </c>
      <c r="X34" s="1508"/>
      <c r="Y34" s="3564"/>
      <c r="Z34" s="1509" t="str">
        <f t="shared" si="15"/>
        <v>建筑结构</v>
      </c>
      <c r="AA34" s="1506">
        <f t="shared" si="3"/>
        <v>1</v>
      </c>
      <c r="AB34" s="1506">
        <f t="shared" si="4"/>
        <v>1</v>
      </c>
      <c r="AC34" s="1506">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562"/>
      <c r="Q35" s="1505" t="str">
        <f t="shared" si="11"/>
        <v>公共部分装修</v>
      </c>
      <c r="R35" s="714" t="s">
        <v>17</v>
      </c>
      <c r="S35" s="715">
        <f t="shared" si="12"/>
        <v>100</v>
      </c>
      <c r="T35" s="714" t="s">
        <v>17</v>
      </c>
      <c r="U35" s="715">
        <f t="shared" si="13"/>
        <v>100</v>
      </c>
      <c r="V35" s="714" t="s">
        <v>17</v>
      </c>
      <c r="W35" s="715">
        <f t="shared" si="14"/>
        <v>100</v>
      </c>
      <c r="X35" s="1508"/>
      <c r="Y35" s="3564"/>
      <c r="Z35" s="1509" t="str">
        <f t="shared" si="15"/>
        <v>公共部分装修</v>
      </c>
      <c r="AA35" s="1506">
        <f t="shared" si="3"/>
        <v>1</v>
      </c>
      <c r="AB35" s="1506">
        <f t="shared" si="4"/>
        <v>1</v>
      </c>
      <c r="AC35" s="1506">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562"/>
      <c r="Q36" s="1505" t="str">
        <f t="shared" si="11"/>
        <v>成新度</v>
      </c>
      <c r="R36" s="714" t="s">
        <v>17</v>
      </c>
      <c r="S36" s="715" t="e">
        <f t="shared" si="12"/>
        <v>#N/A</v>
      </c>
      <c r="T36" s="714" t="s">
        <v>17</v>
      </c>
      <c r="U36" s="715" t="e">
        <f t="shared" si="13"/>
        <v>#N/A</v>
      </c>
      <c r="V36" s="714" t="s">
        <v>17</v>
      </c>
      <c r="W36" s="715" t="e">
        <f t="shared" si="14"/>
        <v>#N/A</v>
      </c>
      <c r="X36" s="1508"/>
      <c r="Y36" s="3564"/>
      <c r="Z36" s="1509" t="str">
        <f t="shared" si="15"/>
        <v>成新度</v>
      </c>
      <c r="AA36" s="1506" t="e">
        <f t="shared" si="3"/>
        <v>#N/A</v>
      </c>
      <c r="AB36" s="1506" t="e">
        <f t="shared" si="4"/>
        <v>#N/A</v>
      </c>
      <c r="AC36" s="1506"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562"/>
      <c r="Q37" s="1496" t="str">
        <f t="shared" si="11"/>
        <v>市政基础设施</v>
      </c>
      <c r="R37" s="710" t="s">
        <v>17</v>
      </c>
      <c r="S37" s="711">
        <f t="shared" si="12"/>
        <v>100</v>
      </c>
      <c r="T37" s="710" t="s">
        <v>17</v>
      </c>
      <c r="U37" s="711">
        <f t="shared" si="13"/>
        <v>100</v>
      </c>
      <c r="V37" s="710" t="s">
        <v>17</v>
      </c>
      <c r="W37" s="711">
        <f t="shared" si="14"/>
        <v>100</v>
      </c>
      <c r="X37" s="712"/>
      <c r="Y37" s="3564"/>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562" t="s">
        <v>2326</v>
      </c>
      <c r="Q38" s="1505" t="str">
        <f t="shared" si="11"/>
        <v>业态</v>
      </c>
      <c r="R38" s="714" t="s">
        <v>17</v>
      </c>
      <c r="S38" s="715">
        <f t="shared" si="12"/>
        <v>100</v>
      </c>
      <c r="T38" s="714" t="s">
        <v>17</v>
      </c>
      <c r="U38" s="715">
        <f t="shared" si="13"/>
        <v>100</v>
      </c>
      <c r="V38" s="714" t="s">
        <v>17</v>
      </c>
      <c r="W38" s="715">
        <f t="shared" si="14"/>
        <v>100</v>
      </c>
      <c r="X38" s="1508"/>
      <c r="Y38" s="3564" t="s">
        <v>2326</v>
      </c>
      <c r="Z38" s="1509" t="str">
        <f t="shared" si="15"/>
        <v>业态</v>
      </c>
      <c r="AA38" s="1506">
        <f t="shared" si="3"/>
        <v>1</v>
      </c>
      <c r="AB38" s="1506">
        <f t="shared" si="4"/>
        <v>1</v>
      </c>
      <c r="AC38" s="1506">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562"/>
      <c r="Q39" s="1505" t="str">
        <f t="shared" si="11"/>
        <v>层高</v>
      </c>
      <c r="R39" s="714" t="s">
        <v>17</v>
      </c>
      <c r="S39" s="715">
        <f t="shared" si="12"/>
        <v>100</v>
      </c>
      <c r="T39" s="714" t="s">
        <v>17</v>
      </c>
      <c r="U39" s="715">
        <f t="shared" si="13"/>
        <v>100</v>
      </c>
      <c r="V39" s="714" t="s">
        <v>17</v>
      </c>
      <c r="W39" s="715">
        <f t="shared" si="14"/>
        <v>100</v>
      </c>
      <c r="X39" s="1508"/>
      <c r="Y39" s="3564"/>
      <c r="Z39" s="1509" t="str">
        <f t="shared" si="15"/>
        <v>层高</v>
      </c>
      <c r="AA39" s="1506">
        <f t="shared" si="3"/>
        <v>1</v>
      </c>
      <c r="AB39" s="1506">
        <f t="shared" si="4"/>
        <v>1</v>
      </c>
      <c r="AC39" s="1506">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562"/>
      <c r="Q40" s="1505" t="str">
        <f t="shared" si="11"/>
        <v>单套建筑面积</v>
      </c>
      <c r="R40" s="714" t="s">
        <v>17</v>
      </c>
      <c r="S40" s="715">
        <f t="shared" si="12"/>
        <v>100</v>
      </c>
      <c r="T40" s="714" t="s">
        <v>17</v>
      </c>
      <c r="U40" s="715">
        <f t="shared" si="13"/>
        <v>100</v>
      </c>
      <c r="V40" s="714" t="s">
        <v>17</v>
      </c>
      <c r="W40" s="715">
        <f t="shared" si="14"/>
        <v>100</v>
      </c>
      <c r="X40" s="1508"/>
      <c r="Y40" s="3564"/>
      <c r="Z40" s="1509" t="str">
        <f t="shared" si="15"/>
        <v>单套建筑面积</v>
      </c>
      <c r="AA40" s="1506">
        <f t="shared" si="3"/>
        <v>1</v>
      </c>
      <c r="AB40" s="1506">
        <f t="shared" si="4"/>
        <v>1</v>
      </c>
      <c r="AC40" s="1506">
        <f t="shared" si="5"/>
        <v>1</v>
      </c>
    </row>
    <row r="41" spans="1:29" s="430" customFormat="1" ht="15">
      <c r="A41" s="427"/>
      <c r="B41" s="1507"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562"/>
      <c r="Q41" s="716" t="str">
        <f t="shared" si="11"/>
        <v>进深比</v>
      </c>
      <c r="R41" s="717" t="s">
        <v>17</v>
      </c>
      <c r="S41" s="718">
        <f t="shared" si="12"/>
        <v>100</v>
      </c>
      <c r="T41" s="717" t="s">
        <v>17</v>
      </c>
      <c r="U41" s="718">
        <f t="shared" si="13"/>
        <v>100</v>
      </c>
      <c r="V41" s="717" t="s">
        <v>17</v>
      </c>
      <c r="W41" s="718">
        <f t="shared" si="14"/>
        <v>100</v>
      </c>
      <c r="X41" s="719"/>
      <c r="Y41" s="3564"/>
      <c r="Z41" s="720" t="str">
        <f t="shared" si="15"/>
        <v>进深比</v>
      </c>
      <c r="AA41" s="1506">
        <f t="shared" si="3"/>
        <v>1</v>
      </c>
      <c r="AB41" s="1506">
        <f t="shared" si="4"/>
        <v>1</v>
      </c>
      <c r="AC41" s="1506">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562"/>
      <c r="Q42" s="1505" t="str">
        <f t="shared" si="11"/>
        <v>内部装修</v>
      </c>
      <c r="R42" s="714" t="s">
        <v>17</v>
      </c>
      <c r="S42" s="715">
        <f t="shared" si="12"/>
        <v>100</v>
      </c>
      <c r="T42" s="714" t="s">
        <v>17</v>
      </c>
      <c r="U42" s="715">
        <f t="shared" si="13"/>
        <v>100</v>
      </c>
      <c r="V42" s="714" t="s">
        <v>17</v>
      </c>
      <c r="W42" s="715">
        <f t="shared" si="14"/>
        <v>100</v>
      </c>
      <c r="X42" s="1508"/>
      <c r="Y42" s="3564"/>
      <c r="Z42" s="1509" t="str">
        <f t="shared" si="15"/>
        <v>内部装修</v>
      </c>
      <c r="AA42" s="1506">
        <f t="shared" si="3"/>
        <v>1</v>
      </c>
      <c r="AB42" s="1506">
        <f t="shared" si="4"/>
        <v>1</v>
      </c>
      <c r="AC42" s="1506">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562"/>
      <c r="Q43" s="1505" t="str">
        <f t="shared" si="11"/>
        <v>内部装修维护情况</v>
      </c>
      <c r="R43" s="714" t="s">
        <v>17</v>
      </c>
      <c r="S43" s="715">
        <f t="shared" si="12"/>
        <v>100</v>
      </c>
      <c r="T43" s="714" t="s">
        <v>17</v>
      </c>
      <c r="U43" s="715">
        <f t="shared" si="13"/>
        <v>100</v>
      </c>
      <c r="V43" s="714" t="s">
        <v>17</v>
      </c>
      <c r="W43" s="715">
        <f t="shared" si="14"/>
        <v>100</v>
      </c>
      <c r="X43" s="1508"/>
      <c r="Y43" s="3564"/>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562"/>
      <c r="Q44" s="1496">
        <f t="shared" si="11"/>
        <v>111</v>
      </c>
      <c r="R44" s="710" t="s">
        <v>17</v>
      </c>
      <c r="S44" s="711">
        <f t="shared" si="12"/>
        <v>100</v>
      </c>
      <c r="T44" s="710" t="s">
        <v>17</v>
      </c>
      <c r="U44" s="711">
        <f t="shared" si="13"/>
        <v>100</v>
      </c>
      <c r="V44" s="710" t="s">
        <v>17</v>
      </c>
      <c r="W44" s="711">
        <f t="shared" si="14"/>
        <v>100</v>
      </c>
      <c r="X44" s="712"/>
      <c r="Y44" s="3564"/>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562"/>
      <c r="Q45" s="1505">
        <f t="shared" si="11"/>
        <v>111</v>
      </c>
      <c r="R45" s="714" t="s">
        <v>17</v>
      </c>
      <c r="S45" s="715">
        <f t="shared" si="12"/>
        <v>100</v>
      </c>
      <c r="T45" s="714" t="s">
        <v>17</v>
      </c>
      <c r="U45" s="715">
        <f t="shared" si="13"/>
        <v>100</v>
      </c>
      <c r="V45" s="714" t="s">
        <v>17</v>
      </c>
      <c r="W45" s="715">
        <f t="shared" si="14"/>
        <v>100</v>
      </c>
      <c r="X45" s="1508"/>
      <c r="Y45" s="3564"/>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563"/>
      <c r="Q46" s="1505">
        <f t="shared" si="11"/>
        <v>111</v>
      </c>
      <c r="R46" s="714" t="s">
        <v>17</v>
      </c>
      <c r="S46" s="715">
        <f t="shared" si="12"/>
        <v>100</v>
      </c>
      <c r="T46" s="714" t="s">
        <v>17</v>
      </c>
      <c r="U46" s="715">
        <f t="shared" si="13"/>
        <v>100</v>
      </c>
      <c r="V46" s="714" t="s">
        <v>17</v>
      </c>
      <c r="W46" s="715">
        <f t="shared" si="14"/>
        <v>100</v>
      </c>
      <c r="X46" s="1508"/>
      <c r="Y46" s="3565"/>
      <c r="Z46" s="1509">
        <f t="shared" si="15"/>
        <v>111</v>
      </c>
      <c r="AA46" s="1506">
        <f t="shared" si="3"/>
        <v>1</v>
      </c>
      <c r="AB46" s="1506">
        <f t="shared" si="4"/>
        <v>1</v>
      </c>
      <c r="AC46" s="1506">
        <f t="shared" si="5"/>
        <v>1</v>
      </c>
    </row>
    <row r="47" spans="1:29" ht="15">
      <c r="A47" s="438" t="s">
        <v>2338</v>
      </c>
      <c r="B47" s="439"/>
      <c r="C47" s="1288" t="s">
        <v>1</v>
      </c>
      <c r="D47" s="1289"/>
      <c r="E47" s="1290"/>
      <c r="F47" s="1291"/>
      <c r="G47" s="1292"/>
      <c r="H47" s="1293"/>
      <c r="I47" s="1290"/>
      <c r="J47" s="1293"/>
      <c r="K47" s="723"/>
      <c r="L47" s="2922"/>
      <c r="M47" s="2923"/>
      <c r="N47" s="2914"/>
      <c r="O47" s="2923"/>
      <c r="P47" s="3557" t="str">
        <f>A47</f>
        <v>成交单价（元/平方米）</v>
      </c>
      <c r="Q47" s="3557"/>
      <c r="R47" s="3588">
        <f>E47</f>
        <v>0</v>
      </c>
      <c r="S47" s="3588"/>
      <c r="T47" s="3588">
        <f>G47</f>
        <v>0</v>
      </c>
      <c r="U47" s="3588"/>
      <c r="V47" s="3588">
        <f>I47</f>
        <v>0</v>
      </c>
      <c r="W47" s="3588"/>
      <c r="X47" s="699"/>
      <c r="Y47" s="721"/>
      <c r="Z47" s="699"/>
      <c r="AA47" s="699"/>
      <c r="AB47" s="699"/>
      <c r="AC47" s="699"/>
    </row>
    <row r="48" spans="1:29" ht="15.75" thickBot="1">
      <c r="A48" s="445" t="s">
        <v>2430</v>
      </c>
      <c r="B48" s="446"/>
      <c r="C48" s="1294" t="e">
        <f>R49</f>
        <v>#DIV/0!</v>
      </c>
      <c r="D48" s="2507" t="s">
        <v>2819</v>
      </c>
      <c r="E48" s="1295" t="e">
        <f>R48</f>
        <v>#DIV/0!</v>
      </c>
      <c r="F48" s="2508"/>
      <c r="G48" s="1294" t="e">
        <f>T48</f>
        <v>#DIV/0!</v>
      </c>
      <c r="H48" s="2508"/>
      <c r="I48" s="1295" t="e">
        <f>V48</f>
        <v>#DIV/0!</v>
      </c>
      <c r="J48" s="2508"/>
      <c r="K48" s="2510">
        <f>F48+H48+J48</f>
        <v>0</v>
      </c>
      <c r="L48" s="2922"/>
      <c r="M48" s="2923"/>
      <c r="N48" s="2914"/>
      <c r="O48" s="2923"/>
      <c r="P48" s="3557" t="str">
        <f>A48</f>
        <v>比较价值（元/平方米）</v>
      </c>
      <c r="Q48" s="3557"/>
      <c r="R48" s="3558" t="e">
        <f>IF(F1="售价",ROUND(PRODUCT(R47,AA7:AA46),0),ROUND(PRODUCT(R47,AA7:AA46),1))</f>
        <v>#DIV/0!</v>
      </c>
      <c r="S48" s="3558"/>
      <c r="T48" s="3558" t="e">
        <f>IF(F1="售价",ROUND(PRODUCT(T47,AB7:AB46),0),ROUND(PRODUCT(T47,AB7:AB46),1))</f>
        <v>#DIV/0!</v>
      </c>
      <c r="U48" s="3558"/>
      <c r="V48" s="3558" t="e">
        <f>IF(F1="售价",ROUND(PRODUCT(V47,AC7:AC46),0),ROUND(PRODUCT(V47,AC7:AC46),1))</f>
        <v>#DIV/0!</v>
      </c>
      <c r="W48" s="3558"/>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2"/>
      <c r="M49" s="2923"/>
      <c r="N49" s="2914"/>
      <c r="O49" s="2923"/>
      <c r="P49" s="3554" t="str">
        <f>A49</f>
        <v>估价对象XX用房的比较价值（楼面单价，元/平方米）</v>
      </c>
      <c r="Q49" s="3555"/>
      <c r="R49" s="3556" t="e">
        <f>IF(F1="售价",ROUND(IF(D48="简单平均",AVERAGE(R48:V48),R48*F48+T48*H48+V48*J48),0),ROUND(IF(D48="简单平均",AVERAGE(R48:V48),R48*F48+T48*H48+V48*J48),1))</f>
        <v>#DIV/0!</v>
      </c>
      <c r="S49" s="3556"/>
      <c r="T49" s="3556"/>
      <c r="U49" s="3556"/>
      <c r="V49" s="3556"/>
      <c r="W49" s="3556"/>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2309</v>
      </c>
      <c r="B58" s="463"/>
      <c r="C58" s="1317" t="str">
        <f>YEAR(C7)&amp;"-"&amp;MONTH(C7)</f>
        <v>2022-1</v>
      </c>
      <c r="D58" s="1318">
        <f>EDATE(C58,-1)</f>
        <v>44531</v>
      </c>
      <c r="E58" s="1318">
        <f t="shared" ref="E58:N58" si="16">EDATE(D58,-1)</f>
        <v>44501</v>
      </c>
      <c r="F58" s="1318">
        <f t="shared" si="16"/>
        <v>44470</v>
      </c>
      <c r="G58" s="1318">
        <f t="shared" si="16"/>
        <v>44440</v>
      </c>
      <c r="H58" s="1318">
        <f t="shared" si="16"/>
        <v>44409</v>
      </c>
      <c r="I58" s="1318">
        <f t="shared" si="16"/>
        <v>44378</v>
      </c>
      <c r="J58" s="1318">
        <f t="shared" si="16"/>
        <v>44348</v>
      </c>
      <c r="K58" s="1318">
        <f t="shared" si="16"/>
        <v>44317</v>
      </c>
      <c r="L58" s="1318">
        <f t="shared" si="16"/>
        <v>44287</v>
      </c>
      <c r="M58" s="1318">
        <f t="shared" si="16"/>
        <v>44256</v>
      </c>
      <c r="N58" s="1318">
        <f t="shared" si="16"/>
        <v>44228</v>
      </c>
      <c r="O58" s="1318">
        <f>EDATE(N58,-1)</f>
        <v>44197</v>
      </c>
      <c r="P58" s="2938"/>
      <c r="Q58" s="2939"/>
      <c r="R58" s="2939"/>
      <c r="S58" s="2939"/>
      <c r="T58" s="2939"/>
      <c r="U58" s="2939"/>
      <c r="V58" s="2939"/>
      <c r="W58" s="2939"/>
      <c r="X58" s="2939"/>
      <c r="Y58" s="2939"/>
      <c r="Z58" s="2939"/>
      <c r="AA58" s="2939"/>
      <c r="AB58" s="2939"/>
      <c r="AC58" s="2939"/>
    </row>
    <row r="59" spans="1:29" s="113" customFormat="1" ht="15">
      <c r="A59" s="466"/>
      <c r="B59" s="467"/>
      <c r="C59" s="1316">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101504.34</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2406</v>
      </c>
      <c r="B4" s="362"/>
      <c r="C4" s="3572" t="s">
        <v>2407</v>
      </c>
      <c r="D4" s="3573"/>
      <c r="E4" s="3574" t="s">
        <v>2408</v>
      </c>
      <c r="F4" s="3575"/>
      <c r="G4" s="3572" t="s">
        <v>2409</v>
      </c>
      <c r="H4" s="3573"/>
      <c r="I4" s="3572" t="s">
        <v>2410</v>
      </c>
      <c r="J4" s="3573"/>
      <c r="K4" s="567" t="s">
        <v>2411</v>
      </c>
      <c r="L4" s="2913"/>
      <c r="M4" s="2914"/>
      <c r="N4" s="2914"/>
      <c r="O4" s="2914"/>
      <c r="P4" s="3606" t="s">
        <v>2412</v>
      </c>
      <c r="Q4" s="3607"/>
      <c r="R4" s="3610" t="s">
        <v>2408</v>
      </c>
      <c r="S4" s="3611"/>
      <c r="T4" s="3610" t="s">
        <v>2409</v>
      </c>
      <c r="U4" s="3611"/>
      <c r="V4" s="3612" t="s">
        <v>2410</v>
      </c>
      <c r="W4" s="3612"/>
      <c r="X4" s="2113"/>
      <c r="Y4" s="3610" t="s">
        <v>2412</v>
      </c>
      <c r="Z4" s="3611"/>
      <c r="AA4" s="3614" t="s">
        <v>2408</v>
      </c>
      <c r="AB4" s="3614" t="s">
        <v>2409</v>
      </c>
      <c r="AC4" s="3603" t="s">
        <v>2410</v>
      </c>
    </row>
    <row r="5" spans="1:29" ht="15">
      <c r="A5" s="364"/>
      <c r="B5" s="365"/>
      <c r="C5" s="3591" t="s">
        <v>2303</v>
      </c>
      <c r="D5" s="3592"/>
      <c r="E5" s="3598" t="s">
        <v>2304</v>
      </c>
      <c r="F5" s="3599"/>
      <c r="G5" s="3591" t="s">
        <v>2305</v>
      </c>
      <c r="H5" s="3592"/>
      <c r="I5" s="3591" t="s">
        <v>2306</v>
      </c>
      <c r="J5" s="3592"/>
      <c r="K5" s="567"/>
      <c r="L5" s="2913"/>
      <c r="M5" s="2914"/>
      <c r="N5" s="2914"/>
      <c r="O5" s="2914"/>
      <c r="P5" s="3608"/>
      <c r="Q5" s="3579"/>
      <c r="R5" s="3584"/>
      <c r="S5" s="3585"/>
      <c r="T5" s="3584"/>
      <c r="U5" s="3585"/>
      <c r="V5" s="3588"/>
      <c r="W5" s="3588"/>
      <c r="X5" s="1508"/>
      <c r="Y5" s="3584"/>
      <c r="Z5" s="3585"/>
      <c r="AA5" s="3570"/>
      <c r="AB5" s="3570"/>
      <c r="AC5" s="3604"/>
    </row>
    <row r="6" spans="1:29" ht="15.75" thickBot="1">
      <c r="A6" s="366"/>
      <c r="B6" s="367"/>
      <c r="C6" s="3589" t="s">
        <v>2307</v>
      </c>
      <c r="D6" s="3590"/>
      <c r="E6" s="3596" t="s">
        <v>2307</v>
      </c>
      <c r="F6" s="3597"/>
      <c r="G6" s="3589" t="s">
        <v>2307</v>
      </c>
      <c r="H6" s="3590"/>
      <c r="I6" s="3589" t="s">
        <v>2307</v>
      </c>
      <c r="J6" s="3590"/>
      <c r="K6" s="567" t="s">
        <v>2308</v>
      </c>
      <c r="L6" s="2913"/>
      <c r="M6" s="2914"/>
      <c r="N6" s="2914"/>
      <c r="O6" s="2914"/>
      <c r="P6" s="3609"/>
      <c r="Q6" s="3581"/>
      <c r="R6" s="3584"/>
      <c r="S6" s="3585"/>
      <c r="T6" s="3586"/>
      <c r="U6" s="3587"/>
      <c r="V6" s="3588"/>
      <c r="W6" s="3588"/>
      <c r="X6" s="1508"/>
      <c r="Y6" s="3586"/>
      <c r="Z6" s="3587"/>
      <c r="AA6" s="3571"/>
      <c r="AB6" s="3571"/>
      <c r="AC6" s="3605"/>
    </row>
    <row r="7" spans="1:29" s="113" customFormat="1" ht="15.75" thickBot="1">
      <c r="A7" s="368" t="s">
        <v>2309</v>
      </c>
      <c r="B7" s="369"/>
      <c r="C7" s="370">
        <f>'数据-取费表'!B2</f>
        <v>44567</v>
      </c>
      <c r="D7" s="371">
        <v>100</v>
      </c>
      <c r="E7" s="372"/>
      <c r="F7" s="373">
        <f>SUMIF(59:59,YEAR(E7)&amp;"-"&amp;MONTH(E7),60:60)</f>
        <v>0</v>
      </c>
      <c r="G7" s="372"/>
      <c r="H7" s="371">
        <f>SUMIF(59:59,YEAR(G7)&amp;"-"&amp;MONTH(G7),60:60)</f>
        <v>0</v>
      </c>
      <c r="I7" s="372"/>
      <c r="J7" s="371">
        <f>SUMIF(59:59,YEAR(I7)&amp;"-"&amp;MONTH(I7),60:60)</f>
        <v>0</v>
      </c>
      <c r="K7" s="568"/>
      <c r="L7" s="2915"/>
      <c r="M7" s="2916"/>
      <c r="N7" s="2916"/>
      <c r="O7" s="2916"/>
      <c r="P7" s="3613" t="s">
        <v>2310</v>
      </c>
      <c r="Q7" s="3595"/>
      <c r="R7" s="710" t="s">
        <v>17</v>
      </c>
      <c r="S7" s="711">
        <f t="shared" ref="S7:S15" si="0">F7</f>
        <v>0</v>
      </c>
      <c r="T7" s="710" t="s">
        <v>17</v>
      </c>
      <c r="U7" s="711">
        <f t="shared" ref="U7:U15" si="1">H7</f>
        <v>0</v>
      </c>
      <c r="V7" s="710" t="s">
        <v>17</v>
      </c>
      <c r="W7" s="711">
        <f t="shared" ref="W7:W15" si="2">J7</f>
        <v>0</v>
      </c>
      <c r="X7" s="712"/>
      <c r="Y7" s="3593" t="s">
        <v>2310</v>
      </c>
      <c r="Z7" s="3594"/>
      <c r="AA7" s="713" t="e">
        <f>D7/F7</f>
        <v>#DIV/0!</v>
      </c>
      <c r="AB7" s="713" t="e">
        <f>D7/H7</f>
        <v>#DIV/0!</v>
      </c>
      <c r="AC7" s="2114"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613" t="s">
        <v>2313</v>
      </c>
      <c r="Q8" s="3594"/>
      <c r="R8" s="710" t="s">
        <v>17</v>
      </c>
      <c r="S8" s="711">
        <f t="shared" si="0"/>
        <v>0</v>
      </c>
      <c r="T8" s="710" t="s">
        <v>17</v>
      </c>
      <c r="U8" s="711">
        <f t="shared" si="1"/>
        <v>0</v>
      </c>
      <c r="V8" s="710" t="s">
        <v>17</v>
      </c>
      <c r="W8" s="711">
        <f t="shared" si="2"/>
        <v>0</v>
      </c>
      <c r="X8" s="712"/>
      <c r="Y8" s="3593" t="s">
        <v>2313</v>
      </c>
      <c r="Z8" s="3594"/>
      <c r="AA8" s="713" t="e">
        <f t="shared" ref="AA8:AA47" si="3">D8/F8</f>
        <v>#DIV/0!</v>
      </c>
      <c r="AB8" s="713" t="e">
        <f t="shared" ref="AB8:AB47" si="4">D8/H8</f>
        <v>#DIV/0!</v>
      </c>
      <c r="AC8" s="2114"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568" t="s">
        <v>2316</v>
      </c>
      <c r="Q9" s="1496" t="str">
        <f t="shared" ref="Q9:Q15" si="6">B9</f>
        <v>用途</v>
      </c>
      <c r="R9" s="710" t="s">
        <v>17</v>
      </c>
      <c r="S9" s="711">
        <f t="shared" si="0"/>
        <v>100</v>
      </c>
      <c r="T9" s="710" t="s">
        <v>17</v>
      </c>
      <c r="U9" s="711">
        <f t="shared" si="1"/>
        <v>100</v>
      </c>
      <c r="V9" s="710" t="s">
        <v>17</v>
      </c>
      <c r="W9" s="711">
        <f t="shared" si="2"/>
        <v>100</v>
      </c>
      <c r="X9" s="712"/>
      <c r="Y9" s="3429" t="s">
        <v>2317</v>
      </c>
      <c r="Z9" s="55" t="str">
        <f t="shared" ref="Z9:Z15" si="7">Q9</f>
        <v>用途</v>
      </c>
      <c r="AA9" s="713">
        <f t="shared" si="3"/>
        <v>1</v>
      </c>
      <c r="AB9" s="713">
        <f t="shared" si="4"/>
        <v>1</v>
      </c>
      <c r="AC9" s="2114">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568"/>
      <c r="Q10" s="1496" t="str">
        <f t="shared" si="6"/>
        <v>土地使用年限（年）</v>
      </c>
      <c r="R10" s="710" t="s">
        <v>17</v>
      </c>
      <c r="S10" s="711">
        <f t="shared" si="0"/>
        <v>100</v>
      </c>
      <c r="T10" s="710" t="s">
        <v>17</v>
      </c>
      <c r="U10" s="711">
        <f t="shared" si="1"/>
        <v>100</v>
      </c>
      <c r="V10" s="710" t="s">
        <v>17</v>
      </c>
      <c r="W10" s="711">
        <f t="shared" si="2"/>
        <v>100</v>
      </c>
      <c r="X10" s="712"/>
      <c r="Y10" s="3429"/>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568"/>
      <c r="Q11" s="1496" t="str">
        <f t="shared" si="6"/>
        <v>容积率</v>
      </c>
      <c r="R11" s="710" t="s">
        <v>17</v>
      </c>
      <c r="S11" s="711" t="e">
        <f t="shared" si="0"/>
        <v>#N/A</v>
      </c>
      <c r="T11" s="710" t="s">
        <v>17</v>
      </c>
      <c r="U11" s="711" t="e">
        <f t="shared" si="1"/>
        <v>#N/A</v>
      </c>
      <c r="V11" s="710" t="s">
        <v>17</v>
      </c>
      <c r="W11" s="711" t="e">
        <f t="shared" si="2"/>
        <v>#N/A</v>
      </c>
      <c r="X11" s="712"/>
      <c r="Y11" s="3429"/>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568"/>
      <c r="Q12" s="1496">
        <f t="shared" si="6"/>
        <v>111</v>
      </c>
      <c r="R12" s="710" t="s">
        <v>17</v>
      </c>
      <c r="S12" s="711">
        <f t="shared" si="0"/>
        <v>100</v>
      </c>
      <c r="T12" s="710" t="s">
        <v>17</v>
      </c>
      <c r="U12" s="711">
        <f t="shared" si="1"/>
        <v>100</v>
      </c>
      <c r="V12" s="710" t="s">
        <v>17</v>
      </c>
      <c r="W12" s="711">
        <f t="shared" si="2"/>
        <v>100</v>
      </c>
      <c r="X12" s="712"/>
      <c r="Y12" s="3429"/>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568"/>
      <c r="Q13" s="1496">
        <f t="shared" si="6"/>
        <v>111</v>
      </c>
      <c r="R13" s="710" t="s">
        <v>17</v>
      </c>
      <c r="S13" s="711">
        <f t="shared" si="0"/>
        <v>100</v>
      </c>
      <c r="T13" s="710" t="s">
        <v>17</v>
      </c>
      <c r="U13" s="711">
        <f t="shared" si="1"/>
        <v>100</v>
      </c>
      <c r="V13" s="710" t="s">
        <v>17</v>
      </c>
      <c r="W13" s="711">
        <f t="shared" si="2"/>
        <v>100</v>
      </c>
      <c r="X13" s="712"/>
      <c r="Y13" s="3429"/>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568"/>
      <c r="Q14" s="1496">
        <f t="shared" si="6"/>
        <v>111</v>
      </c>
      <c r="R14" s="710" t="s">
        <v>17</v>
      </c>
      <c r="S14" s="711">
        <f t="shared" si="0"/>
        <v>100</v>
      </c>
      <c r="T14" s="710" t="s">
        <v>17</v>
      </c>
      <c r="U14" s="711">
        <f t="shared" si="1"/>
        <v>100</v>
      </c>
      <c r="V14" s="710" t="s">
        <v>17</v>
      </c>
      <c r="W14" s="711">
        <f t="shared" si="2"/>
        <v>100</v>
      </c>
      <c r="X14" s="712"/>
      <c r="Y14" s="3429"/>
      <c r="Z14" s="55">
        <f t="shared" si="7"/>
        <v>111</v>
      </c>
      <c r="AA14" s="713">
        <f t="shared" si="3"/>
        <v>1</v>
      </c>
      <c r="AB14" s="713">
        <f t="shared" si="4"/>
        <v>1</v>
      </c>
      <c r="AC14" s="2114">
        <f t="shared" si="5"/>
        <v>1</v>
      </c>
    </row>
    <row r="15" spans="1:29" ht="71.25">
      <c r="A15" s="399" t="s">
        <v>2320</v>
      </c>
      <c r="B15" s="585" t="s">
        <v>2448</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566" t="s">
        <v>2321</v>
      </c>
      <c r="Q15" s="1505" t="str">
        <f t="shared" si="6"/>
        <v>办公集聚程度</v>
      </c>
      <c r="R15" s="714" t="s">
        <v>17</v>
      </c>
      <c r="S15" s="715">
        <f t="shared" si="0"/>
        <v>100</v>
      </c>
      <c r="T15" s="714" t="s">
        <v>17</v>
      </c>
      <c r="U15" s="715">
        <f t="shared" si="1"/>
        <v>100</v>
      </c>
      <c r="V15" s="714" t="s">
        <v>17</v>
      </c>
      <c r="W15" s="715">
        <f t="shared" si="2"/>
        <v>100</v>
      </c>
      <c r="X15" s="1508"/>
      <c r="Y15" s="3559" t="s">
        <v>2321</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20"/>
      <c r="M16" s="2914"/>
      <c r="N16" s="2914"/>
      <c r="O16" s="2914"/>
      <c r="P16" s="3567"/>
      <c r="Q16" s="1505"/>
      <c r="R16" s="714"/>
      <c r="S16" s="715"/>
      <c r="T16" s="714"/>
      <c r="U16" s="715"/>
      <c r="V16" s="714"/>
      <c r="W16" s="715"/>
      <c r="X16" s="1508"/>
      <c r="Y16" s="3560"/>
      <c r="Z16" s="1509"/>
      <c r="AA16" s="1506">
        <v>1</v>
      </c>
      <c r="AB16" s="1506">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567"/>
      <c r="Q17" s="1505" t="str">
        <f>B17</f>
        <v>交通便捷度</v>
      </c>
      <c r="R17" s="714" t="s">
        <v>17</v>
      </c>
      <c r="S17" s="715">
        <f>F17</f>
        <v>100</v>
      </c>
      <c r="T17" s="714" t="s">
        <v>17</v>
      </c>
      <c r="U17" s="715">
        <f>H17</f>
        <v>100</v>
      </c>
      <c r="V17" s="714" t="s">
        <v>17</v>
      </c>
      <c r="W17" s="715">
        <f>J17</f>
        <v>100</v>
      </c>
      <c r="X17" s="1508"/>
      <c r="Y17" s="3560"/>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20"/>
      <c r="M18" s="2914"/>
      <c r="N18" s="2914"/>
      <c r="O18" s="2914"/>
      <c r="P18" s="3567"/>
      <c r="Q18" s="1505"/>
      <c r="R18" s="714"/>
      <c r="S18" s="715"/>
      <c r="T18" s="714"/>
      <c r="U18" s="715"/>
      <c r="V18" s="714"/>
      <c r="W18" s="715"/>
      <c r="X18" s="1508"/>
      <c r="Y18" s="3560"/>
      <c r="Z18" s="1509"/>
      <c r="AA18" s="1506">
        <v>1</v>
      </c>
      <c r="AB18" s="1506">
        <v>1</v>
      </c>
      <c r="AC18" s="2117">
        <v>1</v>
      </c>
    </row>
    <row r="19" spans="1:29" ht="42.75">
      <c r="A19" s="387"/>
      <c r="B19" s="587" t="s">
        <v>2449</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567"/>
      <c r="Q19" s="1505" t="str">
        <f>B19</f>
        <v>公共配套设施</v>
      </c>
      <c r="R19" s="714" t="s">
        <v>17</v>
      </c>
      <c r="S19" s="715">
        <f>F19</f>
        <v>100</v>
      </c>
      <c r="T19" s="714" t="s">
        <v>17</v>
      </c>
      <c r="U19" s="715">
        <f>H19</f>
        <v>100</v>
      </c>
      <c r="V19" s="714" t="s">
        <v>17</v>
      </c>
      <c r="W19" s="715">
        <f>J19</f>
        <v>100</v>
      </c>
      <c r="X19" s="1508"/>
      <c r="Y19" s="3560"/>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20"/>
      <c r="M20" s="2914"/>
      <c r="N20" s="2914"/>
      <c r="O20" s="2914"/>
      <c r="P20" s="3567"/>
      <c r="Q20" s="1505"/>
      <c r="R20" s="714"/>
      <c r="S20" s="715"/>
      <c r="T20" s="714"/>
      <c r="U20" s="715"/>
      <c r="V20" s="714"/>
      <c r="W20" s="715"/>
      <c r="X20" s="1508"/>
      <c r="Y20" s="3560"/>
      <c r="Z20" s="1509"/>
      <c r="AA20" s="1506">
        <v>1</v>
      </c>
      <c r="AB20" s="1506">
        <v>1</v>
      </c>
      <c r="AC20" s="2117">
        <v>1</v>
      </c>
    </row>
    <row r="21" spans="1:29" ht="28.5">
      <c r="A21" s="387"/>
      <c r="B21" s="589" t="s">
        <v>2450</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567"/>
      <c r="Q21" s="1505" t="str">
        <f>B21</f>
        <v>基础设施水平</v>
      </c>
      <c r="R21" s="714" t="s">
        <v>17</v>
      </c>
      <c r="S21" s="715">
        <f>F21</f>
        <v>100</v>
      </c>
      <c r="T21" s="714" t="s">
        <v>17</v>
      </c>
      <c r="U21" s="715">
        <f>H21</f>
        <v>100</v>
      </c>
      <c r="V21" s="714" t="s">
        <v>17</v>
      </c>
      <c r="W21" s="715">
        <f>J21</f>
        <v>100</v>
      </c>
      <c r="X21" s="1508"/>
      <c r="Y21" s="3560"/>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567"/>
      <c r="Q22" s="1505"/>
      <c r="R22" s="714"/>
      <c r="S22" s="715"/>
      <c r="T22" s="714"/>
      <c r="U22" s="715"/>
      <c r="V22" s="714"/>
      <c r="W22" s="715"/>
      <c r="X22" s="1508"/>
      <c r="Y22" s="3560"/>
      <c r="Z22" s="1509"/>
      <c r="AA22" s="1506">
        <v>1</v>
      </c>
      <c r="AB22" s="1506">
        <v>1</v>
      </c>
      <c r="AC22" s="2117">
        <v>1</v>
      </c>
    </row>
    <row r="23" spans="1:29" ht="42.75">
      <c r="A23" s="387"/>
      <c r="B23" s="587" t="s">
        <v>2451</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567"/>
      <c r="Q23" s="1505" t="str">
        <f>B23</f>
        <v>环境质量</v>
      </c>
      <c r="R23" s="714" t="s">
        <v>17</v>
      </c>
      <c r="S23" s="715">
        <f>F23</f>
        <v>100</v>
      </c>
      <c r="T23" s="714" t="s">
        <v>17</v>
      </c>
      <c r="U23" s="715">
        <f>H23</f>
        <v>100</v>
      </c>
      <c r="V23" s="714" t="s">
        <v>17</v>
      </c>
      <c r="W23" s="715">
        <f>J23</f>
        <v>100</v>
      </c>
      <c r="X23" s="1508"/>
      <c r="Y23" s="3560"/>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20"/>
      <c r="M24" s="2914"/>
      <c r="N24" s="2914"/>
      <c r="O24" s="2914"/>
      <c r="P24" s="3567"/>
      <c r="Q24" s="1505"/>
      <c r="R24" s="714"/>
      <c r="S24" s="715"/>
      <c r="T24" s="714"/>
      <c r="U24" s="715"/>
      <c r="V24" s="714"/>
      <c r="W24" s="715"/>
      <c r="X24" s="1508"/>
      <c r="Y24" s="3560"/>
      <c r="Z24" s="1509"/>
      <c r="AA24" s="1506">
        <v>1</v>
      </c>
      <c r="AB24" s="1506">
        <v>1</v>
      </c>
      <c r="AC24" s="2117">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567"/>
      <c r="Q25" s="1505" t="str">
        <f>B25</f>
        <v>毗邻道路的类型与等级</v>
      </c>
      <c r="R25" s="714" t="s">
        <v>17</v>
      </c>
      <c r="S25" s="715">
        <f>F25</f>
        <v>100</v>
      </c>
      <c r="T25" s="714" t="s">
        <v>17</v>
      </c>
      <c r="U25" s="715">
        <f>H25</f>
        <v>100</v>
      </c>
      <c r="V25" s="714" t="s">
        <v>17</v>
      </c>
      <c r="W25" s="715">
        <f>J25</f>
        <v>100</v>
      </c>
      <c r="X25" s="1508"/>
      <c r="Y25" s="3560"/>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20"/>
      <c r="M26" s="2914"/>
      <c r="N26" s="2914"/>
      <c r="O26" s="2914"/>
      <c r="P26" s="3567"/>
      <c r="Q26" s="1505"/>
      <c r="R26" s="714"/>
      <c r="S26" s="715"/>
      <c r="T26" s="714"/>
      <c r="U26" s="715"/>
      <c r="V26" s="714"/>
      <c r="W26" s="715"/>
      <c r="X26" s="1508"/>
      <c r="Y26" s="3560"/>
      <c r="Z26" s="1509"/>
      <c r="AA26" s="1506">
        <v>1</v>
      </c>
      <c r="AB26" s="1506">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567"/>
      <c r="Q27" s="1505" t="str">
        <f t="shared" ref="Q27:Q47" si="11">B27</f>
        <v>楼层</v>
      </c>
      <c r="R27" s="714" t="s">
        <v>17</v>
      </c>
      <c r="S27" s="715">
        <f>F27</f>
        <v>100</v>
      </c>
      <c r="T27" s="714" t="s">
        <v>17</v>
      </c>
      <c r="U27" s="715">
        <f>H27</f>
        <v>100</v>
      </c>
      <c r="V27" s="714" t="s">
        <v>17</v>
      </c>
      <c r="W27" s="715">
        <f>J27</f>
        <v>100</v>
      </c>
      <c r="X27" s="1508"/>
      <c r="Y27" s="3560"/>
      <c r="Z27" s="1509" t="str">
        <f>Q27</f>
        <v>楼层</v>
      </c>
      <c r="AA27" s="1506">
        <f t="shared" si="3"/>
        <v>1</v>
      </c>
      <c r="AB27" s="1506">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567"/>
      <c r="Q28" s="1496" t="str">
        <f t="shared" si="11"/>
        <v>朝向</v>
      </c>
      <c r="R28" s="710" t="s">
        <v>17</v>
      </c>
      <c r="S28" s="711">
        <f>F28</f>
        <v>100</v>
      </c>
      <c r="T28" s="710" t="s">
        <v>17</v>
      </c>
      <c r="U28" s="711">
        <f>H28</f>
        <v>100</v>
      </c>
      <c r="V28" s="710" t="s">
        <v>17</v>
      </c>
      <c r="W28" s="711">
        <f>J28</f>
        <v>100</v>
      </c>
      <c r="X28" s="712"/>
      <c r="Y28" s="3560"/>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567"/>
      <c r="Q29" s="1505">
        <f t="shared" si="11"/>
        <v>111</v>
      </c>
      <c r="R29" s="714" t="s">
        <v>17</v>
      </c>
      <c r="S29" s="715">
        <f t="shared" ref="S29:S47" si="12">F29</f>
        <v>100</v>
      </c>
      <c r="T29" s="714" t="s">
        <v>17</v>
      </c>
      <c r="U29" s="715">
        <f t="shared" ref="U29:U47" si="13">H29</f>
        <v>100</v>
      </c>
      <c r="V29" s="714" t="s">
        <v>17</v>
      </c>
      <c r="W29" s="715">
        <f t="shared" ref="W29:W47" si="14">J29</f>
        <v>100</v>
      </c>
      <c r="X29" s="1508"/>
      <c r="Y29" s="3560"/>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567"/>
      <c r="Q30" s="1505">
        <f t="shared" si="11"/>
        <v>111</v>
      </c>
      <c r="R30" s="714" t="s">
        <v>17</v>
      </c>
      <c r="S30" s="715">
        <f t="shared" si="12"/>
        <v>100</v>
      </c>
      <c r="T30" s="714" t="s">
        <v>17</v>
      </c>
      <c r="U30" s="715">
        <f t="shared" si="13"/>
        <v>100</v>
      </c>
      <c r="V30" s="714" t="s">
        <v>17</v>
      </c>
      <c r="W30" s="715">
        <f t="shared" si="14"/>
        <v>100</v>
      </c>
      <c r="X30" s="1508"/>
      <c r="Y30" s="3560"/>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567"/>
      <c r="Q31" s="1505">
        <f t="shared" si="11"/>
        <v>111</v>
      </c>
      <c r="R31" s="714" t="s">
        <v>17</v>
      </c>
      <c r="S31" s="715">
        <f t="shared" si="12"/>
        <v>100</v>
      </c>
      <c r="T31" s="714" t="s">
        <v>17</v>
      </c>
      <c r="U31" s="715">
        <f t="shared" si="13"/>
        <v>100</v>
      </c>
      <c r="V31" s="714" t="s">
        <v>17</v>
      </c>
      <c r="W31" s="715">
        <f t="shared" si="14"/>
        <v>100</v>
      </c>
      <c r="X31" s="1508"/>
      <c r="Y31" s="3560"/>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567"/>
      <c r="Q32" s="1505">
        <f t="shared" si="11"/>
        <v>111</v>
      </c>
      <c r="R32" s="714" t="s">
        <v>17</v>
      </c>
      <c r="S32" s="715">
        <f t="shared" si="12"/>
        <v>100</v>
      </c>
      <c r="T32" s="714" t="s">
        <v>17</v>
      </c>
      <c r="U32" s="715">
        <f t="shared" si="13"/>
        <v>100</v>
      </c>
      <c r="V32" s="714" t="s">
        <v>17</v>
      </c>
      <c r="W32" s="715">
        <f t="shared" si="14"/>
        <v>100</v>
      </c>
      <c r="X32" s="1508"/>
      <c r="Y32" s="3560"/>
      <c r="Z32" s="1509">
        <f t="shared" si="15"/>
        <v>111</v>
      </c>
      <c r="AA32" s="1506">
        <f t="shared" si="3"/>
        <v>1</v>
      </c>
      <c r="AB32" s="1506">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561" t="s">
        <v>2326</v>
      </c>
      <c r="Q33" s="1505" t="str">
        <f t="shared" si="11"/>
        <v>建筑类型</v>
      </c>
      <c r="R33" s="714" t="s">
        <v>17</v>
      </c>
      <c r="S33" s="715">
        <f t="shared" si="12"/>
        <v>100</v>
      </c>
      <c r="T33" s="714" t="s">
        <v>17</v>
      </c>
      <c r="U33" s="715">
        <f t="shared" si="13"/>
        <v>100</v>
      </c>
      <c r="V33" s="714" t="s">
        <v>17</v>
      </c>
      <c r="W33" s="715">
        <f t="shared" si="14"/>
        <v>100</v>
      </c>
      <c r="X33" s="1508"/>
      <c r="Y33" s="3564" t="s">
        <v>2326</v>
      </c>
      <c r="Z33" s="1509" t="str">
        <f t="shared" si="15"/>
        <v>建筑类型</v>
      </c>
      <c r="AA33" s="1506">
        <f t="shared" si="3"/>
        <v>1</v>
      </c>
      <c r="AB33" s="1506">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562"/>
      <c r="Q34" s="716" t="str">
        <f t="shared" si="11"/>
        <v>项目建筑规模</v>
      </c>
      <c r="R34" s="717" t="s">
        <v>17</v>
      </c>
      <c r="S34" s="718" t="e">
        <f t="shared" si="12"/>
        <v>#N/A</v>
      </c>
      <c r="T34" s="717" t="s">
        <v>17</v>
      </c>
      <c r="U34" s="718" t="e">
        <f t="shared" si="13"/>
        <v>#N/A</v>
      </c>
      <c r="V34" s="717" t="s">
        <v>17</v>
      </c>
      <c r="W34" s="718" t="e">
        <f t="shared" si="14"/>
        <v>#N/A</v>
      </c>
      <c r="X34" s="719"/>
      <c r="Y34" s="3564"/>
      <c r="Z34" s="720" t="str">
        <f t="shared" si="15"/>
        <v>项目建筑规模</v>
      </c>
      <c r="AA34" s="1506" t="e">
        <f t="shared" si="3"/>
        <v>#N/A</v>
      </c>
      <c r="AB34" s="1506"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562"/>
      <c r="Q35" s="1505" t="str">
        <f t="shared" si="11"/>
        <v>建筑结构</v>
      </c>
      <c r="R35" s="714" t="s">
        <v>17</v>
      </c>
      <c r="S35" s="715">
        <f t="shared" si="12"/>
        <v>100</v>
      </c>
      <c r="T35" s="714" t="s">
        <v>17</v>
      </c>
      <c r="U35" s="715">
        <f t="shared" si="13"/>
        <v>100</v>
      </c>
      <c r="V35" s="714" t="s">
        <v>17</v>
      </c>
      <c r="W35" s="715">
        <f t="shared" si="14"/>
        <v>100</v>
      </c>
      <c r="X35" s="1508"/>
      <c r="Y35" s="3564"/>
      <c r="Z35" s="1509" t="str">
        <f t="shared" si="15"/>
        <v>建筑结构</v>
      </c>
      <c r="AA35" s="1506">
        <f t="shared" si="3"/>
        <v>1</v>
      </c>
      <c r="AB35" s="1506">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562"/>
      <c r="Q36" s="1505" t="str">
        <f t="shared" si="11"/>
        <v>公共部分装修</v>
      </c>
      <c r="R36" s="714" t="s">
        <v>17</v>
      </c>
      <c r="S36" s="715">
        <f t="shared" si="12"/>
        <v>100</v>
      </c>
      <c r="T36" s="714" t="s">
        <v>17</v>
      </c>
      <c r="U36" s="715">
        <f t="shared" si="13"/>
        <v>100</v>
      </c>
      <c r="V36" s="714" t="s">
        <v>17</v>
      </c>
      <c r="W36" s="715">
        <f t="shared" si="14"/>
        <v>100</v>
      </c>
      <c r="X36" s="1508"/>
      <c r="Y36" s="3564"/>
      <c r="Z36" s="1509" t="str">
        <f t="shared" si="15"/>
        <v>公共部分装修</v>
      </c>
      <c r="AA36" s="1506">
        <f t="shared" si="3"/>
        <v>1</v>
      </c>
      <c r="AB36" s="1506">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562"/>
      <c r="Q37" s="1505" t="str">
        <f t="shared" si="11"/>
        <v>成新度</v>
      </c>
      <c r="R37" s="714" t="s">
        <v>17</v>
      </c>
      <c r="S37" s="715" t="e">
        <f t="shared" si="12"/>
        <v>#N/A</v>
      </c>
      <c r="T37" s="714" t="s">
        <v>17</v>
      </c>
      <c r="U37" s="715" t="e">
        <f t="shared" si="13"/>
        <v>#N/A</v>
      </c>
      <c r="V37" s="714" t="s">
        <v>17</v>
      </c>
      <c r="W37" s="715" t="e">
        <f t="shared" si="14"/>
        <v>#N/A</v>
      </c>
      <c r="X37" s="1508"/>
      <c r="Y37" s="3564"/>
      <c r="Z37" s="1509" t="str">
        <f t="shared" si="15"/>
        <v>成新度</v>
      </c>
      <c r="AA37" s="1506" t="e">
        <f t="shared" si="3"/>
        <v>#N/A</v>
      </c>
      <c r="AB37" s="1506"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562"/>
      <c r="Q38" s="1496" t="str">
        <f t="shared" si="11"/>
        <v>写字楼等级</v>
      </c>
      <c r="R38" s="710" t="s">
        <v>17</v>
      </c>
      <c r="S38" s="711">
        <f t="shared" si="12"/>
        <v>100</v>
      </c>
      <c r="T38" s="710" t="s">
        <v>17</v>
      </c>
      <c r="U38" s="711">
        <f t="shared" si="13"/>
        <v>100</v>
      </c>
      <c r="V38" s="710" t="s">
        <v>17</v>
      </c>
      <c r="W38" s="711">
        <f t="shared" si="14"/>
        <v>100</v>
      </c>
      <c r="X38" s="712"/>
      <c r="Y38" s="3564"/>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562" t="s">
        <v>2326</v>
      </c>
      <c r="Q39" s="1505" t="str">
        <f t="shared" si="11"/>
        <v>物业管理</v>
      </c>
      <c r="R39" s="714" t="s">
        <v>17</v>
      </c>
      <c r="S39" s="715">
        <f t="shared" si="12"/>
        <v>100</v>
      </c>
      <c r="T39" s="714" t="s">
        <v>17</v>
      </c>
      <c r="U39" s="715">
        <f t="shared" si="13"/>
        <v>100</v>
      </c>
      <c r="V39" s="714" t="s">
        <v>17</v>
      </c>
      <c r="W39" s="715">
        <f t="shared" si="14"/>
        <v>100</v>
      </c>
      <c r="X39" s="1508"/>
      <c r="Y39" s="3564" t="s">
        <v>2326</v>
      </c>
      <c r="Z39" s="1509" t="str">
        <f t="shared" si="15"/>
        <v>物业管理</v>
      </c>
      <c r="AA39" s="1506">
        <f t="shared" si="3"/>
        <v>1</v>
      </c>
      <c r="AB39" s="1506">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562"/>
      <c r="Q40" s="1505" t="str">
        <f t="shared" si="11"/>
        <v>市政基础设施</v>
      </c>
      <c r="R40" s="714" t="s">
        <v>17</v>
      </c>
      <c r="S40" s="715">
        <f t="shared" si="12"/>
        <v>100</v>
      </c>
      <c r="T40" s="714" t="s">
        <v>17</v>
      </c>
      <c r="U40" s="715">
        <f t="shared" si="13"/>
        <v>100</v>
      </c>
      <c r="V40" s="714" t="s">
        <v>17</v>
      </c>
      <c r="W40" s="715">
        <f t="shared" si="14"/>
        <v>100</v>
      </c>
      <c r="X40" s="1508"/>
      <c r="Y40" s="3564"/>
      <c r="Z40" s="1509" t="str">
        <f t="shared" si="15"/>
        <v>市政基础设施</v>
      </c>
      <c r="AA40" s="1506">
        <f t="shared" si="3"/>
        <v>1</v>
      </c>
      <c r="AB40" s="1506">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562"/>
      <c r="Q41" s="1505" t="str">
        <f t="shared" si="11"/>
        <v>层高</v>
      </c>
      <c r="R41" s="714" t="s">
        <v>17</v>
      </c>
      <c r="S41" s="715">
        <f t="shared" si="12"/>
        <v>100</v>
      </c>
      <c r="T41" s="714" t="s">
        <v>17</v>
      </c>
      <c r="U41" s="715">
        <f t="shared" si="13"/>
        <v>100</v>
      </c>
      <c r="V41" s="714" t="s">
        <v>17</v>
      </c>
      <c r="W41" s="715">
        <f t="shared" si="14"/>
        <v>100</v>
      </c>
      <c r="X41" s="1508"/>
      <c r="Y41" s="3564"/>
      <c r="Z41" s="1509" t="str">
        <f t="shared" si="15"/>
        <v>层高</v>
      </c>
      <c r="AA41" s="1506">
        <f t="shared" si="3"/>
        <v>1</v>
      </c>
      <c r="AB41" s="1506">
        <f t="shared" si="4"/>
        <v>1</v>
      </c>
      <c r="AC41" s="2117">
        <f t="shared" si="5"/>
        <v>1</v>
      </c>
    </row>
    <row r="42" spans="1:29" s="430" customFormat="1" ht="15">
      <c r="A42" s="427"/>
      <c r="B42" s="1507"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562"/>
      <c r="Q42" s="716" t="str">
        <f t="shared" si="11"/>
        <v>单套建筑面积</v>
      </c>
      <c r="R42" s="717" t="s">
        <v>17</v>
      </c>
      <c r="S42" s="718">
        <f t="shared" si="12"/>
        <v>100</v>
      </c>
      <c r="T42" s="717" t="s">
        <v>17</v>
      </c>
      <c r="U42" s="718">
        <f t="shared" si="13"/>
        <v>100</v>
      </c>
      <c r="V42" s="717" t="s">
        <v>17</v>
      </c>
      <c r="W42" s="718">
        <f t="shared" si="14"/>
        <v>100</v>
      </c>
      <c r="X42" s="719"/>
      <c r="Y42" s="3564"/>
      <c r="Z42" s="720" t="str">
        <f t="shared" si="15"/>
        <v>单套建筑面积</v>
      </c>
      <c r="AA42" s="1506">
        <f t="shared" si="3"/>
        <v>1</v>
      </c>
      <c r="AB42" s="1506">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562"/>
      <c r="Q43" s="1505" t="str">
        <f t="shared" si="11"/>
        <v>内部装修</v>
      </c>
      <c r="R43" s="714" t="s">
        <v>17</v>
      </c>
      <c r="S43" s="715">
        <f t="shared" si="12"/>
        <v>100</v>
      </c>
      <c r="T43" s="714" t="s">
        <v>17</v>
      </c>
      <c r="U43" s="715">
        <f t="shared" si="13"/>
        <v>100</v>
      </c>
      <c r="V43" s="714" t="s">
        <v>17</v>
      </c>
      <c r="W43" s="715">
        <f t="shared" si="14"/>
        <v>100</v>
      </c>
      <c r="X43" s="1508"/>
      <c r="Y43" s="3564"/>
      <c r="Z43" s="1509" t="str">
        <f t="shared" si="15"/>
        <v>内部装修</v>
      </c>
      <c r="AA43" s="1506">
        <f t="shared" si="3"/>
        <v>1</v>
      </c>
      <c r="AB43" s="1506">
        <f t="shared" si="4"/>
        <v>1</v>
      </c>
      <c r="AC43" s="2117">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562"/>
      <c r="Q44" s="1505" t="str">
        <f t="shared" si="11"/>
        <v>内部装修维护情况</v>
      </c>
      <c r="R44" s="714" t="s">
        <v>17</v>
      </c>
      <c r="S44" s="715">
        <f t="shared" si="12"/>
        <v>100</v>
      </c>
      <c r="T44" s="714" t="s">
        <v>17</v>
      </c>
      <c r="U44" s="715">
        <f t="shared" si="13"/>
        <v>100</v>
      </c>
      <c r="V44" s="714" t="s">
        <v>17</v>
      </c>
      <c r="W44" s="715">
        <f t="shared" si="14"/>
        <v>100</v>
      </c>
      <c r="X44" s="1508"/>
      <c r="Y44" s="3564"/>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562"/>
      <c r="Q45" s="1496">
        <f t="shared" si="11"/>
        <v>111</v>
      </c>
      <c r="R45" s="710" t="s">
        <v>17</v>
      </c>
      <c r="S45" s="711">
        <f t="shared" si="12"/>
        <v>100</v>
      </c>
      <c r="T45" s="710" t="s">
        <v>17</v>
      </c>
      <c r="U45" s="711">
        <f t="shared" si="13"/>
        <v>100</v>
      </c>
      <c r="V45" s="710" t="s">
        <v>17</v>
      </c>
      <c r="W45" s="711">
        <f t="shared" si="14"/>
        <v>100</v>
      </c>
      <c r="X45" s="712"/>
      <c r="Y45" s="3564"/>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562"/>
      <c r="Q46" s="1505">
        <f t="shared" si="11"/>
        <v>111</v>
      </c>
      <c r="R46" s="714" t="s">
        <v>17</v>
      </c>
      <c r="S46" s="715">
        <f t="shared" si="12"/>
        <v>100</v>
      </c>
      <c r="T46" s="714" t="s">
        <v>17</v>
      </c>
      <c r="U46" s="715">
        <f t="shared" si="13"/>
        <v>100</v>
      </c>
      <c r="V46" s="714" t="s">
        <v>17</v>
      </c>
      <c r="W46" s="715">
        <f t="shared" si="14"/>
        <v>100</v>
      </c>
      <c r="X46" s="1508"/>
      <c r="Y46" s="3564"/>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563"/>
      <c r="Q47" s="1505">
        <f t="shared" si="11"/>
        <v>111</v>
      </c>
      <c r="R47" s="714" t="s">
        <v>17</v>
      </c>
      <c r="S47" s="715">
        <f t="shared" si="12"/>
        <v>100</v>
      </c>
      <c r="T47" s="714" t="s">
        <v>17</v>
      </c>
      <c r="U47" s="715">
        <f t="shared" si="13"/>
        <v>100</v>
      </c>
      <c r="V47" s="714" t="s">
        <v>17</v>
      </c>
      <c r="W47" s="715">
        <f t="shared" si="14"/>
        <v>100</v>
      </c>
      <c r="X47" s="1508"/>
      <c r="Y47" s="3565"/>
      <c r="Z47" s="1509">
        <f t="shared" si="15"/>
        <v>111</v>
      </c>
      <c r="AA47" s="1506">
        <f t="shared" si="3"/>
        <v>1</v>
      </c>
      <c r="AB47" s="1506">
        <f t="shared" si="4"/>
        <v>1</v>
      </c>
      <c r="AC47" s="2117">
        <f t="shared" si="5"/>
        <v>1</v>
      </c>
    </row>
    <row r="48" spans="1:29" ht="15">
      <c r="A48" s="438" t="s">
        <v>2338</v>
      </c>
      <c r="B48" s="439"/>
      <c r="C48" s="1288" t="s">
        <v>1</v>
      </c>
      <c r="D48" s="1289"/>
      <c r="E48" s="1290"/>
      <c r="F48" s="1291"/>
      <c r="G48" s="1292"/>
      <c r="H48" s="1293"/>
      <c r="I48" s="1290"/>
      <c r="J48" s="444"/>
      <c r="K48" s="723"/>
      <c r="L48" s="2922"/>
      <c r="M48" s="2914"/>
      <c r="N48" s="2914"/>
      <c r="O48" s="2914"/>
      <c r="P48" s="3568" t="str">
        <f>A48</f>
        <v>成交单价（元/平方米）</v>
      </c>
      <c r="Q48" s="3557"/>
      <c r="R48" s="3558">
        <f>E48</f>
        <v>0</v>
      </c>
      <c r="S48" s="3558"/>
      <c r="T48" s="3558">
        <f>G48</f>
        <v>0</v>
      </c>
      <c r="U48" s="3558"/>
      <c r="V48" s="3558">
        <f>I48</f>
        <v>0</v>
      </c>
      <c r="W48" s="3558"/>
      <c r="X48" s="405"/>
      <c r="Y48" s="721"/>
      <c r="Z48" s="405"/>
      <c r="AA48" s="405"/>
      <c r="AB48" s="405"/>
      <c r="AC48" s="586"/>
    </row>
    <row r="49" spans="1:29" ht="15.75" thickBot="1">
      <c r="A49" s="445" t="s">
        <v>2430</v>
      </c>
      <c r="B49" s="446"/>
      <c r="C49" s="1294" t="e">
        <f>R50</f>
        <v>#DIV/0!</v>
      </c>
      <c r="D49" s="2507" t="s">
        <v>2819</v>
      </c>
      <c r="E49" s="1295" t="e">
        <f>R49</f>
        <v>#DIV/0!</v>
      </c>
      <c r="F49" s="2508"/>
      <c r="G49" s="1294" t="e">
        <f>T49</f>
        <v>#DIV/0!</v>
      </c>
      <c r="H49" s="2508"/>
      <c r="I49" s="1295" t="e">
        <f>V49</f>
        <v>#DIV/0!</v>
      </c>
      <c r="J49" s="2508"/>
      <c r="K49" s="2510">
        <f>F49+H49+J49</f>
        <v>0</v>
      </c>
      <c r="L49" s="2922"/>
      <c r="M49" s="2914"/>
      <c r="N49" s="2914"/>
      <c r="O49" s="2914"/>
      <c r="P49" s="3568" t="str">
        <f>A49</f>
        <v>比较价值（元/平方米）</v>
      </c>
      <c r="Q49" s="3557"/>
      <c r="R49" s="3558" t="e">
        <f>IF(F1="售价",ROUND(PRODUCT(R48,AA7:AA47),0),ROUND(PRODUCT(R48,AA7:AA47),1))</f>
        <v>#DIV/0!</v>
      </c>
      <c r="S49" s="3558"/>
      <c r="T49" s="3558" t="e">
        <f>IF(F1="售价",ROUND(PRODUCT(T48,AB7:AB47),0),ROUND(PRODUCT(T48,AB7:AB47),1))</f>
        <v>#DIV/0!</v>
      </c>
      <c r="U49" s="3558"/>
      <c r="V49" s="3558" t="e">
        <f>IF(F1="售价",ROUND(PRODUCT(V48,AC7:AC47),0),ROUND(PRODUCT(V48,AC7:AC47),1))</f>
        <v>#DIV/0!</v>
      </c>
      <c r="W49" s="3558"/>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2"/>
      <c r="M50" s="2914"/>
      <c r="N50" s="2914"/>
      <c r="O50" s="2914"/>
      <c r="P50" s="3600" t="str">
        <f>A50</f>
        <v>估价对象XX用房的比较价值（楼面单价，元/平方米）</v>
      </c>
      <c r="Q50" s="3601"/>
      <c r="R50" s="3602" t="e">
        <f>IF(F1="售价",ROUND(IF(D49="简单平均",AVERAGE(R49:V49),R49*F49+T49*H49+V49*J49),0),ROUND(IF(D49="简单平均",AVERAGE(R49:V49),R49*F49+T49*H49+V49*J49),1))</f>
        <v>#DIV/0!</v>
      </c>
      <c r="S50" s="3602"/>
      <c r="T50" s="3602"/>
      <c r="U50" s="3602"/>
      <c r="V50" s="3602"/>
      <c r="W50" s="3602"/>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2309</v>
      </c>
      <c r="B59" s="463"/>
      <c r="C59" s="1317" t="str">
        <f>YEAR(C7)&amp;"-"&amp;MONTH(C7)</f>
        <v>2022-1</v>
      </c>
      <c r="D59" s="1318">
        <f>EDATE(C59,-1)</f>
        <v>44531</v>
      </c>
      <c r="E59" s="1318">
        <f>EDATE(D59,-1)</f>
        <v>44501</v>
      </c>
      <c r="F59" s="1318">
        <f t="shared" ref="F59:O59" si="16">EDATE(E59,-1)</f>
        <v>44470</v>
      </c>
      <c r="G59" s="1318">
        <f t="shared" si="16"/>
        <v>44440</v>
      </c>
      <c r="H59" s="1318">
        <f t="shared" si="16"/>
        <v>44409</v>
      </c>
      <c r="I59" s="1318">
        <f t="shared" si="16"/>
        <v>44378</v>
      </c>
      <c r="J59" s="1318">
        <f t="shared" si="16"/>
        <v>44348</v>
      </c>
      <c r="K59" s="1318">
        <f t="shared" si="16"/>
        <v>44317</v>
      </c>
      <c r="L59" s="1318">
        <f t="shared" si="16"/>
        <v>44287</v>
      </c>
      <c r="M59" s="1318">
        <f t="shared" si="16"/>
        <v>44256</v>
      </c>
      <c r="N59" s="1318">
        <f t="shared" si="16"/>
        <v>44228</v>
      </c>
      <c r="O59" s="1318">
        <f t="shared" si="16"/>
        <v>44197</v>
      </c>
      <c r="P59" s="2957"/>
      <c r="Q59" s="2939"/>
      <c r="R59" s="2939"/>
      <c r="S59" s="2939"/>
      <c r="T59" s="2939"/>
      <c r="U59" s="2939"/>
      <c r="V59" s="2939"/>
      <c r="W59" s="2939"/>
      <c r="X59" s="2939"/>
      <c r="Y59" s="2939"/>
      <c r="Z59" s="2939"/>
      <c r="AA59" s="2939"/>
      <c r="AB59" s="2939"/>
      <c r="AC59" s="2939"/>
    </row>
    <row r="60" spans="1:29" s="113" customFormat="1" ht="15">
      <c r="A60" s="466"/>
      <c r="B60" s="467"/>
      <c r="C60" s="1316">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101504.34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572" t="s">
        <v>2407</v>
      </c>
      <c r="D4" s="3573"/>
      <c r="E4" s="3574" t="s">
        <v>2408</v>
      </c>
      <c r="F4" s="3575"/>
      <c r="G4" s="3572" t="s">
        <v>2409</v>
      </c>
      <c r="H4" s="3573"/>
      <c r="I4" s="3572" t="s">
        <v>2410</v>
      </c>
      <c r="J4" s="3573"/>
      <c r="K4" s="567" t="s">
        <v>2411</v>
      </c>
      <c r="L4" s="1044"/>
      <c r="M4" s="1045"/>
      <c r="N4" s="1045"/>
      <c r="O4" s="1045"/>
      <c r="P4" s="3576" t="s">
        <v>2412</v>
      </c>
      <c r="Q4" s="3577"/>
      <c r="R4" s="3582" t="s">
        <v>2408</v>
      </c>
      <c r="S4" s="3583"/>
      <c r="T4" s="3582" t="s">
        <v>2409</v>
      </c>
      <c r="U4" s="3583"/>
      <c r="V4" s="3588" t="s">
        <v>2410</v>
      </c>
      <c r="W4" s="3588"/>
      <c r="X4" s="1508"/>
      <c r="Y4" s="3582" t="s">
        <v>2412</v>
      </c>
      <c r="Z4" s="3583"/>
      <c r="AA4" s="3569" t="s">
        <v>2408</v>
      </c>
      <c r="AB4" s="3570" t="s">
        <v>2409</v>
      </c>
      <c r="AC4" s="3569" t="s">
        <v>2410</v>
      </c>
    </row>
    <row r="5" spans="1:29" ht="15">
      <c r="A5" s="364"/>
      <c r="B5" s="365"/>
      <c r="C5" s="3591" t="s">
        <v>2303</v>
      </c>
      <c r="D5" s="3592"/>
      <c r="E5" s="3598" t="s">
        <v>2304</v>
      </c>
      <c r="F5" s="3599"/>
      <c r="G5" s="3591" t="s">
        <v>2305</v>
      </c>
      <c r="H5" s="3592"/>
      <c r="I5" s="3591" t="s">
        <v>2306</v>
      </c>
      <c r="J5" s="3592"/>
      <c r="K5" s="567"/>
      <c r="L5" s="1044"/>
      <c r="M5" s="1045"/>
      <c r="N5" s="1045"/>
      <c r="O5" s="1045"/>
      <c r="P5" s="3578"/>
      <c r="Q5" s="3579"/>
      <c r="R5" s="3584"/>
      <c r="S5" s="3585"/>
      <c r="T5" s="3584"/>
      <c r="U5" s="3585"/>
      <c r="V5" s="3588"/>
      <c r="W5" s="3588"/>
      <c r="X5" s="1508"/>
      <c r="Y5" s="3584"/>
      <c r="Z5" s="3585"/>
      <c r="AA5" s="3570"/>
      <c r="AB5" s="3570"/>
      <c r="AC5" s="3570"/>
    </row>
    <row r="6" spans="1:29" ht="15.75" thickBot="1">
      <c r="A6" s="366"/>
      <c r="B6" s="367"/>
      <c r="C6" s="3589" t="s">
        <v>2307</v>
      </c>
      <c r="D6" s="3590"/>
      <c r="E6" s="3596" t="s">
        <v>2307</v>
      </c>
      <c r="F6" s="3597"/>
      <c r="G6" s="3589" t="s">
        <v>2307</v>
      </c>
      <c r="H6" s="3590"/>
      <c r="I6" s="3589" t="s">
        <v>2307</v>
      </c>
      <c r="J6" s="3590"/>
      <c r="K6" s="567" t="s">
        <v>2308</v>
      </c>
      <c r="L6" s="1044"/>
      <c r="M6" s="1045"/>
      <c r="N6" s="1045"/>
      <c r="O6" s="1045"/>
      <c r="P6" s="3580"/>
      <c r="Q6" s="3581"/>
      <c r="R6" s="3584"/>
      <c r="S6" s="3585"/>
      <c r="T6" s="3586"/>
      <c r="U6" s="3587"/>
      <c r="V6" s="3588"/>
      <c r="W6" s="3588"/>
      <c r="X6" s="1508"/>
      <c r="Y6" s="3586"/>
      <c r="Z6" s="3587"/>
      <c r="AA6" s="3571"/>
      <c r="AB6" s="3571"/>
      <c r="AC6" s="3571"/>
    </row>
    <row r="7" spans="1:29" s="113" customFormat="1" ht="15.75" thickBot="1">
      <c r="A7" s="368" t="s">
        <v>2309</v>
      </c>
      <c r="B7" s="369"/>
      <c r="C7" s="370">
        <f>'数据-取费表'!B2</f>
        <v>44567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93" t="s">
        <v>2310</v>
      </c>
      <c r="Q7" s="3595"/>
      <c r="R7" s="710" t="s">
        <v>17</v>
      </c>
      <c r="S7" s="711">
        <f t="shared" ref="S7:S15" si="0">F7</f>
        <v>0</v>
      </c>
      <c r="T7" s="710" t="s">
        <v>17</v>
      </c>
      <c r="U7" s="711">
        <f t="shared" ref="U7:U15" si="1">H7</f>
        <v>0</v>
      </c>
      <c r="V7" s="710" t="s">
        <v>17</v>
      </c>
      <c r="W7" s="711">
        <f t="shared" ref="W7:W15" si="2">J7</f>
        <v>0</v>
      </c>
      <c r="X7" s="712"/>
      <c r="Y7" s="3593" t="s">
        <v>2310</v>
      </c>
      <c r="Z7" s="3594"/>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93" t="s">
        <v>2313</v>
      </c>
      <c r="Q8" s="3594"/>
      <c r="R8" s="710" t="s">
        <v>17</v>
      </c>
      <c r="S8" s="711">
        <f t="shared" si="0"/>
        <v>0</v>
      </c>
      <c r="T8" s="710" t="s">
        <v>17</v>
      </c>
      <c r="U8" s="711">
        <f t="shared" si="1"/>
        <v>0</v>
      </c>
      <c r="V8" s="710" t="s">
        <v>17</v>
      </c>
      <c r="W8" s="711">
        <f t="shared" si="2"/>
        <v>0</v>
      </c>
      <c r="X8" s="712"/>
      <c r="Y8" s="3593" t="s">
        <v>2313</v>
      </c>
      <c r="Z8" s="3594"/>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57" t="s">
        <v>2316</v>
      </c>
      <c r="Q9" s="1496" t="str">
        <f t="shared" ref="Q9:Q15" si="6">B9</f>
        <v>用途</v>
      </c>
      <c r="R9" s="710" t="s">
        <v>17</v>
      </c>
      <c r="S9" s="711">
        <f t="shared" si="0"/>
        <v>100</v>
      </c>
      <c r="T9" s="710" t="s">
        <v>17</v>
      </c>
      <c r="U9" s="711">
        <f t="shared" si="1"/>
        <v>100</v>
      </c>
      <c r="V9" s="710" t="s">
        <v>17</v>
      </c>
      <c r="W9" s="711">
        <f t="shared" si="2"/>
        <v>100</v>
      </c>
      <c r="X9" s="712"/>
      <c r="Y9" s="3429"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57"/>
      <c r="Q10" s="1496" t="str">
        <f t="shared" si="6"/>
        <v>土地使用年限（年）</v>
      </c>
      <c r="R10" s="710" t="s">
        <v>17</v>
      </c>
      <c r="S10" s="711">
        <f t="shared" si="0"/>
        <v>100</v>
      </c>
      <c r="T10" s="710" t="s">
        <v>17</v>
      </c>
      <c r="U10" s="711">
        <f t="shared" si="1"/>
        <v>100</v>
      </c>
      <c r="V10" s="710" t="s">
        <v>17</v>
      </c>
      <c r="W10" s="711">
        <f t="shared" si="2"/>
        <v>100</v>
      </c>
      <c r="X10" s="712"/>
      <c r="Y10" s="3429"/>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57"/>
      <c r="Q11" s="1496" t="str">
        <f t="shared" si="6"/>
        <v>容积率</v>
      </c>
      <c r="R11" s="710" t="s">
        <v>17</v>
      </c>
      <c r="S11" s="711" t="e">
        <f t="shared" si="0"/>
        <v>#N/A</v>
      </c>
      <c r="T11" s="710" t="s">
        <v>17</v>
      </c>
      <c r="U11" s="711" t="e">
        <f t="shared" si="1"/>
        <v>#N/A</v>
      </c>
      <c r="V11" s="710" t="s">
        <v>17</v>
      </c>
      <c r="W11" s="711" t="e">
        <f t="shared" si="2"/>
        <v>#N/A</v>
      </c>
      <c r="X11" s="712"/>
      <c r="Y11" s="3429"/>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557"/>
      <c r="Q12" s="1496">
        <f t="shared" si="6"/>
        <v>111</v>
      </c>
      <c r="R12" s="710" t="s">
        <v>17</v>
      </c>
      <c r="S12" s="711">
        <f t="shared" si="0"/>
        <v>100</v>
      </c>
      <c r="T12" s="710" t="s">
        <v>17</v>
      </c>
      <c r="U12" s="711">
        <f t="shared" si="1"/>
        <v>100</v>
      </c>
      <c r="V12" s="710" t="s">
        <v>17</v>
      </c>
      <c r="W12" s="711">
        <f t="shared" si="2"/>
        <v>100</v>
      </c>
      <c r="X12" s="712"/>
      <c r="Y12" s="3429"/>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557"/>
      <c r="Q13" s="1496">
        <f t="shared" si="6"/>
        <v>111</v>
      </c>
      <c r="R13" s="710" t="s">
        <v>17</v>
      </c>
      <c r="S13" s="711">
        <f t="shared" si="0"/>
        <v>100</v>
      </c>
      <c r="T13" s="710" t="s">
        <v>17</v>
      </c>
      <c r="U13" s="711">
        <f t="shared" si="1"/>
        <v>100</v>
      </c>
      <c r="V13" s="710" t="s">
        <v>17</v>
      </c>
      <c r="W13" s="711">
        <f t="shared" si="2"/>
        <v>100</v>
      </c>
      <c r="X13" s="712"/>
      <c r="Y13" s="3429"/>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557"/>
      <c r="Q14" s="1496">
        <f t="shared" si="6"/>
        <v>111</v>
      </c>
      <c r="R14" s="710" t="s">
        <v>17</v>
      </c>
      <c r="S14" s="711">
        <f t="shared" si="0"/>
        <v>100</v>
      </c>
      <c r="T14" s="710" t="s">
        <v>17</v>
      </c>
      <c r="U14" s="711">
        <f t="shared" si="1"/>
        <v>100</v>
      </c>
      <c r="V14" s="710" t="s">
        <v>17</v>
      </c>
      <c r="W14" s="711">
        <f t="shared" si="2"/>
        <v>100</v>
      </c>
      <c r="X14" s="712"/>
      <c r="Y14" s="3429"/>
      <c r="Z14" s="55">
        <f t="shared" si="7"/>
        <v>111</v>
      </c>
      <c r="AA14" s="713">
        <f t="shared" si="3"/>
        <v>1</v>
      </c>
      <c r="AB14" s="713">
        <f t="shared" si="4"/>
        <v>1</v>
      </c>
      <c r="AC14" s="713">
        <f t="shared" si="5"/>
        <v>1</v>
      </c>
    </row>
    <row r="15" spans="1:29" ht="57">
      <c r="A15" s="399" t="s">
        <v>2320</v>
      </c>
      <c r="B15" s="65" t="s">
        <v>2464</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59" t="s">
        <v>2321</v>
      </c>
      <c r="Q15" s="1505" t="str">
        <f t="shared" si="6"/>
        <v>产业集聚程度</v>
      </c>
      <c r="R15" s="714" t="s">
        <v>17</v>
      </c>
      <c r="S15" s="715">
        <f t="shared" si="0"/>
        <v>100</v>
      </c>
      <c r="T15" s="714" t="s">
        <v>17</v>
      </c>
      <c r="U15" s="715">
        <f t="shared" si="1"/>
        <v>100</v>
      </c>
      <c r="V15" s="714" t="s">
        <v>17</v>
      </c>
      <c r="W15" s="715">
        <f t="shared" si="2"/>
        <v>100</v>
      </c>
      <c r="X15" s="1508"/>
      <c r="Y15" s="3559" t="s">
        <v>2321</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560"/>
      <c r="Q16" s="1505"/>
      <c r="R16" s="714"/>
      <c r="S16" s="715"/>
      <c r="T16" s="714"/>
      <c r="U16" s="715"/>
      <c r="V16" s="714"/>
      <c r="W16" s="715"/>
      <c r="X16" s="1508"/>
      <c r="Y16" s="3560"/>
      <c r="Z16" s="1509"/>
      <c r="AA16" s="1506">
        <v>1</v>
      </c>
      <c r="AB16" s="1506">
        <v>1</v>
      </c>
      <c r="AC16" s="1506">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60"/>
      <c r="Q17" s="1505" t="str">
        <f>B17</f>
        <v>交通便捷度</v>
      </c>
      <c r="R17" s="714" t="s">
        <v>17</v>
      </c>
      <c r="S17" s="715">
        <f>F17</f>
        <v>100</v>
      </c>
      <c r="T17" s="714" t="s">
        <v>17</v>
      </c>
      <c r="U17" s="715">
        <f>H17</f>
        <v>100</v>
      </c>
      <c r="V17" s="714" t="s">
        <v>17</v>
      </c>
      <c r="W17" s="715">
        <f>J17</f>
        <v>100</v>
      </c>
      <c r="X17" s="1508"/>
      <c r="Y17" s="3560"/>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560"/>
      <c r="Q18" s="1505"/>
      <c r="R18" s="714"/>
      <c r="S18" s="715"/>
      <c r="T18" s="714"/>
      <c r="U18" s="715"/>
      <c r="V18" s="714"/>
      <c r="W18" s="715"/>
      <c r="X18" s="1508"/>
      <c r="Y18" s="3560"/>
      <c r="Z18" s="1509"/>
      <c r="AA18" s="1506">
        <v>1</v>
      </c>
      <c r="AB18" s="1506">
        <v>1</v>
      </c>
      <c r="AC18" s="1506">
        <v>1</v>
      </c>
    </row>
    <row r="19" spans="1:29" ht="42.75">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60"/>
      <c r="Q19" s="1505" t="str">
        <f>B19</f>
        <v>公共配套设施</v>
      </c>
      <c r="R19" s="714" t="s">
        <v>17</v>
      </c>
      <c r="S19" s="715">
        <f>F19</f>
        <v>100</v>
      </c>
      <c r="T19" s="714" t="s">
        <v>17</v>
      </c>
      <c r="U19" s="715">
        <f>H19</f>
        <v>100</v>
      </c>
      <c r="V19" s="714" t="s">
        <v>17</v>
      </c>
      <c r="W19" s="715">
        <f>J19</f>
        <v>100</v>
      </c>
      <c r="X19" s="1508"/>
      <c r="Y19" s="3560"/>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560"/>
      <c r="Q20" s="1505"/>
      <c r="R20" s="714"/>
      <c r="S20" s="715"/>
      <c r="T20" s="714"/>
      <c r="U20" s="715"/>
      <c r="V20" s="714"/>
      <c r="W20" s="715"/>
      <c r="X20" s="1508"/>
      <c r="Y20" s="3560"/>
      <c r="Z20" s="1509"/>
      <c r="AA20" s="1506">
        <v>1</v>
      </c>
      <c r="AB20" s="1506">
        <v>1</v>
      </c>
      <c r="AC20" s="1506">
        <v>1</v>
      </c>
    </row>
    <row r="21" spans="1:29" ht="28.5">
      <c r="A21" s="387"/>
      <c r="B21" s="1265"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60"/>
      <c r="Q21" s="1505" t="str">
        <f>B21</f>
        <v>基础设施水平</v>
      </c>
      <c r="R21" s="714" t="s">
        <v>17</v>
      </c>
      <c r="S21" s="715">
        <f>F21</f>
        <v>100</v>
      </c>
      <c r="T21" s="714" t="s">
        <v>17</v>
      </c>
      <c r="U21" s="715">
        <f>H21</f>
        <v>100</v>
      </c>
      <c r="V21" s="714" t="s">
        <v>17</v>
      </c>
      <c r="W21" s="715">
        <f>J21</f>
        <v>100</v>
      </c>
      <c r="X21" s="1508"/>
      <c r="Y21" s="3560"/>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560"/>
      <c r="Q22" s="1505"/>
      <c r="R22" s="714"/>
      <c r="S22" s="715"/>
      <c r="T22" s="714"/>
      <c r="U22" s="715"/>
      <c r="V22" s="714"/>
      <c r="W22" s="715"/>
      <c r="X22" s="1508"/>
      <c r="Y22" s="3560"/>
      <c r="Z22" s="1509"/>
      <c r="AA22" s="1506">
        <v>1</v>
      </c>
      <c r="AB22" s="1506">
        <v>1</v>
      </c>
      <c r="AC22" s="1506">
        <v>1</v>
      </c>
    </row>
    <row r="23" spans="1:29" ht="71.25">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60"/>
      <c r="Q23" s="1505" t="str">
        <f>B23</f>
        <v>环境质量</v>
      </c>
      <c r="R23" s="714" t="s">
        <v>17</v>
      </c>
      <c r="S23" s="715">
        <f>F23</f>
        <v>100</v>
      </c>
      <c r="T23" s="714" t="s">
        <v>17</v>
      </c>
      <c r="U23" s="715">
        <f>H23</f>
        <v>100</v>
      </c>
      <c r="V23" s="714" t="s">
        <v>17</v>
      </c>
      <c r="W23" s="715">
        <f>J23</f>
        <v>100</v>
      </c>
      <c r="X23" s="1508"/>
      <c r="Y23" s="3560"/>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560"/>
      <c r="Q24" s="1505"/>
      <c r="R24" s="714"/>
      <c r="S24" s="715"/>
      <c r="T24" s="714"/>
      <c r="U24" s="715"/>
      <c r="V24" s="714"/>
      <c r="W24" s="715"/>
      <c r="X24" s="1508"/>
      <c r="Y24" s="3560"/>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60"/>
      <c r="Q25" s="1505">
        <f>B25</f>
        <v>111</v>
      </c>
      <c r="R25" s="714" t="s">
        <v>17</v>
      </c>
      <c r="S25" s="715">
        <f>F25</f>
        <v>100</v>
      </c>
      <c r="T25" s="714" t="s">
        <v>17</v>
      </c>
      <c r="U25" s="715">
        <f>H25</f>
        <v>100</v>
      </c>
      <c r="V25" s="714" t="s">
        <v>17</v>
      </c>
      <c r="W25" s="715">
        <f>J25</f>
        <v>100</v>
      </c>
      <c r="X25" s="1508"/>
      <c r="Y25" s="3560"/>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60"/>
      <c r="Q26" s="1505">
        <f t="shared" ref="Q26:Q40" si="11">B26</f>
        <v>111</v>
      </c>
      <c r="R26" s="714" t="s">
        <v>17</v>
      </c>
      <c r="S26" s="715">
        <f>F26</f>
        <v>100</v>
      </c>
      <c r="T26" s="714" t="s">
        <v>17</v>
      </c>
      <c r="U26" s="715">
        <f>H26</f>
        <v>100</v>
      </c>
      <c r="V26" s="714" t="s">
        <v>17</v>
      </c>
      <c r="W26" s="715">
        <f>J26</f>
        <v>100</v>
      </c>
      <c r="X26" s="1508"/>
      <c r="Y26" s="3560"/>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60"/>
      <c r="Q27" s="1496">
        <f t="shared" si="11"/>
        <v>111</v>
      </c>
      <c r="R27" s="710" t="s">
        <v>17</v>
      </c>
      <c r="S27" s="711">
        <f>F27</f>
        <v>100</v>
      </c>
      <c r="T27" s="710" t="s">
        <v>17</v>
      </c>
      <c r="U27" s="711">
        <f>H27</f>
        <v>100</v>
      </c>
      <c r="V27" s="710" t="s">
        <v>17</v>
      </c>
      <c r="W27" s="711">
        <f>J27</f>
        <v>100</v>
      </c>
      <c r="X27" s="712"/>
      <c r="Y27" s="3560"/>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60"/>
      <c r="Q28" s="1505">
        <f t="shared" si="11"/>
        <v>111</v>
      </c>
      <c r="R28" s="714" t="s">
        <v>17</v>
      </c>
      <c r="S28" s="715">
        <f t="shared" ref="S28:S40" si="12">F28</f>
        <v>100</v>
      </c>
      <c r="T28" s="714" t="s">
        <v>17</v>
      </c>
      <c r="U28" s="715">
        <f t="shared" ref="U28:U40" si="13">H28</f>
        <v>100</v>
      </c>
      <c r="V28" s="714" t="s">
        <v>17</v>
      </c>
      <c r="W28" s="715">
        <f t="shared" ref="W28:W40" si="14">J28</f>
        <v>100</v>
      </c>
      <c r="X28" s="1508"/>
      <c r="Y28" s="3560"/>
      <c r="Z28" s="1509">
        <f t="shared" ref="Z28:Z40" si="15">Q28</f>
        <v>111</v>
      </c>
      <c r="AA28" s="1506">
        <f t="shared" si="3"/>
        <v>1</v>
      </c>
      <c r="AB28" s="1506">
        <f t="shared" si="4"/>
        <v>1</v>
      </c>
      <c r="AC28" s="1506">
        <f t="shared" si="5"/>
        <v>1</v>
      </c>
    </row>
    <row r="29" spans="1:29" ht="28.5">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615" t="s">
        <v>2326</v>
      </c>
      <c r="Q29" s="1505" t="str">
        <f t="shared" si="11"/>
        <v>建筑类型</v>
      </c>
      <c r="R29" s="714" t="s">
        <v>17</v>
      </c>
      <c r="S29" s="715">
        <f t="shared" si="12"/>
        <v>100</v>
      </c>
      <c r="T29" s="714" t="s">
        <v>17</v>
      </c>
      <c r="U29" s="715">
        <f t="shared" si="13"/>
        <v>100</v>
      </c>
      <c r="V29" s="714" t="s">
        <v>17</v>
      </c>
      <c r="W29" s="715">
        <f t="shared" si="14"/>
        <v>100</v>
      </c>
      <c r="X29" s="1508"/>
      <c r="Y29" s="3564" t="s">
        <v>2326</v>
      </c>
      <c r="Z29" s="1509" t="str">
        <f t="shared" si="15"/>
        <v>建筑类型</v>
      </c>
      <c r="AA29" s="1506">
        <f t="shared" si="3"/>
        <v>1</v>
      </c>
      <c r="AB29" s="1506">
        <f t="shared" si="4"/>
        <v>1</v>
      </c>
      <c r="AC29" s="1506">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64"/>
      <c r="Q30" s="716" t="str">
        <f t="shared" si="11"/>
        <v>项目建筑规模</v>
      </c>
      <c r="R30" s="717" t="s">
        <v>17</v>
      </c>
      <c r="S30" s="718" t="e">
        <f t="shared" si="12"/>
        <v>#N/A</v>
      </c>
      <c r="T30" s="717" t="s">
        <v>17</v>
      </c>
      <c r="U30" s="718" t="e">
        <f t="shared" si="13"/>
        <v>#N/A</v>
      </c>
      <c r="V30" s="717" t="s">
        <v>17</v>
      </c>
      <c r="W30" s="718" t="e">
        <f t="shared" si="14"/>
        <v>#N/A</v>
      </c>
      <c r="X30" s="719"/>
      <c r="Y30" s="3564"/>
      <c r="Z30" s="720" t="str">
        <f t="shared" si="15"/>
        <v>项目建筑规模</v>
      </c>
      <c r="AA30" s="1506" t="e">
        <f t="shared" si="3"/>
        <v>#N/A</v>
      </c>
      <c r="AB30" s="1506" t="e">
        <f t="shared" si="4"/>
        <v>#N/A</v>
      </c>
      <c r="AC30" s="1506"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64"/>
      <c r="Q31" s="1505" t="str">
        <f t="shared" si="11"/>
        <v>建筑结构</v>
      </c>
      <c r="R31" s="714" t="s">
        <v>17</v>
      </c>
      <c r="S31" s="715">
        <f t="shared" si="12"/>
        <v>100</v>
      </c>
      <c r="T31" s="714" t="s">
        <v>17</v>
      </c>
      <c r="U31" s="715">
        <f t="shared" si="13"/>
        <v>100</v>
      </c>
      <c r="V31" s="714" t="s">
        <v>17</v>
      </c>
      <c r="W31" s="715">
        <f t="shared" si="14"/>
        <v>100</v>
      </c>
      <c r="X31" s="1508"/>
      <c r="Y31" s="3564"/>
      <c r="Z31" s="1509" t="str">
        <f t="shared" si="15"/>
        <v>建筑结构</v>
      </c>
      <c r="AA31" s="1506">
        <f t="shared" si="3"/>
        <v>1</v>
      </c>
      <c r="AB31" s="1506">
        <f t="shared" si="4"/>
        <v>1</v>
      </c>
      <c r="AC31" s="1506">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64"/>
      <c r="Q32" s="1505" t="str">
        <f t="shared" si="11"/>
        <v>公共部分装修</v>
      </c>
      <c r="R32" s="714" t="s">
        <v>17</v>
      </c>
      <c r="S32" s="715">
        <f t="shared" si="12"/>
        <v>100</v>
      </c>
      <c r="T32" s="714" t="s">
        <v>17</v>
      </c>
      <c r="U32" s="715">
        <f t="shared" si="13"/>
        <v>100</v>
      </c>
      <c r="V32" s="714" t="s">
        <v>17</v>
      </c>
      <c r="W32" s="715">
        <f t="shared" si="14"/>
        <v>100</v>
      </c>
      <c r="X32" s="1508"/>
      <c r="Y32" s="3564"/>
      <c r="Z32" s="1509" t="str">
        <f t="shared" si="15"/>
        <v>公共部分装修</v>
      </c>
      <c r="AA32" s="1506">
        <f t="shared" si="3"/>
        <v>1</v>
      </c>
      <c r="AB32" s="1506">
        <f t="shared" si="4"/>
        <v>1</v>
      </c>
      <c r="AC32" s="1506">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64"/>
      <c r="Q33" s="1505" t="str">
        <f t="shared" si="11"/>
        <v>成新度</v>
      </c>
      <c r="R33" s="714" t="s">
        <v>17</v>
      </c>
      <c r="S33" s="715" t="e">
        <f t="shared" si="12"/>
        <v>#N/A</v>
      </c>
      <c r="T33" s="714" t="s">
        <v>17</v>
      </c>
      <c r="U33" s="715" t="e">
        <f t="shared" si="13"/>
        <v>#N/A</v>
      </c>
      <c r="V33" s="714" t="s">
        <v>17</v>
      </c>
      <c r="W33" s="715" t="e">
        <f t="shared" si="14"/>
        <v>#N/A</v>
      </c>
      <c r="X33" s="1508"/>
      <c r="Y33" s="3564"/>
      <c r="Z33" s="1509" t="str">
        <f t="shared" si="15"/>
        <v>成新度</v>
      </c>
      <c r="AA33" s="1506" t="e">
        <f t="shared" si="3"/>
        <v>#N/A</v>
      </c>
      <c r="AB33" s="1506" t="e">
        <f t="shared" si="4"/>
        <v>#N/A</v>
      </c>
      <c r="AC33" s="1506"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64"/>
      <c r="Q34" s="1496" t="str">
        <f t="shared" si="11"/>
        <v>物业管理</v>
      </c>
      <c r="R34" s="710" t="s">
        <v>17</v>
      </c>
      <c r="S34" s="711">
        <f t="shared" si="12"/>
        <v>100</v>
      </c>
      <c r="T34" s="710" t="s">
        <v>17</v>
      </c>
      <c r="U34" s="711">
        <f t="shared" si="13"/>
        <v>100</v>
      </c>
      <c r="V34" s="710" t="s">
        <v>17</v>
      </c>
      <c r="W34" s="711">
        <f t="shared" si="14"/>
        <v>100</v>
      </c>
      <c r="X34" s="712"/>
      <c r="Y34" s="3564"/>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64" t="s">
        <v>2326</v>
      </c>
      <c r="Q35" s="1505" t="str">
        <f t="shared" si="11"/>
        <v>市政基础设施</v>
      </c>
      <c r="R35" s="714" t="s">
        <v>17</v>
      </c>
      <c r="S35" s="715">
        <f t="shared" si="12"/>
        <v>100</v>
      </c>
      <c r="T35" s="714" t="s">
        <v>17</v>
      </c>
      <c r="U35" s="715">
        <f t="shared" si="13"/>
        <v>100</v>
      </c>
      <c r="V35" s="714" t="s">
        <v>17</v>
      </c>
      <c r="W35" s="715">
        <f t="shared" si="14"/>
        <v>100</v>
      </c>
      <c r="X35" s="1508"/>
      <c r="Y35" s="3564" t="s">
        <v>2326</v>
      </c>
      <c r="Z35" s="1509" t="str">
        <f t="shared" si="15"/>
        <v>市政基础设施</v>
      </c>
      <c r="AA35" s="1506">
        <f t="shared" si="3"/>
        <v>1</v>
      </c>
      <c r="AB35" s="1506">
        <f t="shared" si="4"/>
        <v>1</v>
      </c>
      <c r="AC35" s="1506">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64"/>
      <c r="Q36" s="1505" t="str">
        <f t="shared" si="11"/>
        <v>内部装修</v>
      </c>
      <c r="R36" s="714" t="s">
        <v>17</v>
      </c>
      <c r="S36" s="715">
        <f t="shared" si="12"/>
        <v>100</v>
      </c>
      <c r="T36" s="714" t="s">
        <v>17</v>
      </c>
      <c r="U36" s="715">
        <f t="shared" si="13"/>
        <v>100</v>
      </c>
      <c r="V36" s="714" t="s">
        <v>17</v>
      </c>
      <c r="W36" s="715">
        <f t="shared" si="14"/>
        <v>100</v>
      </c>
      <c r="X36" s="1508"/>
      <c r="Y36" s="3564"/>
      <c r="Z36" s="1509" t="str">
        <f t="shared" si="15"/>
        <v>内部装修</v>
      </c>
      <c r="AA36" s="1506">
        <f t="shared" si="3"/>
        <v>1</v>
      </c>
      <c r="AB36" s="1506">
        <f t="shared" si="4"/>
        <v>1</v>
      </c>
      <c r="AC36" s="1506">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64"/>
      <c r="Q37" s="1505" t="str">
        <f t="shared" si="11"/>
        <v>内部装修状况</v>
      </c>
      <c r="R37" s="714" t="s">
        <v>17</v>
      </c>
      <c r="S37" s="715">
        <f t="shared" si="12"/>
        <v>100</v>
      </c>
      <c r="T37" s="714" t="s">
        <v>17</v>
      </c>
      <c r="U37" s="715">
        <f t="shared" si="13"/>
        <v>100</v>
      </c>
      <c r="V37" s="714" t="s">
        <v>17</v>
      </c>
      <c r="W37" s="715">
        <f t="shared" si="14"/>
        <v>100</v>
      </c>
      <c r="X37" s="1508"/>
      <c r="Y37" s="3564"/>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64"/>
      <c r="Q38" s="716">
        <f t="shared" si="11"/>
        <v>111</v>
      </c>
      <c r="R38" s="717" t="s">
        <v>17</v>
      </c>
      <c r="S38" s="718">
        <f t="shared" si="12"/>
        <v>100</v>
      </c>
      <c r="T38" s="717" t="s">
        <v>17</v>
      </c>
      <c r="U38" s="718">
        <f t="shared" si="13"/>
        <v>100</v>
      </c>
      <c r="V38" s="717" t="s">
        <v>17</v>
      </c>
      <c r="W38" s="718">
        <f t="shared" si="14"/>
        <v>100</v>
      </c>
      <c r="X38" s="719"/>
      <c r="Y38" s="3564"/>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64"/>
      <c r="Q39" s="1505">
        <f t="shared" si="11"/>
        <v>111</v>
      </c>
      <c r="R39" s="714" t="s">
        <v>17</v>
      </c>
      <c r="S39" s="715">
        <f t="shared" si="12"/>
        <v>100</v>
      </c>
      <c r="T39" s="714" t="s">
        <v>17</v>
      </c>
      <c r="U39" s="715">
        <f t="shared" si="13"/>
        <v>100</v>
      </c>
      <c r="V39" s="714" t="s">
        <v>17</v>
      </c>
      <c r="W39" s="715">
        <f t="shared" si="14"/>
        <v>100</v>
      </c>
      <c r="X39" s="1508"/>
      <c r="Y39" s="3564"/>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65"/>
      <c r="Q40" s="1505">
        <f t="shared" si="11"/>
        <v>111</v>
      </c>
      <c r="R40" s="714" t="s">
        <v>17</v>
      </c>
      <c r="S40" s="715">
        <f t="shared" si="12"/>
        <v>100</v>
      </c>
      <c r="T40" s="714" t="s">
        <v>17</v>
      </c>
      <c r="U40" s="715">
        <f t="shared" si="13"/>
        <v>100</v>
      </c>
      <c r="V40" s="714" t="s">
        <v>17</v>
      </c>
      <c r="W40" s="715">
        <f t="shared" si="14"/>
        <v>100</v>
      </c>
      <c r="X40" s="1508"/>
      <c r="Y40" s="3565"/>
      <c r="Z40" s="1509">
        <f t="shared" si="15"/>
        <v>111</v>
      </c>
      <c r="AA40" s="1506">
        <f t="shared" si="3"/>
        <v>1</v>
      </c>
      <c r="AB40" s="1506">
        <f t="shared" si="4"/>
        <v>1</v>
      </c>
      <c r="AC40" s="1506">
        <f t="shared" si="5"/>
        <v>1</v>
      </c>
    </row>
    <row r="41" spans="1:29" ht="15">
      <c r="A41" s="438" t="s">
        <v>2338</v>
      </c>
      <c r="B41" s="439"/>
      <c r="C41" s="1288" t="s">
        <v>1</v>
      </c>
      <c r="D41" s="1289"/>
      <c r="E41" s="1290"/>
      <c r="F41" s="1291"/>
      <c r="G41" s="1292"/>
      <c r="H41" s="1293"/>
      <c r="I41" s="1290"/>
      <c r="J41" s="1293"/>
      <c r="K41" s="723"/>
      <c r="L41" s="1057"/>
      <c r="M41" s="1058"/>
      <c r="N41" s="1045"/>
      <c r="O41" s="1058"/>
      <c r="P41" s="3557" t="str">
        <f>A41</f>
        <v>成交单价（元/平方米）</v>
      </c>
      <c r="Q41" s="3557"/>
      <c r="R41" s="3558">
        <f>E41</f>
        <v>0</v>
      </c>
      <c r="S41" s="3558"/>
      <c r="T41" s="3558">
        <f>G41</f>
        <v>0</v>
      </c>
      <c r="U41" s="3558"/>
      <c r="V41" s="3558">
        <f>I41</f>
        <v>0</v>
      </c>
      <c r="W41" s="3558"/>
      <c r="X41" s="699"/>
      <c r="Y41" s="721"/>
      <c r="Z41" s="699"/>
      <c r="AA41" s="699"/>
      <c r="AB41" s="699"/>
      <c r="AC41" s="699"/>
    </row>
    <row r="42" spans="1:29" ht="15.75" thickBot="1">
      <c r="A42" s="445" t="s">
        <v>2430</v>
      </c>
      <c r="B42" s="446"/>
      <c r="C42" s="1294" t="e">
        <f>R43</f>
        <v>#DIV/0!</v>
      </c>
      <c r="D42" s="2507" t="s">
        <v>2819</v>
      </c>
      <c r="E42" s="1295" t="e">
        <f>R42</f>
        <v>#DIV/0!</v>
      </c>
      <c r="F42" s="2508"/>
      <c r="G42" s="1294" t="e">
        <f>T42</f>
        <v>#DIV/0!</v>
      </c>
      <c r="H42" s="2508"/>
      <c r="I42" s="1295" t="e">
        <f>V42</f>
        <v>#DIV/0!</v>
      </c>
      <c r="J42" s="2508"/>
      <c r="K42" s="2510">
        <f>F42+H42+J42</f>
        <v>0</v>
      </c>
      <c r="L42" s="1057"/>
      <c r="M42" s="1058"/>
      <c r="N42" s="1045"/>
      <c r="O42" s="1058"/>
      <c r="P42" s="3557" t="str">
        <f>A42</f>
        <v>比较价值（元/平方米）</v>
      </c>
      <c r="Q42" s="3557"/>
      <c r="R42" s="3558" t="e">
        <f>IF(F1="售价",ROUND(PRODUCT(R41,AA7:AA40),0),ROUND(PRODUCT(R41,AA7:AA40),1))</f>
        <v>#DIV/0!</v>
      </c>
      <c r="S42" s="3558"/>
      <c r="T42" s="3558" t="e">
        <f>IF(F1="售价",ROUND(PRODUCT(T41,AB7:AB40),0),ROUND(PRODUCT(T41,AB7:AB40),1))</f>
        <v>#DIV/0!</v>
      </c>
      <c r="U42" s="3558"/>
      <c r="V42" s="3558" t="e">
        <f>IF(F1="售价",ROUND(PRODUCT(V41,AC7:AC40),0),ROUND(PRODUCT(V41,AC7:AC40),1))</f>
        <v>#DIV/0!</v>
      </c>
      <c r="W42" s="3558"/>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554" t="str">
        <f>A43</f>
        <v>估价对象XX用房的比较价值（楼面单价，元/平方米）</v>
      </c>
      <c r="Q43" s="3555"/>
      <c r="R43" s="3556" t="e">
        <f>IF(F1="售价",ROUND(IF(D42="简单平均",AVERAGE(R42:V42),R42*F42+T42*H42+V42*J42),0),ROUND(IF(D42="简单平均",AVERAGE(R42:V42),R42*F42+T42*H42+V42*J42),1))</f>
        <v>#DIV/0!</v>
      </c>
      <c r="S43" s="3556"/>
      <c r="T43" s="3556"/>
      <c r="U43" s="3556"/>
      <c r="V43" s="3556"/>
      <c r="W43" s="3556"/>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7" t="str">
        <f>YEAR(C7)&amp;"-"&amp;MONTH(C7)</f>
        <v>2022-1</v>
      </c>
      <c r="D52" s="1318">
        <f>EDATE(C52,-1)</f>
        <v>44531</v>
      </c>
      <c r="E52" s="1318">
        <f t="shared" ref="E52:O52" si="16">EDATE(D52,-1)</f>
        <v>44501</v>
      </c>
      <c r="F52" s="1318">
        <f t="shared" si="16"/>
        <v>44470</v>
      </c>
      <c r="G52" s="1318">
        <f t="shared" si="16"/>
        <v>44440</v>
      </c>
      <c r="H52" s="1318">
        <f t="shared" si="16"/>
        <v>44409</v>
      </c>
      <c r="I52" s="1318">
        <f t="shared" si="16"/>
        <v>44378</v>
      </c>
      <c r="J52" s="1318">
        <f t="shared" si="16"/>
        <v>44348</v>
      </c>
      <c r="K52" s="1318">
        <f t="shared" si="16"/>
        <v>44317</v>
      </c>
      <c r="L52" s="1318">
        <f t="shared" si="16"/>
        <v>44287</v>
      </c>
      <c r="M52" s="1318">
        <f t="shared" si="16"/>
        <v>44256</v>
      </c>
      <c r="N52" s="1318">
        <f t="shared" si="16"/>
        <v>44228</v>
      </c>
      <c r="O52" s="1318">
        <f t="shared" si="16"/>
        <v>44197</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8"/>
      <c r="O54" s="2969"/>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估价对象为北京市房地产，为所有。根据《国有土地使用证》[]，估价对象（分摊）出让国有建设用地使用权面积为25666.1平方米，建筑面积为101504.34平方米。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25666.1平方米，规划建筑面积为101504.34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2022年1月6日（评估专业人员实地查勘之日）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6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本次评估采用的主估价方法为成本法和收益法。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65"/>
      <c r="F1" s="2034"/>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2088</v>
      </c>
      <c r="B2" s="1298"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2406</v>
      </c>
      <c r="B4" s="362"/>
      <c r="C4" s="3572" t="s">
        <v>2407</v>
      </c>
      <c r="D4" s="3573"/>
      <c r="E4" s="3574" t="s">
        <v>2408</v>
      </c>
      <c r="F4" s="3575"/>
      <c r="G4" s="3572" t="s">
        <v>2409</v>
      </c>
      <c r="H4" s="3573"/>
      <c r="I4" s="3572" t="s">
        <v>2410</v>
      </c>
      <c r="J4" s="3573"/>
      <c r="K4" s="567" t="s">
        <v>2411</v>
      </c>
      <c r="L4" s="2913"/>
      <c r="M4" s="2914"/>
      <c r="N4" s="2914"/>
      <c r="O4" s="2914"/>
      <c r="P4" s="3576" t="s">
        <v>2412</v>
      </c>
      <c r="Q4" s="3577"/>
      <c r="R4" s="3582" t="s">
        <v>2408</v>
      </c>
      <c r="S4" s="3583"/>
      <c r="T4" s="3582" t="s">
        <v>2409</v>
      </c>
      <c r="U4" s="3583"/>
      <c r="V4" s="3588" t="s">
        <v>2410</v>
      </c>
      <c r="W4" s="3588"/>
      <c r="X4" s="1508"/>
      <c r="Y4" s="3582" t="s">
        <v>2412</v>
      </c>
      <c r="Z4" s="3583"/>
      <c r="AA4" s="3569" t="s">
        <v>2408</v>
      </c>
      <c r="AB4" s="3570" t="s">
        <v>2409</v>
      </c>
      <c r="AC4" s="3569" t="s">
        <v>2410</v>
      </c>
    </row>
    <row r="5" spans="1:29" ht="15">
      <c r="A5" s="364"/>
      <c r="B5" s="365"/>
      <c r="C5" s="3591" t="s">
        <v>2303</v>
      </c>
      <c r="D5" s="3592"/>
      <c r="E5" s="3598" t="s">
        <v>2304</v>
      </c>
      <c r="F5" s="3599"/>
      <c r="G5" s="3591" t="s">
        <v>2305</v>
      </c>
      <c r="H5" s="3592"/>
      <c r="I5" s="3591" t="s">
        <v>2306</v>
      </c>
      <c r="J5" s="3592"/>
      <c r="K5" s="567"/>
      <c r="L5" s="2913"/>
      <c r="M5" s="2914"/>
      <c r="N5" s="2914"/>
      <c r="O5" s="2914"/>
      <c r="P5" s="3578"/>
      <c r="Q5" s="3579"/>
      <c r="R5" s="3584"/>
      <c r="S5" s="3585"/>
      <c r="T5" s="3584"/>
      <c r="U5" s="3585"/>
      <c r="V5" s="3588"/>
      <c r="W5" s="3588"/>
      <c r="X5" s="1508"/>
      <c r="Y5" s="3584"/>
      <c r="Z5" s="3585"/>
      <c r="AA5" s="3570"/>
      <c r="AB5" s="3570"/>
      <c r="AC5" s="3570"/>
    </row>
    <row r="6" spans="1:29" ht="15.75" thickBot="1">
      <c r="A6" s="366"/>
      <c r="B6" s="367"/>
      <c r="C6" s="3589" t="s">
        <v>2307</v>
      </c>
      <c r="D6" s="3590"/>
      <c r="E6" s="3596" t="s">
        <v>2307</v>
      </c>
      <c r="F6" s="3597"/>
      <c r="G6" s="3589" t="s">
        <v>2307</v>
      </c>
      <c r="H6" s="3590"/>
      <c r="I6" s="3589" t="s">
        <v>2307</v>
      </c>
      <c r="J6" s="3590"/>
      <c r="K6" s="567" t="s">
        <v>2308</v>
      </c>
      <c r="L6" s="2913"/>
      <c r="M6" s="2914"/>
      <c r="N6" s="2914"/>
      <c r="O6" s="2914"/>
      <c r="P6" s="3580"/>
      <c r="Q6" s="3581"/>
      <c r="R6" s="3584"/>
      <c r="S6" s="3585"/>
      <c r="T6" s="3586"/>
      <c r="U6" s="3587"/>
      <c r="V6" s="3588"/>
      <c r="W6" s="3588"/>
      <c r="X6" s="1508"/>
      <c r="Y6" s="3586"/>
      <c r="Z6" s="3587"/>
      <c r="AA6" s="3571"/>
      <c r="AB6" s="3571"/>
      <c r="AC6" s="3571"/>
    </row>
    <row r="7" spans="1:29" s="113" customFormat="1" ht="15.75" thickBot="1">
      <c r="A7" s="368" t="s">
        <v>2309</v>
      </c>
      <c r="B7" s="369"/>
      <c r="C7" s="370">
        <f>'数据-取费表'!B2</f>
        <v>44567</v>
      </c>
      <c r="D7" s="371">
        <v>100</v>
      </c>
      <c r="E7" s="372"/>
      <c r="F7" s="373">
        <f>SUMIF(48:48,YEAR(E7)&amp;"-"&amp;MONTH(E7),49:49)</f>
        <v>0</v>
      </c>
      <c r="G7" s="372"/>
      <c r="H7" s="371">
        <f>SUMIF(48:48,YEAR(G7)&amp;"-"&amp;MONTH(G7),49:49)</f>
        <v>0</v>
      </c>
      <c r="I7" s="372"/>
      <c r="J7" s="371">
        <f>SUMIF(48:48,YEAR(I7)&amp;"-"&amp;MONTH(I7),49:49)</f>
        <v>0</v>
      </c>
      <c r="K7" s="568"/>
      <c r="L7" s="2915"/>
      <c r="M7" s="2916"/>
      <c r="N7" s="2916"/>
      <c r="O7" s="2916"/>
      <c r="P7" s="3593" t="s">
        <v>2310</v>
      </c>
      <c r="Q7" s="3595"/>
      <c r="R7" s="710" t="s">
        <v>17</v>
      </c>
      <c r="S7" s="711">
        <f t="shared" ref="S7:S14" si="0">F7</f>
        <v>0</v>
      </c>
      <c r="T7" s="710" t="s">
        <v>17</v>
      </c>
      <c r="U7" s="711">
        <f t="shared" ref="U7:U14" si="1">H7</f>
        <v>0</v>
      </c>
      <c r="V7" s="710" t="s">
        <v>17</v>
      </c>
      <c r="W7" s="711">
        <f t="shared" ref="W7:W14" si="2">J7</f>
        <v>0</v>
      </c>
      <c r="X7" s="712"/>
      <c r="Y7" s="3593" t="s">
        <v>2310</v>
      </c>
      <c r="Z7" s="3594"/>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593" t="s">
        <v>2313</v>
      </c>
      <c r="Q8" s="3594"/>
      <c r="R8" s="710" t="s">
        <v>17</v>
      </c>
      <c r="S8" s="711">
        <f t="shared" si="0"/>
        <v>0</v>
      </c>
      <c r="T8" s="710" t="s">
        <v>17</v>
      </c>
      <c r="U8" s="711">
        <f t="shared" si="1"/>
        <v>0</v>
      </c>
      <c r="V8" s="710" t="s">
        <v>17</v>
      </c>
      <c r="W8" s="711">
        <f t="shared" si="2"/>
        <v>0</v>
      </c>
      <c r="X8" s="712"/>
      <c r="Y8" s="3593" t="s">
        <v>2313</v>
      </c>
      <c r="Z8" s="3594"/>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557" t="s">
        <v>2316</v>
      </c>
      <c r="Q9" s="1496" t="str">
        <f t="shared" ref="Q9:Q14" si="6">B9</f>
        <v>用途</v>
      </c>
      <c r="R9" s="710" t="s">
        <v>17</v>
      </c>
      <c r="S9" s="711">
        <f t="shared" si="0"/>
        <v>100</v>
      </c>
      <c r="T9" s="710" t="s">
        <v>17</v>
      </c>
      <c r="U9" s="711">
        <f t="shared" si="1"/>
        <v>100</v>
      </c>
      <c r="V9" s="710" t="s">
        <v>17</v>
      </c>
      <c r="W9" s="711">
        <f t="shared" si="2"/>
        <v>100</v>
      </c>
      <c r="X9" s="712"/>
      <c r="Y9" s="3429"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557"/>
      <c r="Q10" s="1496" t="str">
        <f t="shared" si="6"/>
        <v>土地使用年限（年）</v>
      </c>
      <c r="R10" s="710" t="s">
        <v>17</v>
      </c>
      <c r="S10" s="711">
        <f t="shared" si="0"/>
        <v>100</v>
      </c>
      <c r="T10" s="710" t="s">
        <v>17</v>
      </c>
      <c r="U10" s="711">
        <f t="shared" si="1"/>
        <v>100</v>
      </c>
      <c r="V10" s="710" t="s">
        <v>17</v>
      </c>
      <c r="W10" s="711">
        <f t="shared" si="2"/>
        <v>100</v>
      </c>
      <c r="X10" s="712"/>
      <c r="Y10" s="342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557"/>
      <c r="Q11" s="1496">
        <f t="shared" si="6"/>
        <v>111</v>
      </c>
      <c r="R11" s="710" t="s">
        <v>17</v>
      </c>
      <c r="S11" s="711">
        <f t="shared" si="0"/>
        <v>100</v>
      </c>
      <c r="T11" s="710" t="s">
        <v>17</v>
      </c>
      <c r="U11" s="711">
        <f t="shared" si="1"/>
        <v>100</v>
      </c>
      <c r="V11" s="710" t="s">
        <v>17</v>
      </c>
      <c r="W11" s="711">
        <f t="shared" si="2"/>
        <v>100</v>
      </c>
      <c r="X11" s="712"/>
      <c r="Y11" s="342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557"/>
      <c r="Q12" s="1496">
        <f t="shared" si="6"/>
        <v>111</v>
      </c>
      <c r="R12" s="710" t="s">
        <v>17</v>
      </c>
      <c r="S12" s="711">
        <f t="shared" si="0"/>
        <v>100</v>
      </c>
      <c r="T12" s="710" t="s">
        <v>17</v>
      </c>
      <c r="U12" s="711">
        <f t="shared" si="1"/>
        <v>100</v>
      </c>
      <c r="V12" s="710" t="s">
        <v>17</v>
      </c>
      <c r="W12" s="711">
        <f t="shared" si="2"/>
        <v>100</v>
      </c>
      <c r="X12" s="712"/>
      <c r="Y12" s="342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557"/>
      <c r="Q13" s="1496">
        <f t="shared" si="6"/>
        <v>111</v>
      </c>
      <c r="R13" s="710" t="s">
        <v>17</v>
      </c>
      <c r="S13" s="711">
        <f t="shared" si="0"/>
        <v>100</v>
      </c>
      <c r="T13" s="710" t="s">
        <v>17</v>
      </c>
      <c r="U13" s="711">
        <f t="shared" si="1"/>
        <v>100</v>
      </c>
      <c r="V13" s="710" t="s">
        <v>17</v>
      </c>
      <c r="W13" s="711">
        <f t="shared" si="2"/>
        <v>100</v>
      </c>
      <c r="X13" s="712"/>
      <c r="Y13" s="3429"/>
      <c r="Z13" s="55">
        <f t="shared" si="7"/>
        <v>111</v>
      </c>
      <c r="AA13" s="713">
        <f t="shared" si="3"/>
        <v>1</v>
      </c>
      <c r="AB13" s="713">
        <f t="shared" si="4"/>
        <v>1</v>
      </c>
      <c r="AC13" s="713">
        <f t="shared" si="5"/>
        <v>1</v>
      </c>
    </row>
    <row r="14" spans="1:29" ht="85.5">
      <c r="A14" s="361" t="s">
        <v>2320</v>
      </c>
      <c r="B14" s="585" t="s">
        <v>2470</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559" t="s">
        <v>2321</v>
      </c>
      <c r="Q14" s="1505" t="str">
        <f t="shared" si="6"/>
        <v>交通便捷度</v>
      </c>
      <c r="R14" s="714" t="s">
        <v>17</v>
      </c>
      <c r="S14" s="715">
        <f t="shared" si="0"/>
        <v>100</v>
      </c>
      <c r="T14" s="714" t="s">
        <v>17</v>
      </c>
      <c r="U14" s="715">
        <f t="shared" si="1"/>
        <v>100</v>
      </c>
      <c r="V14" s="714" t="s">
        <v>17</v>
      </c>
      <c r="W14" s="715">
        <f t="shared" si="2"/>
        <v>100</v>
      </c>
      <c r="X14" s="1508"/>
      <c r="Y14" s="3559" t="s">
        <v>2321</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20"/>
      <c r="M15" s="2914"/>
      <c r="N15" s="2914"/>
      <c r="O15" s="2914"/>
      <c r="P15" s="3560"/>
      <c r="Q15" s="1505"/>
      <c r="R15" s="714"/>
      <c r="S15" s="715"/>
      <c r="T15" s="714"/>
      <c r="U15" s="715"/>
      <c r="V15" s="714"/>
      <c r="W15" s="715"/>
      <c r="X15" s="1508"/>
      <c r="Y15" s="3560"/>
      <c r="Z15" s="1509"/>
      <c r="AA15" s="1506">
        <v>1</v>
      </c>
      <c r="AB15" s="1506">
        <v>1</v>
      </c>
      <c r="AC15" s="1506">
        <v>1</v>
      </c>
    </row>
    <row r="16" spans="1:29" ht="42.75">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560"/>
      <c r="Q16" s="1505" t="str">
        <f>B16</f>
        <v>公共配套设施</v>
      </c>
      <c r="R16" s="714" t="s">
        <v>17</v>
      </c>
      <c r="S16" s="715">
        <f>F16</f>
        <v>100</v>
      </c>
      <c r="T16" s="714" t="s">
        <v>17</v>
      </c>
      <c r="U16" s="715">
        <f>H16</f>
        <v>100</v>
      </c>
      <c r="V16" s="714" t="s">
        <v>17</v>
      </c>
      <c r="W16" s="715">
        <f>J16</f>
        <v>100</v>
      </c>
      <c r="X16" s="1508"/>
      <c r="Y16" s="3560"/>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20"/>
      <c r="M17" s="2914"/>
      <c r="N17" s="2914"/>
      <c r="O17" s="2914"/>
      <c r="P17" s="3560"/>
      <c r="Q17" s="1505"/>
      <c r="R17" s="714"/>
      <c r="S17" s="715"/>
      <c r="T17" s="714"/>
      <c r="U17" s="715"/>
      <c r="V17" s="714"/>
      <c r="W17" s="715"/>
      <c r="X17" s="1508"/>
      <c r="Y17" s="3560"/>
      <c r="Z17" s="1509"/>
      <c r="AA17" s="1506">
        <v>1</v>
      </c>
      <c r="AB17" s="1506">
        <v>1</v>
      </c>
      <c r="AC17" s="1506">
        <v>1</v>
      </c>
    </row>
    <row r="18" spans="1:29" ht="28.5">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560"/>
      <c r="Q18" s="1505" t="str">
        <f>B18</f>
        <v>基础设施水平</v>
      </c>
      <c r="R18" s="714" t="s">
        <v>17</v>
      </c>
      <c r="S18" s="715">
        <f>F18</f>
        <v>100</v>
      </c>
      <c r="T18" s="714" t="s">
        <v>17</v>
      </c>
      <c r="U18" s="715">
        <f>H18</f>
        <v>100</v>
      </c>
      <c r="V18" s="714" t="s">
        <v>17</v>
      </c>
      <c r="W18" s="715">
        <f>J18</f>
        <v>100</v>
      </c>
      <c r="X18" s="1508"/>
      <c r="Y18" s="3560"/>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20"/>
      <c r="M19" s="2914"/>
      <c r="N19" s="2914"/>
      <c r="O19" s="2914"/>
      <c r="P19" s="3560"/>
      <c r="Q19" s="1505"/>
      <c r="R19" s="714"/>
      <c r="S19" s="715"/>
      <c r="T19" s="714"/>
      <c r="U19" s="715"/>
      <c r="V19" s="714"/>
      <c r="W19" s="715"/>
      <c r="X19" s="1508"/>
      <c r="Y19" s="3560"/>
      <c r="Z19" s="1509"/>
      <c r="AA19" s="1506">
        <v>1</v>
      </c>
      <c r="AB19" s="1506">
        <v>1</v>
      </c>
      <c r="AC19" s="1506">
        <v>1</v>
      </c>
    </row>
    <row r="20" spans="1:29" ht="57">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560"/>
      <c r="Q20" s="1505" t="str">
        <f>B20</f>
        <v>自然及人文环境</v>
      </c>
      <c r="R20" s="714" t="s">
        <v>17</v>
      </c>
      <c r="S20" s="715">
        <f>F20</f>
        <v>100</v>
      </c>
      <c r="T20" s="714" t="s">
        <v>17</v>
      </c>
      <c r="U20" s="715">
        <f>H20</f>
        <v>100</v>
      </c>
      <c r="V20" s="714" t="s">
        <v>17</v>
      </c>
      <c r="W20" s="715">
        <f>J20</f>
        <v>100</v>
      </c>
      <c r="X20" s="1508"/>
      <c r="Y20" s="3560"/>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20"/>
      <c r="M21" s="2914"/>
      <c r="N21" s="2914"/>
      <c r="O21" s="2914"/>
      <c r="P21" s="3560"/>
      <c r="Q21" s="1505"/>
      <c r="R21" s="714"/>
      <c r="S21" s="715"/>
      <c r="T21" s="714"/>
      <c r="U21" s="715"/>
      <c r="V21" s="714"/>
      <c r="W21" s="715"/>
      <c r="X21" s="1508"/>
      <c r="Y21" s="3560"/>
      <c r="Z21" s="1509"/>
      <c r="AA21" s="1506">
        <v>1</v>
      </c>
      <c r="AB21" s="1506">
        <v>1</v>
      </c>
      <c r="AC21" s="1506">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560"/>
      <c r="Q22" s="1505" t="str">
        <f>B22</f>
        <v>楼层</v>
      </c>
      <c r="R22" s="714" t="s">
        <v>17</v>
      </c>
      <c r="S22" s="715">
        <f>F22</f>
        <v>100</v>
      </c>
      <c r="T22" s="714" t="s">
        <v>17</v>
      </c>
      <c r="U22" s="715">
        <f>H22</f>
        <v>100</v>
      </c>
      <c r="V22" s="714" t="s">
        <v>17</v>
      </c>
      <c r="W22" s="715">
        <f>J22</f>
        <v>100</v>
      </c>
      <c r="X22" s="1508"/>
      <c r="Y22" s="3560"/>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560"/>
      <c r="Q23" s="1505">
        <f>B23</f>
        <v>111</v>
      </c>
      <c r="R23" s="714" t="s">
        <v>17</v>
      </c>
      <c r="S23" s="715">
        <f>F23</f>
        <v>100</v>
      </c>
      <c r="T23" s="714" t="s">
        <v>17</v>
      </c>
      <c r="U23" s="715">
        <f>H23</f>
        <v>100</v>
      </c>
      <c r="V23" s="714" t="s">
        <v>17</v>
      </c>
      <c r="W23" s="715">
        <f>J23</f>
        <v>100</v>
      </c>
      <c r="X23" s="1508"/>
      <c r="Y23" s="3560"/>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560"/>
      <c r="Q24" s="1505">
        <f t="shared" ref="Q24:Q36" si="11">B24</f>
        <v>111</v>
      </c>
      <c r="R24" s="714" t="s">
        <v>17</v>
      </c>
      <c r="S24" s="715">
        <f>F24</f>
        <v>100</v>
      </c>
      <c r="T24" s="714" t="s">
        <v>17</v>
      </c>
      <c r="U24" s="715">
        <f>H24</f>
        <v>100</v>
      </c>
      <c r="V24" s="714" t="s">
        <v>17</v>
      </c>
      <c r="W24" s="715">
        <f>J24</f>
        <v>100</v>
      </c>
      <c r="X24" s="1508"/>
      <c r="Y24" s="3560"/>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560"/>
      <c r="Q25" s="1496">
        <f t="shared" si="11"/>
        <v>111</v>
      </c>
      <c r="R25" s="710" t="s">
        <v>17</v>
      </c>
      <c r="S25" s="711">
        <f>F25</f>
        <v>100</v>
      </c>
      <c r="T25" s="710" t="s">
        <v>17</v>
      </c>
      <c r="U25" s="711">
        <f>H25</f>
        <v>100</v>
      </c>
      <c r="V25" s="710" t="s">
        <v>17</v>
      </c>
      <c r="W25" s="711">
        <f>J25</f>
        <v>100</v>
      </c>
      <c r="X25" s="712"/>
      <c r="Y25" s="3560"/>
      <c r="Z25" s="55">
        <f>Q25</f>
        <v>111</v>
      </c>
      <c r="AA25" s="1506">
        <f>D25/F25</f>
        <v>1</v>
      </c>
      <c r="AB25" s="1506">
        <f>D25/H25</f>
        <v>1</v>
      </c>
      <c r="AC25" s="1506">
        <f>D25/J25</f>
        <v>1</v>
      </c>
    </row>
    <row r="26" spans="1:29" ht="28.5">
      <c r="A26" s="608" t="s">
        <v>2324</v>
      </c>
      <c r="B26" s="66" t="s">
        <v>2473</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615" t="s">
        <v>2326</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564" t="s">
        <v>2326</v>
      </c>
      <c r="Z26" s="1509" t="str">
        <f t="shared" ref="Z26:Z36" si="15">Q26</f>
        <v>配套类型</v>
      </c>
      <c r="AA26" s="1506">
        <f t="shared" si="3"/>
        <v>1</v>
      </c>
      <c r="AB26" s="1506">
        <f t="shared" si="4"/>
        <v>1</v>
      </c>
      <c r="AC26" s="1506">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564"/>
      <c r="Q27" s="716" t="str">
        <f t="shared" si="11"/>
        <v>项目停车位配比</v>
      </c>
      <c r="R27" s="717" t="s">
        <v>17</v>
      </c>
      <c r="S27" s="718">
        <f t="shared" si="12"/>
        <v>100</v>
      </c>
      <c r="T27" s="717" t="s">
        <v>17</v>
      </c>
      <c r="U27" s="718">
        <f t="shared" si="13"/>
        <v>100</v>
      </c>
      <c r="V27" s="717" t="s">
        <v>17</v>
      </c>
      <c r="W27" s="718">
        <f t="shared" si="14"/>
        <v>100</v>
      </c>
      <c r="X27" s="719"/>
      <c r="Y27" s="3564"/>
      <c r="Z27" s="720" t="str">
        <f t="shared" si="15"/>
        <v>项目停车位配比</v>
      </c>
      <c r="AA27" s="1506">
        <f t="shared" si="3"/>
        <v>1</v>
      </c>
      <c r="AB27" s="1506">
        <f t="shared" si="4"/>
        <v>1</v>
      </c>
      <c r="AC27" s="1506">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564"/>
      <c r="Q28" s="1505" t="str">
        <f t="shared" si="11"/>
        <v>公共部分装修</v>
      </c>
      <c r="R28" s="714" t="s">
        <v>17</v>
      </c>
      <c r="S28" s="715">
        <f t="shared" si="12"/>
        <v>100</v>
      </c>
      <c r="T28" s="714" t="s">
        <v>17</v>
      </c>
      <c r="U28" s="715">
        <f t="shared" si="13"/>
        <v>100</v>
      </c>
      <c r="V28" s="714" t="s">
        <v>17</v>
      </c>
      <c r="W28" s="715">
        <f t="shared" si="14"/>
        <v>100</v>
      </c>
      <c r="X28" s="1508"/>
      <c r="Y28" s="3564"/>
      <c r="Z28" s="1509" t="str">
        <f t="shared" si="15"/>
        <v>公共部分装修</v>
      </c>
      <c r="AA28" s="1506">
        <f t="shared" si="3"/>
        <v>1</v>
      </c>
      <c r="AB28" s="1506">
        <f t="shared" si="4"/>
        <v>1</v>
      </c>
      <c r="AC28" s="1506">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564"/>
      <c r="Q29" s="1505" t="str">
        <f t="shared" si="11"/>
        <v>成新率</v>
      </c>
      <c r="R29" s="714" t="s">
        <v>17</v>
      </c>
      <c r="S29" s="715" t="e">
        <f t="shared" si="12"/>
        <v>#N/A</v>
      </c>
      <c r="T29" s="714" t="s">
        <v>17</v>
      </c>
      <c r="U29" s="715" t="e">
        <f t="shared" si="13"/>
        <v>#N/A</v>
      </c>
      <c r="V29" s="714" t="s">
        <v>17</v>
      </c>
      <c r="W29" s="715" t="e">
        <f t="shared" si="14"/>
        <v>#N/A</v>
      </c>
      <c r="X29" s="1508"/>
      <c r="Y29" s="3564"/>
      <c r="Z29" s="1509" t="str">
        <f t="shared" si="15"/>
        <v>成新率</v>
      </c>
      <c r="AA29" s="1506" t="e">
        <f t="shared" si="3"/>
        <v>#N/A</v>
      </c>
      <c r="AB29" s="1506" t="e">
        <f t="shared" si="4"/>
        <v>#N/A</v>
      </c>
      <c r="AC29" s="1506"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564"/>
      <c r="Q30" s="1505" t="str">
        <f t="shared" si="11"/>
        <v>物业等级</v>
      </c>
      <c r="R30" s="714" t="s">
        <v>17</v>
      </c>
      <c r="S30" s="715">
        <f t="shared" si="12"/>
        <v>100</v>
      </c>
      <c r="T30" s="714" t="s">
        <v>17</v>
      </c>
      <c r="U30" s="715">
        <f t="shared" si="13"/>
        <v>100</v>
      </c>
      <c r="V30" s="714" t="s">
        <v>17</v>
      </c>
      <c r="W30" s="715">
        <f t="shared" si="14"/>
        <v>100</v>
      </c>
      <c r="X30" s="1508"/>
      <c r="Y30" s="3564"/>
      <c r="Z30" s="1509" t="str">
        <f t="shared" si="15"/>
        <v>物业等级</v>
      </c>
      <c r="AA30" s="1506">
        <f t="shared" si="3"/>
        <v>1</v>
      </c>
      <c r="AB30" s="1506">
        <f t="shared" si="4"/>
        <v>1</v>
      </c>
      <c r="AC30" s="1506">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564"/>
      <c r="Q31" s="1496" t="str">
        <f t="shared" si="11"/>
        <v>停车位面积</v>
      </c>
      <c r="R31" s="710" t="s">
        <v>17</v>
      </c>
      <c r="S31" s="711" t="e">
        <f t="shared" si="12"/>
        <v>#N/A</v>
      </c>
      <c r="T31" s="710" t="s">
        <v>17</v>
      </c>
      <c r="U31" s="711" t="e">
        <f t="shared" si="13"/>
        <v>#N/A</v>
      </c>
      <c r="V31" s="710" t="s">
        <v>17</v>
      </c>
      <c r="W31" s="711" t="e">
        <f t="shared" si="14"/>
        <v>#N/A</v>
      </c>
      <c r="X31" s="712"/>
      <c r="Y31" s="3564"/>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564" t="s">
        <v>2326</v>
      </c>
      <c r="Q32" s="1505" t="str">
        <f t="shared" si="11"/>
        <v>车位类型</v>
      </c>
      <c r="R32" s="714" t="s">
        <v>17</v>
      </c>
      <c r="S32" s="715">
        <f t="shared" si="12"/>
        <v>100</v>
      </c>
      <c r="T32" s="714" t="s">
        <v>17</v>
      </c>
      <c r="U32" s="715">
        <f t="shared" si="13"/>
        <v>100</v>
      </c>
      <c r="V32" s="714" t="s">
        <v>17</v>
      </c>
      <c r="W32" s="715">
        <f t="shared" si="14"/>
        <v>100</v>
      </c>
      <c r="X32" s="1508"/>
      <c r="Y32" s="3564" t="s">
        <v>2326</v>
      </c>
      <c r="Z32" s="1509" t="str">
        <f t="shared" si="15"/>
        <v>车位类型</v>
      </c>
      <c r="AA32" s="1506">
        <f t="shared" si="3"/>
        <v>1</v>
      </c>
      <c r="AB32" s="1506">
        <f t="shared" si="4"/>
        <v>1</v>
      </c>
      <c r="AC32" s="1506">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564"/>
      <c r="Q33" s="1505" t="str">
        <f t="shared" si="11"/>
        <v>是否直接入户</v>
      </c>
      <c r="R33" s="714" t="s">
        <v>17</v>
      </c>
      <c r="S33" s="715">
        <f t="shared" si="12"/>
        <v>100</v>
      </c>
      <c r="T33" s="714" t="s">
        <v>17</v>
      </c>
      <c r="U33" s="715">
        <f t="shared" si="13"/>
        <v>100</v>
      </c>
      <c r="V33" s="714" t="s">
        <v>17</v>
      </c>
      <c r="W33" s="715">
        <f t="shared" si="14"/>
        <v>100</v>
      </c>
      <c r="X33" s="1508"/>
      <c r="Y33" s="3564"/>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564"/>
      <c r="Q34" s="1505">
        <f t="shared" si="11"/>
        <v>111</v>
      </c>
      <c r="R34" s="714" t="s">
        <v>17</v>
      </c>
      <c r="S34" s="715">
        <f t="shared" si="12"/>
        <v>100</v>
      </c>
      <c r="T34" s="714" t="s">
        <v>17</v>
      </c>
      <c r="U34" s="715">
        <f t="shared" si="13"/>
        <v>100</v>
      </c>
      <c r="V34" s="714" t="s">
        <v>17</v>
      </c>
      <c r="W34" s="715">
        <f t="shared" si="14"/>
        <v>100</v>
      </c>
      <c r="X34" s="1508"/>
      <c r="Y34" s="3564"/>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564"/>
      <c r="Q35" s="716">
        <f t="shared" si="11"/>
        <v>111</v>
      </c>
      <c r="R35" s="717" t="s">
        <v>17</v>
      </c>
      <c r="S35" s="718">
        <f t="shared" si="12"/>
        <v>100</v>
      </c>
      <c r="T35" s="717" t="s">
        <v>17</v>
      </c>
      <c r="U35" s="718">
        <f t="shared" si="13"/>
        <v>100</v>
      </c>
      <c r="V35" s="717" t="s">
        <v>17</v>
      </c>
      <c r="W35" s="718">
        <f t="shared" si="14"/>
        <v>100</v>
      </c>
      <c r="X35" s="719"/>
      <c r="Y35" s="3564"/>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564"/>
      <c r="Q36" s="1505">
        <f t="shared" si="11"/>
        <v>111</v>
      </c>
      <c r="R36" s="714" t="s">
        <v>17</v>
      </c>
      <c r="S36" s="715">
        <f t="shared" si="12"/>
        <v>100</v>
      </c>
      <c r="T36" s="714" t="s">
        <v>17</v>
      </c>
      <c r="U36" s="715">
        <f t="shared" si="13"/>
        <v>100</v>
      </c>
      <c r="V36" s="714" t="s">
        <v>17</v>
      </c>
      <c r="W36" s="715">
        <f t="shared" si="14"/>
        <v>100</v>
      </c>
      <c r="X36" s="1508"/>
      <c r="Y36" s="3564"/>
      <c r="Z36" s="1509">
        <f t="shared" si="15"/>
        <v>111</v>
      </c>
      <c r="AA36" s="1506">
        <f t="shared" si="3"/>
        <v>1</v>
      </c>
      <c r="AB36" s="1506">
        <f t="shared" si="4"/>
        <v>1</v>
      </c>
      <c r="AC36" s="1506">
        <f t="shared" si="5"/>
        <v>1</v>
      </c>
    </row>
    <row r="37" spans="1:29" ht="15">
      <c r="A37" s="438" t="s">
        <v>2481</v>
      </c>
      <c r="B37" s="2128" t="s">
        <v>2482</v>
      </c>
      <c r="C37" s="1288" t="s">
        <v>1</v>
      </c>
      <c r="D37" s="1289"/>
      <c r="E37" s="1290"/>
      <c r="F37" s="1291"/>
      <c r="G37" s="1292"/>
      <c r="H37" s="1293"/>
      <c r="I37" s="1290"/>
      <c r="J37" s="1293"/>
      <c r="K37" s="576"/>
      <c r="L37" s="2922"/>
      <c r="M37" s="2923"/>
      <c r="N37" s="2914"/>
      <c r="O37" s="2923"/>
      <c r="P37" s="3557" t="str">
        <f>A37</f>
        <v>成交单价</v>
      </c>
      <c r="Q37" s="3557"/>
      <c r="R37" s="3558">
        <f>E37</f>
        <v>0</v>
      </c>
      <c r="S37" s="3558"/>
      <c r="T37" s="3558">
        <f>G37</f>
        <v>0</v>
      </c>
      <c r="U37" s="3558"/>
      <c r="V37" s="3558">
        <f>I37</f>
        <v>0</v>
      </c>
      <c r="W37" s="3558"/>
      <c r="X37" s="699"/>
      <c r="Y37" s="721"/>
      <c r="Z37" s="699"/>
      <c r="AA37" s="699"/>
      <c r="AB37" s="699"/>
      <c r="AC37" s="699"/>
    </row>
    <row r="38" spans="1:29" ht="15.75" thickBot="1">
      <c r="A38" s="445" t="s">
        <v>2483</v>
      </c>
      <c r="B38" s="446" t="str">
        <f>B37</f>
        <v>元/车位</v>
      </c>
      <c r="C38" s="1294" t="e">
        <f>R39</f>
        <v>#DIV/0!</v>
      </c>
      <c r="D38" s="2507" t="s">
        <v>2819</v>
      </c>
      <c r="E38" s="1295" t="e">
        <f>R38</f>
        <v>#DIV/0!</v>
      </c>
      <c r="F38" s="2508"/>
      <c r="G38" s="1294" t="e">
        <f>T38</f>
        <v>#DIV/0!</v>
      </c>
      <c r="H38" s="2508"/>
      <c r="I38" s="1295" t="e">
        <f>V38</f>
        <v>#DIV/0!</v>
      </c>
      <c r="J38" s="2508"/>
      <c r="K38" s="2510">
        <f>F38+H38+J38</f>
        <v>0</v>
      </c>
      <c r="L38" s="2922"/>
      <c r="M38" s="2923"/>
      <c r="N38" s="2923"/>
      <c r="O38" s="2923"/>
      <c r="P38" s="3557" t="str">
        <f>A38</f>
        <v>比较价值（元/平方米）</v>
      </c>
      <c r="Q38" s="3557"/>
      <c r="R38" s="3558" t="e">
        <f>IF(F1="售价",ROUND(PRODUCT(R37,AA7:AA36),0),ROUND(PRODUCT(R37,AA7:AA36),1))</f>
        <v>#DIV/0!</v>
      </c>
      <c r="S38" s="3558"/>
      <c r="T38" s="3558" t="e">
        <f>IF(F1="售价",ROUND(PRODUCT(T37,AB7:AB36),0),ROUND(PRODUCT(T37,AB7:AB36),1))</f>
        <v>#DIV/0!</v>
      </c>
      <c r="U38" s="3558"/>
      <c r="V38" s="3558" t="e">
        <f>IF(F1="售价",ROUND(PRODUCT(V37,AC7:AC36),0),ROUND(PRODUCT(V37,AC7:AC36),1))</f>
        <v>#DIV/0!</v>
      </c>
      <c r="W38" s="3558"/>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2"/>
      <c r="M39" s="2923"/>
      <c r="N39" s="2923"/>
      <c r="O39" s="2923"/>
      <c r="P39" s="3554" t="str">
        <f>A39</f>
        <v>估价对象XX用房的比较价值（楼面单价，元/平方米）</v>
      </c>
      <c r="Q39" s="3555"/>
      <c r="R39" s="3616" t="e">
        <f>IF(F1="售价",ROUND(IF(D38="简单平均",AVERAGE(R38:W38),R38*F38+T38*H38+V38*J38),0),ROUND(IF(D38="简单平均",AVERAGE(R38:V38),R38*F38+T38*H38+V38*J38),1))</f>
        <v>#DIV/0!</v>
      </c>
      <c r="S39" s="3616"/>
      <c r="T39" s="3616"/>
      <c r="U39" s="3616"/>
      <c r="V39" s="3616"/>
      <c r="W39" s="3616"/>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2488</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2489</v>
      </c>
      <c r="B48" s="463"/>
      <c r="C48" s="1317" t="str">
        <f>YEAR(C7)&amp;"-"&amp;MONTH(C7)</f>
        <v>2022-1</v>
      </c>
      <c r="D48" s="1318">
        <f>EDATE(C48,-1)</f>
        <v>44531</v>
      </c>
      <c r="E48" s="1318">
        <f t="shared" ref="E48:O48" si="16">EDATE(D48,-1)</f>
        <v>44501</v>
      </c>
      <c r="F48" s="1318">
        <f t="shared" si="16"/>
        <v>44470</v>
      </c>
      <c r="G48" s="1318">
        <f t="shared" si="16"/>
        <v>44440</v>
      </c>
      <c r="H48" s="1318">
        <f t="shared" si="16"/>
        <v>44409</v>
      </c>
      <c r="I48" s="1318">
        <f t="shared" si="16"/>
        <v>44378</v>
      </c>
      <c r="J48" s="1318">
        <f t="shared" si="16"/>
        <v>44348</v>
      </c>
      <c r="K48" s="1318">
        <f t="shared" si="16"/>
        <v>44317</v>
      </c>
      <c r="L48" s="1318">
        <f t="shared" si="16"/>
        <v>44287</v>
      </c>
      <c r="M48" s="1318">
        <f t="shared" si="16"/>
        <v>44256</v>
      </c>
      <c r="N48" s="1318">
        <f t="shared" si="16"/>
        <v>44228</v>
      </c>
      <c r="O48" s="1318">
        <f t="shared" si="16"/>
        <v>44197</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2490</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2324</v>
      </c>
      <c r="B79" s="485" t="s">
        <v>2491</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2492</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2494</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2496</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2497</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572" t="s">
        <v>2407</v>
      </c>
      <c r="D4" s="3573"/>
      <c r="E4" s="3574" t="s">
        <v>2408</v>
      </c>
      <c r="F4" s="3575"/>
      <c r="G4" s="3572" t="s">
        <v>2409</v>
      </c>
      <c r="H4" s="3573"/>
      <c r="I4" s="3572" t="s">
        <v>2410</v>
      </c>
      <c r="J4" s="3573"/>
      <c r="K4" s="567" t="s">
        <v>2411</v>
      </c>
      <c r="L4" s="2913"/>
      <c r="M4" s="2914"/>
      <c r="N4" s="2914"/>
      <c r="O4" s="2914"/>
      <c r="P4" s="3576" t="s">
        <v>2412</v>
      </c>
      <c r="Q4" s="3577"/>
      <c r="R4" s="3582" t="s">
        <v>2408</v>
      </c>
      <c r="S4" s="3583"/>
      <c r="T4" s="3582" t="s">
        <v>2409</v>
      </c>
      <c r="U4" s="3583"/>
      <c r="V4" s="3588" t="s">
        <v>2410</v>
      </c>
      <c r="W4" s="3588"/>
      <c r="X4" s="1508"/>
      <c r="Y4" s="3582" t="s">
        <v>2412</v>
      </c>
      <c r="Z4" s="3583"/>
      <c r="AA4" s="3569" t="s">
        <v>2408</v>
      </c>
      <c r="AB4" s="3570" t="s">
        <v>2409</v>
      </c>
      <c r="AC4" s="3569" t="s">
        <v>2410</v>
      </c>
    </row>
    <row r="5" spans="1:29" ht="15">
      <c r="A5" s="364"/>
      <c r="B5" s="365"/>
      <c r="C5" s="3591" t="s">
        <v>2303</v>
      </c>
      <c r="D5" s="3592"/>
      <c r="E5" s="3598" t="s">
        <v>2304</v>
      </c>
      <c r="F5" s="3599"/>
      <c r="G5" s="3591" t="s">
        <v>2305</v>
      </c>
      <c r="H5" s="3592"/>
      <c r="I5" s="3591" t="s">
        <v>2306</v>
      </c>
      <c r="J5" s="3592"/>
      <c r="K5" s="567"/>
      <c r="L5" s="2913"/>
      <c r="M5" s="2914"/>
      <c r="N5" s="2914"/>
      <c r="O5" s="2914"/>
      <c r="P5" s="3578"/>
      <c r="Q5" s="3579"/>
      <c r="R5" s="3584"/>
      <c r="S5" s="3585"/>
      <c r="T5" s="3584"/>
      <c r="U5" s="3585"/>
      <c r="V5" s="3588"/>
      <c r="W5" s="3588"/>
      <c r="X5" s="1508"/>
      <c r="Y5" s="3584"/>
      <c r="Z5" s="3585"/>
      <c r="AA5" s="3570"/>
      <c r="AB5" s="3570"/>
      <c r="AC5" s="3570"/>
    </row>
    <row r="6" spans="1:29" ht="15.75" thickBot="1">
      <c r="A6" s="366"/>
      <c r="B6" s="367"/>
      <c r="C6" s="3589" t="s">
        <v>2307</v>
      </c>
      <c r="D6" s="3590"/>
      <c r="E6" s="3596" t="s">
        <v>2307</v>
      </c>
      <c r="F6" s="3597"/>
      <c r="G6" s="3589" t="s">
        <v>2307</v>
      </c>
      <c r="H6" s="3590"/>
      <c r="I6" s="3589" t="s">
        <v>2307</v>
      </c>
      <c r="J6" s="3590"/>
      <c r="K6" s="567" t="s">
        <v>2308</v>
      </c>
      <c r="L6" s="2913"/>
      <c r="M6" s="2914"/>
      <c r="N6" s="2914"/>
      <c r="O6" s="2914"/>
      <c r="P6" s="3580"/>
      <c r="Q6" s="3581"/>
      <c r="R6" s="3584"/>
      <c r="S6" s="3585"/>
      <c r="T6" s="3586"/>
      <c r="U6" s="3587"/>
      <c r="V6" s="3588"/>
      <c r="W6" s="3588"/>
      <c r="X6" s="1508"/>
      <c r="Y6" s="3586"/>
      <c r="Z6" s="3587"/>
      <c r="AA6" s="3571"/>
      <c r="AB6" s="3571"/>
      <c r="AC6" s="3571"/>
    </row>
    <row r="7" spans="1:29" s="113" customFormat="1" ht="15.75" thickBot="1">
      <c r="A7" s="368" t="s">
        <v>2309</v>
      </c>
      <c r="B7" s="369"/>
      <c r="C7" s="370">
        <f>'数据-取费表'!B2</f>
        <v>44567</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593" t="s">
        <v>2310</v>
      </c>
      <c r="Q7" s="3595"/>
      <c r="R7" s="710" t="s">
        <v>17</v>
      </c>
      <c r="S7" s="711">
        <f t="shared" ref="S7:S14" si="0">F7</f>
        <v>0</v>
      </c>
      <c r="T7" s="710" t="s">
        <v>17</v>
      </c>
      <c r="U7" s="711">
        <f t="shared" ref="U7:U14" si="1">H7</f>
        <v>0</v>
      </c>
      <c r="V7" s="710" t="s">
        <v>17</v>
      </c>
      <c r="W7" s="711">
        <f t="shared" ref="W7:W14" si="2">J7</f>
        <v>0</v>
      </c>
      <c r="X7" s="712"/>
      <c r="Y7" s="3593" t="s">
        <v>2310</v>
      </c>
      <c r="Z7" s="3594"/>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593" t="s">
        <v>2313</v>
      </c>
      <c r="Q8" s="3594"/>
      <c r="R8" s="710" t="s">
        <v>17</v>
      </c>
      <c r="S8" s="711">
        <f t="shared" si="0"/>
        <v>0</v>
      </c>
      <c r="T8" s="710" t="s">
        <v>17</v>
      </c>
      <c r="U8" s="711">
        <f t="shared" si="1"/>
        <v>0</v>
      </c>
      <c r="V8" s="710" t="s">
        <v>17</v>
      </c>
      <c r="W8" s="711">
        <f t="shared" si="2"/>
        <v>0</v>
      </c>
      <c r="X8" s="712"/>
      <c r="Y8" s="3593" t="s">
        <v>2313</v>
      </c>
      <c r="Z8" s="3594"/>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557" t="s">
        <v>2316</v>
      </c>
      <c r="Q9" s="1496" t="str">
        <f t="shared" ref="Q9:Q14" si="6">B9</f>
        <v>用途</v>
      </c>
      <c r="R9" s="710" t="s">
        <v>17</v>
      </c>
      <c r="S9" s="711">
        <f t="shared" si="0"/>
        <v>100</v>
      </c>
      <c r="T9" s="710" t="s">
        <v>17</v>
      </c>
      <c r="U9" s="711">
        <f t="shared" si="1"/>
        <v>100</v>
      </c>
      <c r="V9" s="710" t="s">
        <v>17</v>
      </c>
      <c r="W9" s="711">
        <f t="shared" si="2"/>
        <v>100</v>
      </c>
      <c r="X9" s="712"/>
      <c r="Y9" s="3429"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557"/>
      <c r="Q10" s="1496" t="str">
        <f t="shared" si="6"/>
        <v>土地使用年限（年）</v>
      </c>
      <c r="R10" s="710" t="s">
        <v>17</v>
      </c>
      <c r="S10" s="711">
        <f t="shared" si="0"/>
        <v>100</v>
      </c>
      <c r="T10" s="710" t="s">
        <v>17</v>
      </c>
      <c r="U10" s="711">
        <f t="shared" si="1"/>
        <v>100</v>
      </c>
      <c r="V10" s="710" t="s">
        <v>17</v>
      </c>
      <c r="W10" s="711">
        <f t="shared" si="2"/>
        <v>100</v>
      </c>
      <c r="X10" s="712"/>
      <c r="Y10" s="3429"/>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557"/>
      <c r="Q11" s="1496">
        <f t="shared" si="6"/>
        <v>111</v>
      </c>
      <c r="R11" s="710" t="s">
        <v>17</v>
      </c>
      <c r="S11" s="711">
        <f t="shared" si="0"/>
        <v>100</v>
      </c>
      <c r="T11" s="710" t="s">
        <v>17</v>
      </c>
      <c r="U11" s="711">
        <f t="shared" si="1"/>
        <v>100</v>
      </c>
      <c r="V11" s="710" t="s">
        <v>17</v>
      </c>
      <c r="W11" s="711">
        <f t="shared" si="2"/>
        <v>100</v>
      </c>
      <c r="X11" s="712"/>
      <c r="Y11" s="3429"/>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557"/>
      <c r="Q12" s="1496">
        <f t="shared" si="6"/>
        <v>111</v>
      </c>
      <c r="R12" s="710" t="s">
        <v>17</v>
      </c>
      <c r="S12" s="711">
        <f t="shared" si="0"/>
        <v>100</v>
      </c>
      <c r="T12" s="710" t="s">
        <v>17</v>
      </c>
      <c r="U12" s="711">
        <f t="shared" si="1"/>
        <v>100</v>
      </c>
      <c r="V12" s="710" t="s">
        <v>17</v>
      </c>
      <c r="W12" s="711">
        <f t="shared" si="2"/>
        <v>100</v>
      </c>
      <c r="X12" s="712"/>
      <c r="Y12" s="3429"/>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557"/>
      <c r="Q13" s="1496">
        <f t="shared" si="6"/>
        <v>111</v>
      </c>
      <c r="R13" s="710" t="s">
        <v>17</v>
      </c>
      <c r="S13" s="711">
        <f t="shared" si="0"/>
        <v>100</v>
      </c>
      <c r="T13" s="710" t="s">
        <v>17</v>
      </c>
      <c r="U13" s="711">
        <f t="shared" si="1"/>
        <v>100</v>
      </c>
      <c r="V13" s="710" t="s">
        <v>17</v>
      </c>
      <c r="W13" s="711">
        <f t="shared" si="2"/>
        <v>100</v>
      </c>
      <c r="X13" s="712"/>
      <c r="Y13" s="3429"/>
      <c r="Z13" s="55">
        <f t="shared" si="7"/>
        <v>111</v>
      </c>
      <c r="AA13" s="713">
        <f t="shared" si="3"/>
        <v>1</v>
      </c>
      <c r="AB13" s="713">
        <f t="shared" si="4"/>
        <v>1</v>
      </c>
      <c r="AC13" s="713">
        <f t="shared" si="5"/>
        <v>1</v>
      </c>
    </row>
    <row r="14" spans="1:29" ht="85.5">
      <c r="A14" s="399" t="s">
        <v>2320</v>
      </c>
      <c r="B14" s="65" t="s">
        <v>2470</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559" t="s">
        <v>2321</v>
      </c>
      <c r="Q14" s="1505" t="str">
        <f t="shared" si="6"/>
        <v>交通便捷度</v>
      </c>
      <c r="R14" s="714" t="s">
        <v>17</v>
      </c>
      <c r="S14" s="715">
        <f t="shared" si="0"/>
        <v>100</v>
      </c>
      <c r="T14" s="714" t="s">
        <v>17</v>
      </c>
      <c r="U14" s="715">
        <f t="shared" si="1"/>
        <v>100</v>
      </c>
      <c r="V14" s="714" t="s">
        <v>17</v>
      </c>
      <c r="W14" s="715">
        <f t="shared" si="2"/>
        <v>100</v>
      </c>
      <c r="X14" s="1508"/>
      <c r="Y14" s="3559" t="s">
        <v>2321</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20"/>
      <c r="M15" s="2914"/>
      <c r="N15" s="2914"/>
      <c r="O15" s="2972"/>
      <c r="P15" s="3560"/>
      <c r="Q15" s="1505"/>
      <c r="R15" s="714"/>
      <c r="S15" s="715"/>
      <c r="T15" s="714"/>
      <c r="U15" s="715"/>
      <c r="V15" s="714"/>
      <c r="W15" s="715"/>
      <c r="X15" s="1508"/>
      <c r="Y15" s="3560"/>
      <c r="Z15" s="1509"/>
      <c r="AA15" s="1506">
        <v>1</v>
      </c>
      <c r="AB15" s="1506">
        <v>1</v>
      </c>
      <c r="AC15" s="1506">
        <v>1</v>
      </c>
    </row>
    <row r="16" spans="1:29" ht="42.75">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560"/>
      <c r="Q16" s="1505" t="str">
        <f>B16</f>
        <v>公共配套设施</v>
      </c>
      <c r="R16" s="714" t="s">
        <v>17</v>
      </c>
      <c r="S16" s="715">
        <f>F16</f>
        <v>100</v>
      </c>
      <c r="T16" s="714" t="s">
        <v>17</v>
      </c>
      <c r="U16" s="715">
        <f>H16</f>
        <v>100</v>
      </c>
      <c r="V16" s="714" t="s">
        <v>17</v>
      </c>
      <c r="W16" s="715">
        <f>J16</f>
        <v>100</v>
      </c>
      <c r="X16" s="1508"/>
      <c r="Y16" s="3560"/>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20"/>
      <c r="M17" s="2914"/>
      <c r="N17" s="2914"/>
      <c r="O17" s="2972"/>
      <c r="P17" s="3560"/>
      <c r="Q17" s="1505"/>
      <c r="R17" s="714"/>
      <c r="S17" s="715"/>
      <c r="T17" s="714"/>
      <c r="U17" s="715"/>
      <c r="V17" s="714"/>
      <c r="W17" s="715"/>
      <c r="X17" s="1508"/>
      <c r="Y17" s="3560"/>
      <c r="Z17" s="1509"/>
      <c r="AA17" s="1506">
        <v>1</v>
      </c>
      <c r="AB17" s="1506">
        <v>1</v>
      </c>
      <c r="AC17" s="1506">
        <v>1</v>
      </c>
    </row>
    <row r="18" spans="1:29" ht="28.5">
      <c r="A18" s="387"/>
      <c r="B18" s="1265"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560"/>
      <c r="Q18" s="1505" t="str">
        <f>B18</f>
        <v>基础设施水平</v>
      </c>
      <c r="R18" s="714" t="s">
        <v>17</v>
      </c>
      <c r="S18" s="715">
        <f>F18</f>
        <v>100</v>
      </c>
      <c r="T18" s="714" t="s">
        <v>17</v>
      </c>
      <c r="U18" s="715">
        <f>H18</f>
        <v>100</v>
      </c>
      <c r="V18" s="714" t="s">
        <v>17</v>
      </c>
      <c r="W18" s="715">
        <f>J18</f>
        <v>100</v>
      </c>
      <c r="X18" s="1508"/>
      <c r="Y18" s="3560"/>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20"/>
      <c r="M19" s="2914"/>
      <c r="N19" s="2914"/>
      <c r="O19" s="2972"/>
      <c r="P19" s="3560"/>
      <c r="Q19" s="1505"/>
      <c r="R19" s="714"/>
      <c r="S19" s="715"/>
      <c r="T19" s="714"/>
      <c r="U19" s="715"/>
      <c r="V19" s="714"/>
      <c r="W19" s="715"/>
      <c r="X19" s="1508"/>
      <c r="Y19" s="3560"/>
      <c r="Z19" s="1509"/>
      <c r="AA19" s="1506">
        <v>1</v>
      </c>
      <c r="AB19" s="1506">
        <v>1</v>
      </c>
      <c r="AC19" s="1506">
        <v>1</v>
      </c>
    </row>
    <row r="20" spans="1:29" ht="57">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560"/>
      <c r="Q20" s="1505" t="str">
        <f>B20</f>
        <v>自然及人文环境</v>
      </c>
      <c r="R20" s="714" t="s">
        <v>17</v>
      </c>
      <c r="S20" s="715">
        <f>F20</f>
        <v>100</v>
      </c>
      <c r="T20" s="714" t="s">
        <v>17</v>
      </c>
      <c r="U20" s="715">
        <f>H20</f>
        <v>100</v>
      </c>
      <c r="V20" s="714" t="s">
        <v>17</v>
      </c>
      <c r="W20" s="715">
        <f>J20</f>
        <v>100</v>
      </c>
      <c r="X20" s="1508"/>
      <c r="Y20" s="3560"/>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20"/>
      <c r="M21" s="2914"/>
      <c r="N21" s="2914"/>
      <c r="O21" s="2972"/>
      <c r="P21" s="3560"/>
      <c r="Q21" s="1505"/>
      <c r="R21" s="714"/>
      <c r="S21" s="715"/>
      <c r="T21" s="714"/>
      <c r="U21" s="715"/>
      <c r="V21" s="714"/>
      <c r="W21" s="715"/>
      <c r="X21" s="1508"/>
      <c r="Y21" s="3560"/>
      <c r="Z21" s="1509"/>
      <c r="AA21" s="1506">
        <v>1</v>
      </c>
      <c r="AB21" s="1506">
        <v>1</v>
      </c>
      <c r="AC21" s="1506">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560"/>
      <c r="Q22" s="1505" t="str">
        <f>B22</f>
        <v>楼层</v>
      </c>
      <c r="R22" s="714" t="s">
        <v>17</v>
      </c>
      <c r="S22" s="715">
        <f>F22</f>
        <v>100</v>
      </c>
      <c r="T22" s="714" t="s">
        <v>17</v>
      </c>
      <c r="U22" s="715">
        <f>H22</f>
        <v>100</v>
      </c>
      <c r="V22" s="714" t="s">
        <v>17</v>
      </c>
      <c r="W22" s="715">
        <f>J22</f>
        <v>100</v>
      </c>
      <c r="X22" s="1508"/>
      <c r="Y22" s="3560"/>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560"/>
      <c r="Q23" s="1505">
        <f>B23</f>
        <v>111</v>
      </c>
      <c r="R23" s="714" t="s">
        <v>17</v>
      </c>
      <c r="S23" s="715">
        <f>F23</f>
        <v>100</v>
      </c>
      <c r="T23" s="714" t="s">
        <v>17</v>
      </c>
      <c r="U23" s="715">
        <f>H23</f>
        <v>100</v>
      </c>
      <c r="V23" s="714" t="s">
        <v>17</v>
      </c>
      <c r="W23" s="715">
        <f>J23</f>
        <v>100</v>
      </c>
      <c r="X23" s="1508"/>
      <c r="Y23" s="3560"/>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560"/>
      <c r="Q24" s="1505">
        <f t="shared" ref="Q24:Q34" si="11">B24</f>
        <v>111</v>
      </c>
      <c r="R24" s="714" t="s">
        <v>17</v>
      </c>
      <c r="S24" s="715">
        <f>F24</f>
        <v>100</v>
      </c>
      <c r="T24" s="714" t="s">
        <v>17</v>
      </c>
      <c r="U24" s="715">
        <f>H24</f>
        <v>100</v>
      </c>
      <c r="V24" s="714" t="s">
        <v>17</v>
      </c>
      <c r="W24" s="715">
        <f>J24</f>
        <v>100</v>
      </c>
      <c r="X24" s="1508"/>
      <c r="Y24" s="3560"/>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560"/>
      <c r="Q25" s="1496">
        <f t="shared" si="11"/>
        <v>111</v>
      </c>
      <c r="R25" s="710" t="s">
        <v>17</v>
      </c>
      <c r="S25" s="711">
        <f>F25</f>
        <v>100</v>
      </c>
      <c r="T25" s="710" t="s">
        <v>17</v>
      </c>
      <c r="U25" s="711">
        <f>H25</f>
        <v>100</v>
      </c>
      <c r="V25" s="710" t="s">
        <v>17</v>
      </c>
      <c r="W25" s="711">
        <f>J25</f>
        <v>100</v>
      </c>
      <c r="X25" s="712"/>
      <c r="Y25" s="3560"/>
      <c r="Z25" s="55">
        <f>Q25</f>
        <v>111</v>
      </c>
      <c r="AA25" s="1506">
        <f>D25/F25</f>
        <v>1</v>
      </c>
      <c r="AB25" s="1506">
        <f>D25/H25</f>
        <v>1</v>
      </c>
      <c r="AC25" s="1506">
        <f>D25/J25</f>
        <v>1</v>
      </c>
    </row>
    <row r="26" spans="1:29" ht="28.5">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615" t="s">
        <v>2326</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564" t="s">
        <v>2326</v>
      </c>
      <c r="Z26" s="1509" t="str">
        <f t="shared" ref="Z26:Z34" si="15">Q26</f>
        <v>公共部分装修</v>
      </c>
      <c r="AA26" s="1506">
        <f t="shared" si="3"/>
        <v>1</v>
      </c>
      <c r="AB26" s="1506">
        <f t="shared" si="4"/>
        <v>1</v>
      </c>
      <c r="AC26" s="1506">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564"/>
      <c r="Q27" s="716" t="str">
        <f t="shared" si="11"/>
        <v>成新率</v>
      </c>
      <c r="R27" s="717" t="s">
        <v>17</v>
      </c>
      <c r="S27" s="718" t="e">
        <f t="shared" si="12"/>
        <v>#N/A</v>
      </c>
      <c r="T27" s="717" t="s">
        <v>17</v>
      </c>
      <c r="U27" s="718" t="e">
        <f t="shared" si="13"/>
        <v>#N/A</v>
      </c>
      <c r="V27" s="717" t="s">
        <v>17</v>
      </c>
      <c r="W27" s="718" t="e">
        <f t="shared" si="14"/>
        <v>#N/A</v>
      </c>
      <c r="X27" s="719"/>
      <c r="Y27" s="3564"/>
      <c r="Z27" s="720" t="str">
        <f t="shared" si="15"/>
        <v>成新率</v>
      </c>
      <c r="AA27" s="1506" t="e">
        <f t="shared" si="3"/>
        <v>#N/A</v>
      </c>
      <c r="AB27" s="1506" t="e">
        <f t="shared" si="4"/>
        <v>#N/A</v>
      </c>
      <c r="AC27" s="1506"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564"/>
      <c r="Q28" s="1505" t="str">
        <f t="shared" si="11"/>
        <v>物业等级</v>
      </c>
      <c r="R28" s="714" t="s">
        <v>17</v>
      </c>
      <c r="S28" s="715">
        <f t="shared" si="12"/>
        <v>100</v>
      </c>
      <c r="T28" s="714" t="s">
        <v>17</v>
      </c>
      <c r="U28" s="715">
        <f t="shared" si="13"/>
        <v>100</v>
      </c>
      <c r="V28" s="714" t="s">
        <v>17</v>
      </c>
      <c r="W28" s="715">
        <f t="shared" si="14"/>
        <v>100</v>
      </c>
      <c r="X28" s="1508"/>
      <c r="Y28" s="3564"/>
      <c r="Z28" s="1509" t="str">
        <f t="shared" si="15"/>
        <v>物业等级</v>
      </c>
      <c r="AA28" s="1506">
        <f t="shared" si="3"/>
        <v>1</v>
      </c>
      <c r="AB28" s="1506">
        <f t="shared" si="4"/>
        <v>1</v>
      </c>
      <c r="AC28" s="1506">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564"/>
      <c r="Q29" s="1505" t="str">
        <f t="shared" si="11"/>
        <v>有无电梯</v>
      </c>
      <c r="R29" s="714" t="s">
        <v>17</v>
      </c>
      <c r="S29" s="715">
        <f t="shared" si="12"/>
        <v>100</v>
      </c>
      <c r="T29" s="714" t="s">
        <v>17</v>
      </c>
      <c r="U29" s="715">
        <f t="shared" si="13"/>
        <v>100</v>
      </c>
      <c r="V29" s="714" t="s">
        <v>17</v>
      </c>
      <c r="W29" s="715">
        <f t="shared" si="14"/>
        <v>100</v>
      </c>
      <c r="X29" s="1508"/>
      <c r="Y29" s="3564"/>
      <c r="Z29" s="1509" t="str">
        <f t="shared" si="15"/>
        <v>有无电梯</v>
      </c>
      <c r="AA29" s="1506">
        <f t="shared" si="3"/>
        <v>1</v>
      </c>
      <c r="AB29" s="1506">
        <f t="shared" si="4"/>
        <v>1</v>
      </c>
      <c r="AC29" s="1506">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564"/>
      <c r="Q30" s="1505" t="str">
        <f t="shared" si="11"/>
        <v>建筑面积</v>
      </c>
      <c r="R30" s="714" t="s">
        <v>17</v>
      </c>
      <c r="S30" s="715" t="e">
        <f t="shared" si="12"/>
        <v>#N/A</v>
      </c>
      <c r="T30" s="714" t="s">
        <v>17</v>
      </c>
      <c r="U30" s="715" t="e">
        <f t="shared" si="13"/>
        <v>#N/A</v>
      </c>
      <c r="V30" s="714" t="s">
        <v>17</v>
      </c>
      <c r="W30" s="715" t="e">
        <f t="shared" si="14"/>
        <v>#N/A</v>
      </c>
      <c r="X30" s="1508"/>
      <c r="Y30" s="3564"/>
      <c r="Z30" s="1509" t="str">
        <f t="shared" si="15"/>
        <v>建筑面积</v>
      </c>
      <c r="AA30" s="1506" t="e">
        <f t="shared" si="3"/>
        <v>#N/A</v>
      </c>
      <c r="AB30" s="1506" t="e">
        <f t="shared" si="4"/>
        <v>#N/A</v>
      </c>
      <c r="AC30" s="1506"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564"/>
      <c r="Q31" s="1496" t="str">
        <f t="shared" si="11"/>
        <v>是否封闭</v>
      </c>
      <c r="R31" s="710" t="s">
        <v>17</v>
      </c>
      <c r="S31" s="711">
        <f t="shared" si="12"/>
        <v>100</v>
      </c>
      <c r="T31" s="710" t="s">
        <v>17</v>
      </c>
      <c r="U31" s="711">
        <f t="shared" si="13"/>
        <v>100</v>
      </c>
      <c r="V31" s="710" t="s">
        <v>17</v>
      </c>
      <c r="W31" s="711">
        <f t="shared" si="14"/>
        <v>100</v>
      </c>
      <c r="X31" s="712"/>
      <c r="Y31" s="3564"/>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564" t="s">
        <v>2326</v>
      </c>
      <c r="Q32" s="1505">
        <f t="shared" si="11"/>
        <v>111</v>
      </c>
      <c r="R32" s="714" t="s">
        <v>17</v>
      </c>
      <c r="S32" s="715">
        <f t="shared" si="12"/>
        <v>100</v>
      </c>
      <c r="T32" s="714" t="s">
        <v>17</v>
      </c>
      <c r="U32" s="715">
        <f t="shared" si="13"/>
        <v>100</v>
      </c>
      <c r="V32" s="714" t="s">
        <v>17</v>
      </c>
      <c r="W32" s="715">
        <f t="shared" si="14"/>
        <v>100</v>
      </c>
      <c r="X32" s="1508"/>
      <c r="Y32" s="3564" t="s">
        <v>2326</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564"/>
      <c r="Q33" s="1505">
        <f t="shared" si="11"/>
        <v>111</v>
      </c>
      <c r="R33" s="714" t="s">
        <v>17</v>
      </c>
      <c r="S33" s="715">
        <f t="shared" si="12"/>
        <v>100</v>
      </c>
      <c r="T33" s="714" t="s">
        <v>17</v>
      </c>
      <c r="U33" s="715">
        <f t="shared" si="13"/>
        <v>100</v>
      </c>
      <c r="V33" s="714" t="s">
        <v>17</v>
      </c>
      <c r="W33" s="715">
        <f t="shared" si="14"/>
        <v>100</v>
      </c>
      <c r="X33" s="1508"/>
      <c r="Y33" s="3564"/>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564"/>
      <c r="Q34" s="1505">
        <f t="shared" si="11"/>
        <v>111</v>
      </c>
      <c r="R34" s="714" t="s">
        <v>17</v>
      </c>
      <c r="S34" s="715">
        <f t="shared" si="12"/>
        <v>100</v>
      </c>
      <c r="T34" s="714" t="s">
        <v>17</v>
      </c>
      <c r="U34" s="715">
        <f t="shared" si="13"/>
        <v>100</v>
      </c>
      <c r="V34" s="714" t="s">
        <v>17</v>
      </c>
      <c r="W34" s="715">
        <f t="shared" si="14"/>
        <v>100</v>
      </c>
      <c r="X34" s="1508"/>
      <c r="Y34" s="3564"/>
      <c r="Z34" s="1509">
        <f t="shared" si="15"/>
        <v>111</v>
      </c>
      <c r="AA34" s="1506">
        <f t="shared" si="3"/>
        <v>1</v>
      </c>
      <c r="AB34" s="1506">
        <f t="shared" si="4"/>
        <v>1</v>
      </c>
      <c r="AC34" s="1506">
        <f t="shared" si="5"/>
        <v>1</v>
      </c>
    </row>
    <row r="35" spans="1:30" ht="15">
      <c r="A35" s="438" t="s">
        <v>2338</v>
      </c>
      <c r="B35" s="439"/>
      <c r="C35" s="1288" t="s">
        <v>1</v>
      </c>
      <c r="D35" s="1289"/>
      <c r="E35" s="1290"/>
      <c r="F35" s="1291"/>
      <c r="G35" s="1292"/>
      <c r="H35" s="1293"/>
      <c r="I35" s="1290"/>
      <c r="J35" s="1293"/>
      <c r="K35" s="723"/>
      <c r="L35" s="2922"/>
      <c r="M35" s="2923"/>
      <c r="N35" s="2914"/>
      <c r="O35" s="2923"/>
      <c r="P35" s="3557" t="str">
        <f>A35</f>
        <v>成交单价（元/平方米）</v>
      </c>
      <c r="Q35" s="3557"/>
      <c r="R35" s="3558">
        <f>E35</f>
        <v>0</v>
      </c>
      <c r="S35" s="3558"/>
      <c r="T35" s="3558">
        <f>G35</f>
        <v>0</v>
      </c>
      <c r="U35" s="3558"/>
      <c r="V35" s="3558">
        <f>I35</f>
        <v>0</v>
      </c>
      <c r="W35" s="3558"/>
      <c r="X35" s="699"/>
      <c r="Y35" s="721"/>
      <c r="Z35" s="699"/>
      <c r="AA35" s="699"/>
      <c r="AB35" s="699"/>
      <c r="AC35" s="699"/>
    </row>
    <row r="36" spans="1:30" ht="15.75" thickBot="1">
      <c r="A36" s="445" t="s">
        <v>2430</v>
      </c>
      <c r="B36" s="446"/>
      <c r="C36" s="1294" t="e">
        <f>R37</f>
        <v>#DIV/0!</v>
      </c>
      <c r="D36" s="2507" t="s">
        <v>2819</v>
      </c>
      <c r="E36" s="1295" t="e">
        <f>R36</f>
        <v>#DIV/0!</v>
      </c>
      <c r="F36" s="2508"/>
      <c r="G36" s="1294" t="e">
        <f>T36</f>
        <v>#DIV/0!</v>
      </c>
      <c r="H36" s="2508"/>
      <c r="I36" s="1295" t="e">
        <f>V36</f>
        <v>#DIV/0!</v>
      </c>
      <c r="J36" s="2508"/>
      <c r="K36" s="2510">
        <f>F36+H36+J36</f>
        <v>0</v>
      </c>
      <c r="L36" s="2922"/>
      <c r="M36" s="2923"/>
      <c r="N36" s="2914"/>
      <c r="O36" s="2923"/>
      <c r="P36" s="3557" t="str">
        <f>A36</f>
        <v>比较价值（元/平方米）</v>
      </c>
      <c r="Q36" s="3557"/>
      <c r="R36" s="3558" t="e">
        <f>IF(F1="售价",ROUND(PRODUCT(R35,AA7:AA34),0),ROUND(PRODUCT(R35,AA7:AA34),1))</f>
        <v>#DIV/0!</v>
      </c>
      <c r="S36" s="3558"/>
      <c r="T36" s="3558" t="e">
        <f>IF(F1="售价",ROUND(PRODUCT(T35,AB7:AB34),0),ROUND(PRODUCT(T35,AB7:AB34),1))</f>
        <v>#DIV/0!</v>
      </c>
      <c r="U36" s="3558"/>
      <c r="V36" s="3558" t="e">
        <f>IF(F1="售价",ROUND(PRODUCT(V35,AC7:AC34),0),ROUND(PRODUCT(V35,AC7:AC34),1))</f>
        <v>#DIV/0!</v>
      </c>
      <c r="W36" s="3558"/>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2"/>
      <c r="M37" s="2923"/>
      <c r="N37" s="2923"/>
      <c r="O37" s="2923"/>
      <c r="P37" s="3554" t="str">
        <f>A37</f>
        <v>估价对象XX用房的比较价值（楼面单价，元/平方米）</v>
      </c>
      <c r="Q37" s="3555"/>
      <c r="R37" s="3616" t="e">
        <f>IF(F1="售价",ROUND(IF(D36="简单平均",AVERAGE(R36:W36),R36*F36+T36*H36+V36*J36),0),ROUND(IF(D36="简单平均",AVERAGE(R36:V36),R36*F36+T36*H36+V36*J36),1))</f>
        <v>#DIV/0!</v>
      </c>
      <c r="S37" s="3616"/>
      <c r="T37" s="3616"/>
      <c r="U37" s="3616"/>
      <c r="V37" s="3616"/>
      <c r="W37" s="3616"/>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2309</v>
      </c>
      <c r="B46" s="463"/>
      <c r="C46" s="1317" t="str">
        <f>YEAR(C7)&amp;"-"&amp;MONTH(C7)</f>
        <v>2022-1</v>
      </c>
      <c r="D46" s="1318">
        <f>EDATE(C46,-1)</f>
        <v>44531</v>
      </c>
      <c r="E46" s="1318">
        <f t="shared" ref="E46:O46" si="16">EDATE(D46,-1)</f>
        <v>44501</v>
      </c>
      <c r="F46" s="1318">
        <f t="shared" si="16"/>
        <v>44470</v>
      </c>
      <c r="G46" s="1318">
        <f t="shared" si="16"/>
        <v>44440</v>
      </c>
      <c r="H46" s="1318">
        <f t="shared" si="16"/>
        <v>44409</v>
      </c>
      <c r="I46" s="1318">
        <f t="shared" si="16"/>
        <v>44378</v>
      </c>
      <c r="J46" s="1318">
        <f t="shared" si="16"/>
        <v>44348</v>
      </c>
      <c r="K46" s="1318">
        <f t="shared" si="16"/>
        <v>44317</v>
      </c>
      <c r="L46" s="1318">
        <f t="shared" si="16"/>
        <v>44287</v>
      </c>
      <c r="M46" s="1318">
        <f t="shared" si="16"/>
        <v>44256</v>
      </c>
      <c r="N46" s="1318">
        <f t="shared" si="16"/>
        <v>44228</v>
      </c>
      <c r="O46" s="1318">
        <f t="shared" si="16"/>
        <v>44197</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6">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2501</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2490</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2494</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2502</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2504</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2" zoomScaleNormal="80" zoomScaleSheetLayoutView="100" workbookViewId="0">
      <pane xSplit="20040" topLeftCell="AD1"/>
      <selection activeCell="E30" sqref="E30"/>
      <selection pane="topRight" activeCell="AD1" sqref="AD1"/>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2564</v>
      </c>
      <c r="B1" s="203"/>
      <c r="C1" s="207" t="s">
        <v>2565</v>
      </c>
      <c r="D1" s="348">
        <f>SUM(D29:D30,D33:D39)</f>
        <v>39704.18</v>
      </c>
      <c r="E1" s="2150"/>
      <c r="F1" s="2150"/>
      <c r="G1" s="2150"/>
      <c r="H1" s="2150"/>
      <c r="I1" s="2150"/>
      <c r="J1" s="2150"/>
      <c r="K1" s="1252"/>
      <c r="L1" s="2151" t="s">
        <v>2566</v>
      </c>
      <c r="M1" s="994">
        <f>SUMPRODUCT((区片价!B5:B9=I2)*(区片价!C3:F3=E2)*(区片价!C5:F9))</f>
        <v>0</v>
      </c>
      <c r="N1" s="997">
        <f>SUMPRODUCT((因素修正幅度!B5:B9=I2)*(因素修正幅度!C3:F3=E2)*(因素修正幅度!C5:F9))</f>
        <v>0</v>
      </c>
      <c r="O1" s="2152"/>
      <c r="P1" s="2152"/>
      <c r="Q1" s="1252"/>
      <c r="R1" s="1345" t="s">
        <v>2567</v>
      </c>
      <c r="S1" s="1345" t="s">
        <v>2568</v>
      </c>
      <c r="T1" s="1345" t="s">
        <v>2569</v>
      </c>
      <c r="U1" s="1345" t="s">
        <v>2570</v>
      </c>
      <c r="V1" s="1345" t="s">
        <v>2571</v>
      </c>
      <c r="W1" s="1349"/>
      <c r="X1" s="1349"/>
      <c r="Y1" s="1349"/>
      <c r="Z1" s="1349"/>
      <c r="AA1" s="1349"/>
      <c r="AB1" s="1349"/>
      <c r="AC1" s="1350"/>
      <c r="AD1" s="1351"/>
      <c r="AE1" s="1351"/>
      <c r="AF1" s="1351"/>
      <c r="AG1" s="1351"/>
      <c r="AH1" s="1351"/>
      <c r="AI1" s="1351"/>
      <c r="AJ1" s="1352"/>
    </row>
    <row r="2" spans="1:36" ht="15.75">
      <c r="A2" s="207" t="s">
        <v>2572</v>
      </c>
      <c r="B2" s="210">
        <f>C26</f>
        <v>88588</v>
      </c>
      <c r="C2" s="2154" t="s">
        <v>2573</v>
      </c>
      <c r="D2" s="2155" t="s">
        <v>2574</v>
      </c>
      <c r="E2" s="2156" t="s">
        <v>1283</v>
      </c>
      <c r="F2" s="2155" t="s">
        <v>2575</v>
      </c>
      <c r="G2" s="2157" t="str">
        <f>IF(E2="商业",项目基本情况!B37,IF(E2="办公",项目基本情况!C37,IF(E2="住宅",项目基本情况!D37,项目基本情况!E37)))</f>
        <v>七级</v>
      </c>
      <c r="H2" s="2155" t="s">
        <v>2576</v>
      </c>
      <c r="I2" s="2157" t="str">
        <f>IF(E2="商业",项目基本情况!B38,IF(E2="办公",项目基本情况!C38,IF(E2="住宅",项目基本情况!D38,项目基本情况!E38)))</f>
        <v>Ⅶ-兴1</v>
      </c>
      <c r="J2" s="2158"/>
      <c r="K2" s="1252"/>
      <c r="L2" s="2159" t="s">
        <v>2577</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1.8629</v>
      </c>
      <c r="T2" s="1345">
        <f>ROUND($C$5*$C$18*$C$19*$C$20*S2*$C$24,0)</f>
        <v>17541</v>
      </c>
      <c r="U2" s="1346">
        <f>面积明细!C7</f>
        <v>10721.01</v>
      </c>
      <c r="V2" s="1345">
        <f>ROUND(T2*U2/10000,0)</f>
        <v>18806</v>
      </c>
      <c r="W2" s="1349"/>
      <c r="X2" s="1349"/>
      <c r="Y2" s="1349"/>
      <c r="Z2" s="1349"/>
      <c r="AA2" s="1349"/>
      <c r="AB2" s="1349"/>
      <c r="AC2" s="1350"/>
      <c r="AD2" s="1351"/>
      <c r="AE2" s="1351"/>
      <c r="AF2" s="1351"/>
      <c r="AG2" s="1351"/>
      <c r="AH2" s="1351"/>
      <c r="AI2" s="1351"/>
      <c r="AJ2" s="1352"/>
    </row>
    <row r="3" spans="1:36" ht="15.75">
      <c r="A3" s="209" t="s">
        <v>2578</v>
      </c>
      <c r="B3" s="210">
        <f>ROUND(B2*10000/D1,0)</f>
        <v>22312</v>
      </c>
      <c r="C3" s="2154" t="s">
        <v>2579</v>
      </c>
      <c r="D3" s="2155" t="s">
        <v>2580</v>
      </c>
      <c r="E3" s="2160" t="s">
        <v>3288</v>
      </c>
      <c r="F3" s="2161" t="s">
        <v>2581</v>
      </c>
      <c r="G3" s="855">
        <f>IF(F3="宗地容积率",'数据-汇总表'!I4,IF(F3="估价对象容积率",'数据-汇总表'!I6,'数据-汇总表'!I7))</f>
        <v>2.39</v>
      </c>
      <c r="H3" s="175" t="s">
        <v>2582</v>
      </c>
      <c r="I3" s="881">
        <v>1</v>
      </c>
      <c r="J3" s="2158" t="s">
        <v>2583</v>
      </c>
      <c r="K3" s="1252"/>
      <c r="L3" s="2159" t="s">
        <v>2584</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1.3371999999999999</v>
      </c>
      <c r="T3" s="1345">
        <f t="shared" ref="T3:T16" si="0">ROUND($C$5*$C$18*$C$19*$C$20*S3*$C$24,0)</f>
        <v>12591</v>
      </c>
      <c r="U3" s="1346">
        <f>面积明细!C8</f>
        <v>10190.469999999999</v>
      </c>
      <c r="V3" s="1345">
        <f t="shared" ref="V3:V16" si="1">ROUND(T3*U3/10000,0)</f>
        <v>12831</v>
      </c>
      <c r="W3" s="1349"/>
      <c r="X3" s="1349"/>
      <c r="Y3" s="1349"/>
      <c r="Z3" s="1349"/>
      <c r="AA3" s="1349"/>
      <c r="AB3" s="1349"/>
      <c r="AC3" s="1350"/>
      <c r="AD3" s="1351"/>
      <c r="AE3" s="1351"/>
      <c r="AF3" s="1351"/>
      <c r="AG3" s="1351"/>
      <c r="AH3" s="1351"/>
      <c r="AI3" s="1351"/>
      <c r="AJ3" s="1352"/>
    </row>
    <row r="4" spans="1:36" ht="15.75">
      <c r="A4" s="3620"/>
      <c r="B4" s="3621"/>
      <c r="C4" s="3621"/>
      <c r="D4" s="3622"/>
      <c r="E4" s="3622"/>
      <c r="F4" s="3622"/>
      <c r="G4" s="3622"/>
      <c r="H4" s="3622"/>
      <c r="I4" s="3622"/>
      <c r="J4" s="3623"/>
      <c r="K4" s="1252"/>
      <c r="L4" s="2159" t="s">
        <v>2585</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1.0788</v>
      </c>
      <c r="T4" s="1345">
        <f t="shared" si="0"/>
        <v>10158</v>
      </c>
      <c r="U4" s="1346">
        <f>面积明细!C9</f>
        <v>10512.52</v>
      </c>
      <c r="V4" s="1345">
        <f t="shared" si="1"/>
        <v>10679</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2586</v>
      </c>
      <c r="C5" s="856">
        <f>ROUND(IF(E2="商业",C6*C7+C16,(IF(E2="住宅",C6*C12+C16,C6+C16))),0)</f>
        <v>8590</v>
      </c>
      <c r="D5" s="1492">
        <f>ROUND(C6+C16,0)</f>
        <v>8590</v>
      </c>
      <c r="E5" s="1492"/>
      <c r="F5" s="2164"/>
      <c r="G5" s="2165"/>
      <c r="H5" s="2165"/>
      <c r="I5" s="2165"/>
      <c r="J5" s="2166"/>
      <c r="K5" s="2167"/>
      <c r="L5" s="2159" t="s">
        <v>2587</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0.86560000000000004</v>
      </c>
      <c r="T5" s="1345">
        <f t="shared" si="0"/>
        <v>8150</v>
      </c>
      <c r="U5" s="1346">
        <f>面积明细!C10</f>
        <v>10503.02</v>
      </c>
      <c r="V5" s="1345">
        <f t="shared" si="1"/>
        <v>8560</v>
      </c>
      <c r="W5" s="1349"/>
      <c r="X5" s="1349"/>
      <c r="Y5" s="1349"/>
      <c r="Z5" s="1349"/>
      <c r="AA5" s="1349"/>
      <c r="AB5" s="1349"/>
      <c r="AC5" s="2168"/>
      <c r="AD5" s="2169"/>
      <c r="AE5" s="2169"/>
      <c r="AF5" s="2169"/>
      <c r="AG5" s="2169"/>
      <c r="AH5" s="2169"/>
      <c r="AI5" s="2169"/>
      <c r="AJ5" s="2170"/>
    </row>
    <row r="6" spans="1:36" ht="15.75" thickBot="1">
      <c r="A6" s="2172" t="s">
        <v>2588</v>
      </c>
      <c r="B6" s="2173" t="s">
        <v>2589</v>
      </c>
      <c r="C6" s="857">
        <f>SUMIF(L1:L12,G2,M1:M12)</f>
        <v>8590</v>
      </c>
      <c r="D6" s="2174" t="s">
        <v>2590</v>
      </c>
      <c r="E6" s="2175"/>
      <c r="F6" s="2175"/>
      <c r="G6" s="2176"/>
      <c r="H6" s="2176"/>
      <c r="I6" s="2176"/>
      <c r="J6" s="2177"/>
      <c r="K6" s="1537"/>
      <c r="L6" s="2159" t="s">
        <v>2591</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0.73709999999999998</v>
      </c>
      <c r="T6" s="1345">
        <f t="shared" si="0"/>
        <v>6940</v>
      </c>
      <c r="U6" s="1346">
        <f>面积明细!C11</f>
        <v>7946.38</v>
      </c>
      <c r="V6" s="1345">
        <f t="shared" si="1"/>
        <v>5515</v>
      </c>
      <c r="W6" s="1349"/>
      <c r="X6" s="1349"/>
      <c r="Y6" s="1349"/>
      <c r="Z6" s="1349"/>
      <c r="AA6" s="1349"/>
      <c r="AB6" s="1349"/>
      <c r="AC6" s="2168"/>
      <c r="AD6" s="2169"/>
      <c r="AE6" s="2169"/>
      <c r="AF6" s="2169"/>
      <c r="AG6" s="2169"/>
      <c r="AH6" s="2169"/>
      <c r="AI6" s="2169"/>
      <c r="AJ6" s="2170"/>
    </row>
    <row r="7" spans="1:36" ht="24">
      <c r="A7" s="3624" t="str">
        <f>IF(E2="商业",IF(C8="不临58条商业街","",2),"")</f>
        <v/>
      </c>
      <c r="B7" s="2178" t="s">
        <v>2592</v>
      </c>
      <c r="C7" s="858">
        <f>IF(C8="不临58条商业街",1,ROUND(1+(1.6*E8+1.2*E9+0.8*E10+0.4*E11)*C9,4))</f>
        <v>1</v>
      </c>
      <c r="D7" s="2179" t="s">
        <v>2593</v>
      </c>
      <c r="E7" s="882"/>
      <c r="F7" s="2180"/>
      <c r="G7" s="2181"/>
      <c r="H7" s="2181"/>
      <c r="I7" s="2181"/>
      <c r="J7" s="2182"/>
      <c r="K7" s="1537"/>
      <c r="L7" s="2159" t="s">
        <v>2594</v>
      </c>
      <c r="M7" s="995">
        <f>SUMPRODUCT((区片价!B158:B205=I2)*(区片价!C3:F3=E2)*(区片价!C158:F205))</f>
        <v>8590</v>
      </c>
      <c r="N7" s="997">
        <f>SUMPRODUCT((因素修正幅度!B158:B205=I2)*(因素修正幅度!C3:F3=E2)*(因素修正幅度!C158:F205))</f>
        <v>0.13</v>
      </c>
      <c r="O7" s="1252"/>
      <c r="P7" s="1252"/>
      <c r="Q7" s="1252"/>
      <c r="R7" s="1345">
        <v>6</v>
      </c>
      <c r="S7" s="1345">
        <f>ROUND(IF(G3&gt;1,IF(R7&lt;7,SUMPRODUCT((B93:B98=R7)*(C92:N92=G2)*(C93:N98)),SUMIF(C92:N92,G2,C100:N100)),IF(R7&lt;7,SUMPRODUCT((B102:B107=R7)*(C92:N92=G2)*(C102:N107)),SUMIF(C92:N92,G2,C109:N109))),4)</f>
        <v>0.6482</v>
      </c>
      <c r="T7" s="1345">
        <f t="shared" si="0"/>
        <v>6103</v>
      </c>
      <c r="U7" s="1346">
        <f>面积明细!C12</f>
        <v>7361.49</v>
      </c>
      <c r="V7" s="1345">
        <f t="shared" si="1"/>
        <v>4493</v>
      </c>
      <c r="W7" s="1511" t="s">
        <v>2595</v>
      </c>
      <c r="X7" s="1347" t="str">
        <f>G2</f>
        <v>七级</v>
      </c>
      <c r="Y7" s="1347" t="s">
        <v>2596</v>
      </c>
      <c r="Z7" s="1348">
        <f>G3</f>
        <v>2.39</v>
      </c>
      <c r="AA7" s="1349"/>
      <c r="AB7" s="1349"/>
      <c r="AC7" s="1350"/>
      <c r="AD7" s="1351"/>
      <c r="AE7" s="1351"/>
      <c r="AF7" s="1351"/>
      <c r="AG7" s="1351"/>
      <c r="AH7" s="1351"/>
      <c r="AI7" s="1351"/>
      <c r="AJ7" s="1352"/>
    </row>
    <row r="8" spans="1:36" ht="25.5">
      <c r="A8" s="3625"/>
      <c r="B8" s="175" t="s">
        <v>2597</v>
      </c>
      <c r="C8" s="2183" t="s">
        <v>3289</v>
      </c>
      <c r="D8" s="859" t="s">
        <v>139</v>
      </c>
      <c r="E8" s="860" t="e">
        <f>ROUND(C11/E7,4)</f>
        <v>#DIV/0!</v>
      </c>
      <c r="F8" s="2184" t="s">
        <v>2598</v>
      </c>
      <c r="G8" s="2185"/>
      <c r="H8" s="2185"/>
      <c r="I8" s="2185"/>
      <c r="J8" s="2186"/>
      <c r="K8" s="1252"/>
      <c r="L8" s="2159" t="s">
        <v>2599</v>
      </c>
      <c r="M8" s="995">
        <f>SUMPRODUCT((区片价!B206:B244=I2)*(区片价!C3:F3=E2)*(区片价!C206:F244))</f>
        <v>0</v>
      </c>
      <c r="N8" s="997">
        <f>SUMPRODUCT((因素修正幅度!B206:B244=I2)*(因素修正幅度!C3:F3=E2)*(因素修正幅度!C206:F244))</f>
        <v>0</v>
      </c>
      <c r="O8" s="1252"/>
      <c r="P8" s="1252"/>
      <c r="Q8" s="1252"/>
      <c r="R8" s="1345">
        <v>7</v>
      </c>
      <c r="S8" s="1346">
        <v>0.4501</v>
      </c>
      <c r="T8" s="1345">
        <f t="shared" si="0"/>
        <v>4238</v>
      </c>
      <c r="U8" s="1346">
        <f>面积明细!C13</f>
        <v>3621.76</v>
      </c>
      <c r="V8" s="1345">
        <f t="shared" si="1"/>
        <v>1535</v>
      </c>
      <c r="W8" s="3617" t="s">
        <v>2600</v>
      </c>
      <c r="X8" s="3618"/>
      <c r="Y8" s="1353" t="s">
        <v>2601</v>
      </c>
      <c r="Z8" s="1353" t="s">
        <v>2602</v>
      </c>
      <c r="AA8" s="1353" t="s">
        <v>2603</v>
      </c>
      <c r="AB8" s="1353" t="s">
        <v>2604</v>
      </c>
      <c r="AC8" s="1353" t="s">
        <v>2605</v>
      </c>
      <c r="AD8" s="1353" t="s">
        <v>2606</v>
      </c>
      <c r="AE8" s="1353" t="s">
        <v>2607</v>
      </c>
      <c r="AF8" s="1353" t="s">
        <v>2608</v>
      </c>
      <c r="AG8" s="1353" t="s">
        <v>2609</v>
      </c>
      <c r="AH8" s="1353" t="s">
        <v>2610</v>
      </c>
      <c r="AI8" s="1353" t="s">
        <v>2611</v>
      </c>
      <c r="AJ8" s="1353" t="s">
        <v>2612</v>
      </c>
    </row>
    <row r="9" spans="1:36" ht="15">
      <c r="A9" s="3625"/>
      <c r="B9" s="175" t="s">
        <v>2613</v>
      </c>
      <c r="C9" s="861">
        <f>SUMIF(修正!C59:C119,C8,修正!E59:E119)</f>
        <v>0</v>
      </c>
      <c r="D9" s="176" t="s">
        <v>140</v>
      </c>
      <c r="E9" s="176" t="e">
        <f>ROUND(C11/E7,4)</f>
        <v>#DIV/0!</v>
      </c>
      <c r="F9" s="2184" t="s">
        <v>2614</v>
      </c>
      <c r="G9" s="2185"/>
      <c r="H9" s="2185"/>
      <c r="I9" s="2185"/>
      <c r="J9" s="2186"/>
      <c r="K9" s="1252"/>
      <c r="L9" s="2159" t="s">
        <v>2615</v>
      </c>
      <c r="M9" s="995">
        <f>SUMPRODUCT((区片价!B245:B289=I2)*(区片价!C3:F3=E2)*(区片价!C245:F289))</f>
        <v>0</v>
      </c>
      <c r="N9" s="997">
        <f>SUMPRODUCT((因素修正幅度!B245:B289=I2)*(因素修正幅度!C3:F3=E2)*(因素修正幅度!C245:F289))</f>
        <v>0</v>
      </c>
      <c r="O9" s="1252"/>
      <c r="P9" s="1252"/>
      <c r="Q9" s="1252"/>
      <c r="R9" s="1345">
        <v>8</v>
      </c>
      <c r="S9" s="1346"/>
      <c r="T9" s="1345">
        <f t="shared" si="0"/>
        <v>0</v>
      </c>
      <c r="U9" s="1346"/>
      <c r="V9" s="1345">
        <f t="shared" si="1"/>
        <v>0</v>
      </c>
      <c r="W9" s="3619" t="s">
        <v>2616</v>
      </c>
      <c r="X9" s="1354" t="s">
        <v>2617</v>
      </c>
      <c r="Y9" s="1477">
        <v>7</v>
      </c>
      <c r="Z9" s="1355">
        <f>$Y$9</f>
        <v>7</v>
      </c>
      <c r="AA9" s="1355">
        <f t="shared" ref="AA9:AJ9" si="2">$Y$9</f>
        <v>7</v>
      </c>
      <c r="AB9" s="1355">
        <f t="shared" si="2"/>
        <v>7</v>
      </c>
      <c r="AC9" s="1355">
        <f t="shared" si="2"/>
        <v>7</v>
      </c>
      <c r="AD9" s="1355">
        <f t="shared" si="2"/>
        <v>7</v>
      </c>
      <c r="AE9" s="1355">
        <f t="shared" si="2"/>
        <v>7</v>
      </c>
      <c r="AF9" s="1355">
        <f t="shared" si="2"/>
        <v>7</v>
      </c>
      <c r="AG9" s="1355">
        <f t="shared" si="2"/>
        <v>7</v>
      </c>
      <c r="AH9" s="1355">
        <f t="shared" si="2"/>
        <v>7</v>
      </c>
      <c r="AI9" s="1355">
        <f t="shared" si="2"/>
        <v>7</v>
      </c>
      <c r="AJ9" s="1355">
        <f t="shared" si="2"/>
        <v>7</v>
      </c>
    </row>
    <row r="10" spans="1:36" ht="15">
      <c r="A10" s="3625"/>
      <c r="B10" s="175" t="s">
        <v>2618</v>
      </c>
      <c r="C10" s="176">
        <f>SUMIF(修正!C59:C119,C8,修正!F59:F119)</f>
        <v>0</v>
      </c>
      <c r="D10" s="176" t="s">
        <v>141</v>
      </c>
      <c r="E10" s="176" t="e">
        <f>ROUND(C11/E7,4)</f>
        <v>#DIV/0!</v>
      </c>
      <c r="F10" s="2184" t="s">
        <v>2619</v>
      </c>
      <c r="G10" s="2185"/>
      <c r="H10" s="2185"/>
      <c r="I10" s="2185"/>
      <c r="J10" s="2186"/>
      <c r="K10" s="1252"/>
      <c r="L10" s="2159" t="s">
        <v>2620</v>
      </c>
      <c r="M10" s="995">
        <f>SUMPRODUCT((区片价!B290:B316=I2)*(区片价!C3:F3=E2)*(区片价!C290:F316))</f>
        <v>0</v>
      </c>
      <c r="N10" s="997">
        <f>SUMPRODUCT((因素修正幅度!B290:B316=I2)*(因素修正幅度!C3:F3=E2)*(因素修正幅度!C290:F316))</f>
        <v>0</v>
      </c>
      <c r="O10" s="1252"/>
      <c r="P10" s="1252"/>
      <c r="Q10" s="1252"/>
      <c r="R10" s="1345">
        <v>9</v>
      </c>
      <c r="S10" s="1346"/>
      <c r="T10" s="1345">
        <f t="shared" si="0"/>
        <v>0</v>
      </c>
      <c r="U10" s="1346"/>
      <c r="V10" s="1345">
        <f t="shared" si="1"/>
        <v>0</v>
      </c>
      <c r="W10" s="3619"/>
      <c r="X10" s="1354">
        <v>7</v>
      </c>
      <c r="Y10" s="1356">
        <f>(-0.163*(Y9^2)-0.59*Y9+7617)*(10^(-4))</f>
        <v>0.76048830000000001</v>
      </c>
      <c r="Z10" s="1356">
        <f>(-0.163*(Z9^2)-0.59*Z9+7617)*(10^(-4))</f>
        <v>0.76048830000000001</v>
      </c>
      <c r="AA10" s="1356">
        <f>(-0.161*(AA9^2)-7.509*AA9+6533)*(10^(-4))</f>
        <v>0.64725480000000002</v>
      </c>
      <c r="AB10" s="1356">
        <f>(-0.161*(AB9^2)-7.509*AB9+6533)*(10^(-4))</f>
        <v>0.64725480000000002</v>
      </c>
      <c r="AC10" s="1356">
        <f>(-0.161*(AC9^2)-7.509*AC9+6533)*(10^(-4))</f>
        <v>0.64725480000000002</v>
      </c>
      <c r="AD10" s="1356">
        <f>(-0.161*(AD9^2)-7.509*AD9+6533)*(10^(-4))</f>
        <v>0.64725480000000002</v>
      </c>
      <c r="AE10" s="1356">
        <f>(-0.161*(AE9^2)-7.509*AE9+6533)*(10^(-4))</f>
        <v>0.64725480000000002</v>
      </c>
      <c r="AF10" s="1356">
        <f>(-0.214*(AF9^2)-21.991*AF9+4665)*(10^(-4))</f>
        <v>0.45005770000000006</v>
      </c>
      <c r="AG10" s="1356">
        <f>(-0.214*(AG9^2)-21.991*AG9+4665)*(10^(-4))</f>
        <v>0.45005770000000006</v>
      </c>
      <c r="AH10" s="1356">
        <f>(-0.214*(AH9^2)-21.991*AH9+4665)*(10^(-4))</f>
        <v>0.45005770000000006</v>
      </c>
      <c r="AI10" s="1356">
        <f>(-0.214*(AI9^2)-21.991*AI9+4665)*(10^(-4))</f>
        <v>0.45005770000000006</v>
      </c>
      <c r="AJ10" s="1356">
        <f>(-0.214*(AJ9^2)-21.991*AJ9+4665)*(10^(-4))</f>
        <v>0.45005770000000006</v>
      </c>
    </row>
    <row r="11" spans="1:36" ht="15.75" thickBot="1">
      <c r="A11" s="3625"/>
      <c r="B11" s="2187" t="s">
        <v>2621</v>
      </c>
      <c r="C11" s="862">
        <f>C10/4</f>
        <v>0</v>
      </c>
      <c r="D11" s="862" t="s">
        <v>142</v>
      </c>
      <c r="E11" s="862" t="e">
        <f>ROUND(C11/E7,4)</f>
        <v>#DIV/0!</v>
      </c>
      <c r="F11" s="2188" t="s">
        <v>2622</v>
      </c>
      <c r="G11" s="2189"/>
      <c r="H11" s="2189"/>
      <c r="I11" s="2189"/>
      <c r="J11" s="2190"/>
      <c r="K11" s="1252"/>
      <c r="L11" s="2159" t="s">
        <v>2623</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f t="shared" si="0"/>
        <v>0</v>
      </c>
      <c r="U11" s="1346"/>
      <c r="V11" s="1345">
        <f t="shared" si="1"/>
        <v>0</v>
      </c>
      <c r="W11" s="3619" t="s">
        <v>2624</v>
      </c>
      <c r="X11" s="1357" t="s">
        <v>2625</v>
      </c>
      <c r="Y11" s="1358">
        <f>$G$3</f>
        <v>2.39</v>
      </c>
      <c r="Z11" s="1358">
        <f t="shared" ref="Z11:AJ11" si="3">$G$3</f>
        <v>2.39</v>
      </c>
      <c r="AA11" s="1358">
        <f t="shared" si="3"/>
        <v>2.39</v>
      </c>
      <c r="AB11" s="1358">
        <f t="shared" si="3"/>
        <v>2.39</v>
      </c>
      <c r="AC11" s="1358">
        <f t="shared" si="3"/>
        <v>2.39</v>
      </c>
      <c r="AD11" s="1358">
        <f t="shared" si="3"/>
        <v>2.39</v>
      </c>
      <c r="AE11" s="1358">
        <f t="shared" si="3"/>
        <v>2.39</v>
      </c>
      <c r="AF11" s="1358">
        <f t="shared" si="3"/>
        <v>2.39</v>
      </c>
      <c r="AG11" s="1358">
        <f t="shared" si="3"/>
        <v>2.39</v>
      </c>
      <c r="AH11" s="1358">
        <f t="shared" si="3"/>
        <v>2.39</v>
      </c>
      <c r="AI11" s="1358">
        <f t="shared" si="3"/>
        <v>2.39</v>
      </c>
      <c r="AJ11" s="1358">
        <f t="shared" si="3"/>
        <v>2.39</v>
      </c>
    </row>
    <row r="12" spans="1:36" ht="25.5" hidden="1" thickBot="1">
      <c r="A12" s="3624" t="s">
        <v>2626</v>
      </c>
      <c r="B12" s="2191" t="s">
        <v>2627</v>
      </c>
      <c r="C12" s="858">
        <f>ROUND(C15*D15*E15*F15*G15*H15*I15*J15,4)</f>
        <v>1</v>
      </c>
      <c r="D12" s="2192" t="s">
        <v>2628</v>
      </c>
      <c r="E12" s="2193"/>
      <c r="F12" s="2193"/>
      <c r="G12" s="2194"/>
      <c r="H12" s="2194"/>
      <c r="I12" s="2194"/>
      <c r="J12" s="2195"/>
      <c r="K12" s="1252"/>
      <c r="L12" s="2196" t="s">
        <v>2629</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f t="shared" si="0"/>
        <v>0</v>
      </c>
      <c r="U12" s="1346"/>
      <c r="V12" s="1345">
        <f t="shared" si="1"/>
        <v>0</v>
      </c>
      <c r="W12" s="3619"/>
      <c r="X12" s="1359" t="s">
        <v>2630</v>
      </c>
      <c r="Y12" s="1355">
        <f t="shared" ref="Y12:AJ12" si="4">Y9</f>
        <v>7</v>
      </c>
      <c r="Z12" s="1355">
        <f t="shared" si="4"/>
        <v>7</v>
      </c>
      <c r="AA12" s="1355">
        <f t="shared" si="4"/>
        <v>7</v>
      </c>
      <c r="AB12" s="1355">
        <f t="shared" si="4"/>
        <v>7</v>
      </c>
      <c r="AC12" s="1355">
        <f t="shared" si="4"/>
        <v>7</v>
      </c>
      <c r="AD12" s="1355">
        <f t="shared" si="4"/>
        <v>7</v>
      </c>
      <c r="AE12" s="1355">
        <f t="shared" si="4"/>
        <v>7</v>
      </c>
      <c r="AF12" s="1355">
        <f t="shared" si="4"/>
        <v>7</v>
      </c>
      <c r="AG12" s="1355">
        <f t="shared" si="4"/>
        <v>7</v>
      </c>
      <c r="AH12" s="1355">
        <f t="shared" si="4"/>
        <v>7</v>
      </c>
      <c r="AI12" s="1355">
        <f t="shared" si="4"/>
        <v>7</v>
      </c>
      <c r="AJ12" s="1355">
        <f t="shared" si="4"/>
        <v>7</v>
      </c>
    </row>
    <row r="13" spans="1:36" ht="24" hidden="1">
      <c r="A13" s="3626"/>
      <c r="B13" s="2197" t="s">
        <v>2631</v>
      </c>
      <c r="C13" s="2198" t="s">
        <v>2632</v>
      </c>
      <c r="D13" s="1503" t="s">
        <v>2633</v>
      </c>
      <c r="E13" s="1503" t="s">
        <v>2634</v>
      </c>
      <c r="F13" s="30" t="s">
        <v>2635</v>
      </c>
      <c r="G13" s="2199" t="s">
        <v>2636</v>
      </c>
      <c r="H13" s="2199" t="s">
        <v>2636</v>
      </c>
      <c r="I13" s="2199" t="s">
        <v>2636</v>
      </c>
      <c r="J13" s="2200" t="s">
        <v>2636</v>
      </c>
      <c r="K13" s="1252"/>
      <c r="L13" s="1252"/>
      <c r="M13" s="1252"/>
      <c r="N13" s="1252"/>
      <c r="O13" s="1252"/>
      <c r="P13" s="1252"/>
      <c r="Q13" s="1252"/>
      <c r="R13" s="1345">
        <v>12</v>
      </c>
      <c r="S13" s="1346"/>
      <c r="T13" s="1345">
        <f t="shared" si="0"/>
        <v>0</v>
      </c>
      <c r="U13" s="1346"/>
      <c r="V13" s="1345">
        <f t="shared" si="1"/>
        <v>0</v>
      </c>
      <c r="W13" s="3619"/>
      <c r="X13" s="1359"/>
      <c r="Y13" s="1356">
        <f>(-0.163*(Y12^2)-0.59*Y12+7617)*(10^(-4))/Y11</f>
        <v>0.31819594142259411</v>
      </c>
      <c r="Z13" s="1356">
        <f t="shared" ref="Z13:AJ13" si="5">(-0.163*(Z12^2)-0.59*Z12+7617)*(10^(-4))/Z11</f>
        <v>0.31819594142259411</v>
      </c>
      <c r="AA13" s="1356">
        <f t="shared" si="5"/>
        <v>0.31819594142259411</v>
      </c>
      <c r="AB13" s="1356">
        <f t="shared" si="5"/>
        <v>0.31819594142259411</v>
      </c>
      <c r="AC13" s="1356">
        <f t="shared" si="5"/>
        <v>0.31819594142259411</v>
      </c>
      <c r="AD13" s="1356">
        <f t="shared" si="5"/>
        <v>0.31819594142259411</v>
      </c>
      <c r="AE13" s="1356">
        <f t="shared" si="5"/>
        <v>0.31819594142259411</v>
      </c>
      <c r="AF13" s="1356">
        <f t="shared" si="5"/>
        <v>0.31819594142259411</v>
      </c>
      <c r="AG13" s="1356">
        <f t="shared" si="5"/>
        <v>0.31819594142259411</v>
      </c>
      <c r="AH13" s="1356">
        <f t="shared" si="5"/>
        <v>0.31819594142259411</v>
      </c>
      <c r="AI13" s="1356">
        <f t="shared" si="5"/>
        <v>0.31819594142259411</v>
      </c>
      <c r="AJ13" s="1356">
        <f t="shared" si="5"/>
        <v>0.31819594142259411</v>
      </c>
    </row>
    <row r="14" spans="1:36" ht="15" hidden="1">
      <c r="A14" s="3626"/>
      <c r="B14" s="2201"/>
      <c r="C14" s="2202"/>
      <c r="D14" s="2203"/>
      <c r="E14" s="2203"/>
      <c r="F14" s="2204"/>
      <c r="G14" s="2205" t="s">
        <v>2637</v>
      </c>
      <c r="H14" s="2206"/>
      <c r="I14" s="2207"/>
      <c r="J14" s="2208"/>
      <c r="K14" s="1252"/>
      <c r="L14" s="1252"/>
      <c r="M14" s="1252"/>
      <c r="N14" s="1252"/>
      <c r="O14" s="1252"/>
      <c r="P14" s="1252"/>
      <c r="Q14" s="1252"/>
      <c r="R14" s="1345">
        <v>13</v>
      </c>
      <c r="S14" s="1346"/>
      <c r="T14" s="1345">
        <f t="shared" si="0"/>
        <v>0</v>
      </c>
      <c r="U14" s="1346"/>
      <c r="V14" s="1345">
        <f t="shared" si="1"/>
        <v>0</v>
      </c>
      <c r="W14" s="1349"/>
      <c r="X14" s="1349"/>
      <c r="Y14" s="1349"/>
      <c r="Z14" s="1349"/>
      <c r="AA14" s="1349"/>
      <c r="AB14" s="1349"/>
      <c r="AC14" s="1350"/>
      <c r="AD14" s="2989"/>
      <c r="AE14" s="2989"/>
      <c r="AF14" s="2989"/>
      <c r="AG14" s="2989"/>
      <c r="AH14" s="2989"/>
      <c r="AI14" s="2989"/>
      <c r="AJ14" s="2990"/>
    </row>
    <row r="15" spans="1:36" ht="15.75" hidden="1" thickBot="1">
      <c r="A15" s="3627"/>
      <c r="B15" s="2209" t="s">
        <v>2638</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f t="shared" si="0"/>
        <v>0</v>
      </c>
      <c r="U15" s="1346"/>
      <c r="V15" s="1345">
        <f t="shared" si="1"/>
        <v>0</v>
      </c>
      <c r="W15" s="1349"/>
      <c r="X15" s="1349"/>
      <c r="Y15" s="1349"/>
      <c r="Z15" s="1349"/>
      <c r="AA15" s="1349"/>
      <c r="AB15" s="1349"/>
      <c r="AC15" s="1350"/>
      <c r="AD15" s="2989"/>
      <c r="AE15" s="2989"/>
      <c r="AF15" s="2989"/>
      <c r="AG15" s="2989"/>
      <c r="AH15" s="2989"/>
      <c r="AI15" s="2989"/>
      <c r="AJ15" s="2990"/>
    </row>
    <row r="16" spans="1:36" ht="24.6" customHeight="1">
      <c r="A16" s="3624" t="s">
        <v>2643</v>
      </c>
      <c r="B16" s="2178" t="s">
        <v>2644</v>
      </c>
      <c r="C16" s="2340">
        <f>ROUND(IF(F17="与级别开发程度一致",0,(G17-E17)/C17),0)</f>
        <v>0</v>
      </c>
      <c r="D16" s="3640" t="s">
        <v>2648</v>
      </c>
      <c r="E16" s="3641"/>
      <c r="F16" s="3640" t="s">
        <v>2645</v>
      </c>
      <c r="G16" s="3641"/>
      <c r="H16" s="2210"/>
      <c r="I16" s="2210"/>
      <c r="J16" s="2344"/>
      <c r="K16" s="2210"/>
      <c r="L16" s="2210"/>
      <c r="M16" s="2210"/>
      <c r="N16" s="2210"/>
      <c r="O16" s="2211"/>
      <c r="P16" s="2152"/>
      <c r="Q16" s="1252"/>
      <c r="R16" s="1345">
        <v>15</v>
      </c>
      <c r="S16" s="1346"/>
      <c r="T16" s="1345">
        <f t="shared" si="0"/>
        <v>0</v>
      </c>
      <c r="U16" s="1346"/>
      <c r="V16" s="1345">
        <f t="shared" si="1"/>
        <v>0</v>
      </c>
      <c r="W16" s="1349"/>
      <c r="X16" s="1349"/>
      <c r="Y16" s="1349"/>
      <c r="Z16" s="1349"/>
      <c r="AA16" s="1349"/>
      <c r="AB16" s="1349"/>
      <c r="AC16" s="1350"/>
      <c r="AD16" s="2989"/>
      <c r="AE16" s="2989"/>
      <c r="AF16" s="2989"/>
      <c r="AG16" s="2989"/>
      <c r="AH16" s="2989"/>
      <c r="AI16" s="2989"/>
      <c r="AJ16" s="2990"/>
    </row>
    <row r="17" spans="1:37" ht="26.25" thickBot="1">
      <c r="A17" s="3628"/>
      <c r="B17" s="2351" t="s">
        <v>2647</v>
      </c>
      <c r="C17" s="2352">
        <f>SUMPRODUCT((修正!A2:A5=E2)*(修正!B1:M1=G2)*(修正!B2:M5))</f>
        <v>2.5</v>
      </c>
      <c r="D17" s="193" t="str">
        <f>IF(OR(G2="八级",G2="九级",G2="十级",G2="十一级",G2="十二级"),"五通一平","七通一平")</f>
        <v>七通一平</v>
      </c>
      <c r="E17" s="2341">
        <f>SUMPRODUCT((修正!B1:M1=G2)*(修正!B15:M15))</f>
        <v>300</v>
      </c>
      <c r="F17" s="2342" t="s">
        <v>3290</v>
      </c>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2650</v>
      </c>
      <c r="C18" s="2347">
        <f>SUMIF(修正!C18:C39,E3,修正!E18:E39)</f>
        <v>1</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7.75" thickBot="1">
      <c r="A19" s="2215" t="s">
        <v>809</v>
      </c>
      <c r="B19" s="2216" t="s">
        <v>2651</v>
      </c>
      <c r="C19" s="863">
        <f>ROUND(IF(H19="按公示增长率计算",SUMPRODUCT((地价!A3:A37=YEAR(G19)&amp;"-"&amp;ROUNDUP(MONTH(G19)/3,0))*(地价!X2:AB2=E2)*(地价!X3:AB37)),IF(H19="地价指数",M20/M19,(1+I19)^O19)),4)</f>
        <v>1.3643000000000001</v>
      </c>
      <c r="D19" s="2220" t="s">
        <v>2652</v>
      </c>
      <c r="E19" s="864">
        <v>41640</v>
      </c>
      <c r="F19" s="2220" t="s">
        <v>2653</v>
      </c>
      <c r="G19" s="865">
        <f>'数据-取费表'!B2</f>
        <v>44567</v>
      </c>
      <c r="H19" s="2221" t="s">
        <v>3291</v>
      </c>
      <c r="I19" s="866" t="str">
        <f>IF(H19="季度增幅（自定义）",SUMIF(N21:N24,E2,O21:O24),"")</f>
        <v/>
      </c>
      <c r="J19" s="2218"/>
      <c r="K19" s="1259"/>
      <c r="L19" s="2222" t="s">
        <v>2654</v>
      </c>
      <c r="M19" s="1467">
        <f>ROUND(SUMIF(地价!B2:F2,E2,地价!B37:F37),0)</f>
        <v>258</v>
      </c>
      <c r="N19" s="2223"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2656</v>
      </c>
      <c r="C20" s="868">
        <f>ROUND(POWER(1+G20,J20-I20)*(POWER(1+G20,I20)-1)/(POWER(1+G20,J20)-1),4)</f>
        <v>0.75370000000000004</v>
      </c>
      <c r="D20" s="2227" t="s">
        <v>2657</v>
      </c>
      <c r="E20" s="1474">
        <f>存贷款利率!E18/100</f>
        <v>4.3499999999999997E-2</v>
      </c>
      <c r="F20" s="2227" t="s">
        <v>2649</v>
      </c>
      <c r="G20" s="873">
        <f>SUMIF(M26:P26,E2,M28:P28)</f>
        <v>5.3999999999999999E-2</v>
      </c>
      <c r="H20" s="2227" t="s">
        <v>2658</v>
      </c>
      <c r="I20" s="874">
        <f>SUMIF('数据-取费表'!C6:C15,E2,'数据-取费表'!F6:F15)/COUNTIF('数据-取费表'!C6:C15,E2)</f>
        <v>20.61</v>
      </c>
      <c r="J20" s="875">
        <f>IF(E2="住宅",70,IF(E2="商业",40,50))</f>
        <v>40</v>
      </c>
      <c r="K20" s="1259"/>
      <c r="L20" s="2228" t="s">
        <v>2659</v>
      </c>
      <c r="M20" s="1468">
        <f>ROUND(SUMPRODUCT((地价!A4:A37=YEAR(G19)&amp;"-"&amp;ROUNDUP(MONTH(G19)/3,0))*(地价!B2:F2=E2)*(地价!B4:F37)),0)</f>
        <v>352</v>
      </c>
      <c r="N20" s="2229" t="s">
        <v>2660</v>
      </c>
      <c r="O20" s="2230" t="s">
        <v>2661</v>
      </c>
      <c r="P20" s="2231" t="s">
        <v>2662</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3292</v>
      </c>
      <c r="C21" s="876">
        <f>IF(B21="容积率修正",IF(G3&lt;=10,D22,J22),C23)</f>
        <v>1.8629</v>
      </c>
      <c r="D21" s="2234"/>
      <c r="E21" s="2234"/>
      <c r="F21" s="2234"/>
      <c r="G21" s="2234"/>
      <c r="H21" s="2234"/>
      <c r="I21" s="2234"/>
      <c r="J21" s="2235"/>
      <c r="K21" s="1259"/>
      <c r="L21" s="2988"/>
      <c r="M21" s="2988"/>
      <c r="N21" s="2236" t="s">
        <v>2663</v>
      </c>
      <c r="O21" s="1307"/>
      <c r="P21" s="1308">
        <f>SUMPRODUCT((地价!A3:A37=YEAR(G19)&amp;"-"&amp;ROUNDUP(MONTH(G19)/3,0))*(地价!AD2:AH2=N21)*(地价!AD3:AH37))</f>
        <v>1.0200000000000001E-2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2664</v>
      </c>
      <c r="B22" s="2237" t="s">
        <v>2665</v>
      </c>
      <c r="C22" s="1505" t="s">
        <v>2666</v>
      </c>
      <c r="D22" s="1505">
        <f>IF(E22=G22,F22,IF(G3&lt;=10,ROUND(F22+(H22-F22)*(G3-E22)/(G22-E22),4),"——"))</f>
        <v>1.0172000000000001</v>
      </c>
      <c r="E22" s="855">
        <f>ROUNDDOWN(G3,1)</f>
        <v>2.2999999999999998</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1.032</v>
      </c>
      <c r="G22" s="855">
        <f>ROUNDUP(G3,1)</f>
        <v>2.4</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1.0155000000000001</v>
      </c>
      <c r="I22" s="1505" t="s">
        <v>155</v>
      </c>
      <c r="J22" s="877" t="str">
        <f>IF(G3&gt;10,D113,"——")</f>
        <v>——</v>
      </c>
      <c r="K22" s="1259"/>
      <c r="L22" s="2988"/>
      <c r="M22" s="2988"/>
      <c r="N22" s="2236" t="s">
        <v>2667</v>
      </c>
      <c r="O22" s="1307"/>
      <c r="P22" s="1308">
        <f>SUMPRODUCT((地价!A3:A37=YEAR(G19)&amp;"-"&amp;ROUNDUP(MONTH(G19)/3,0))*(地价!AD2:AH2=N22)*(地价!AD3:AH37))</f>
        <v>1.0200000000000001E-2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2668</v>
      </c>
      <c r="B23" s="2238" t="s">
        <v>2669</v>
      </c>
      <c r="C23" s="950">
        <f>ROUND(IF(G3&gt;1,IF(I3&lt;7,SUMPRODUCT((B93:B98=I3)*(C92:N92=G2)*(C93:N98)),SUMIF(C92:N92,G2,C100:N100)),IF(I3&lt;7,SUMPRODUCT((B102:B107=I3)*(C92:N92=G2)*(C102:N107)),SUMIF(C92:N92,G2,C109:N109))),4)</f>
        <v>1.8629</v>
      </c>
      <c r="D23" s="2206"/>
      <c r="E23" s="2206"/>
      <c r="F23" s="2239"/>
      <c r="G23" s="2240"/>
      <c r="H23" s="2241"/>
      <c r="I23" s="2242"/>
      <c r="J23" s="2243"/>
      <c r="K23" s="1252"/>
      <c r="L23" s="2152"/>
      <c r="M23" s="2152"/>
      <c r="N23" s="2236" t="s">
        <v>2670</v>
      </c>
      <c r="O23" s="1307"/>
      <c r="P23" s="1308">
        <f>SUMPRODUCT((地价!A3:A37=YEAR(G19)&amp;"-"&amp;ROUNDUP(MONTH(G19)/3,0))*(地价!AD2:AH2=N23)*(地价!AD3:AH37))</f>
        <v>1.77E-2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2671</v>
      </c>
      <c r="C24" s="863">
        <f>SUMIF(A45:A88,E2,B45:B88)</f>
        <v>1.0660000000000001</v>
      </c>
      <c r="D24" s="2217"/>
      <c r="E24" s="2244"/>
      <c r="F24" s="2244"/>
      <c r="G24" s="2244"/>
      <c r="H24" s="2244"/>
      <c r="I24" s="2244"/>
      <c r="J24" s="2245"/>
      <c r="K24" s="1259"/>
      <c r="L24" s="2988"/>
      <c r="M24" s="2988"/>
      <c r="N24" s="2246" t="s">
        <v>2672</v>
      </c>
      <c r="O24" s="1309"/>
      <c r="P24" s="1310">
        <f>SUMPRODUCT((地价!A3:A37=YEAR(G19)&amp;"-"&amp;ROUNDUP(MONTH(G19)/3,0))*(地价!AD2:AH2=N24)*(地价!AD3:AH37))</f>
        <v>1.18E-2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2673</v>
      </c>
      <c r="C25" s="869"/>
      <c r="D25" s="2181"/>
      <c r="E25" s="2181"/>
      <c r="F25" s="2248"/>
      <c r="G25" s="2181"/>
      <c r="H25" s="2181"/>
      <c r="I25" s="2181"/>
      <c r="J25" s="2182"/>
      <c r="K25" s="1252"/>
      <c r="L25" s="2152"/>
      <c r="M25" s="2152"/>
      <c r="N25" s="2983" t="s">
        <v>2674</v>
      </c>
      <c r="O25" s="2984"/>
      <c r="P25" s="2985">
        <f>SUMPRODUCT((地价!A3:A37=YEAR(G19)&amp;"-"&amp;ROUNDUP(MONTH(G19)/3,0))*(地价!AD2:AH2=N25)*(地价!AD3:AH37))</f>
        <v>1.61E-2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2675</v>
      </c>
      <c r="C26" s="2511">
        <f>IF(B21="容积率修正",E29+SUM(E33:E39),SUM(V2:V16)+SUM(E33:E39))</f>
        <v>88588</v>
      </c>
      <c r="D26" s="2250"/>
      <c r="E26" s="2206"/>
      <c r="F26" s="2251"/>
      <c r="G26" s="2206"/>
      <c r="H26" s="2206"/>
      <c r="I26" s="2206"/>
      <c r="J26" s="2252"/>
      <c r="K26" s="1252"/>
      <c r="L26" s="2986" t="s">
        <v>2574</v>
      </c>
      <c r="M26" s="2179" t="s">
        <v>2639</v>
      </c>
      <c r="N26" s="2179" t="s">
        <v>2640</v>
      </c>
      <c r="O26" s="2179" t="s">
        <v>2641</v>
      </c>
      <c r="P26" s="2987" t="s">
        <v>2642</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2676</v>
      </c>
      <c r="C27" s="870">
        <f>E30+SUM(I33:I39)</f>
        <v>6543</v>
      </c>
      <c r="D27" s="2254"/>
      <c r="E27" s="2255"/>
      <c r="F27" s="2256"/>
      <c r="G27" s="2255"/>
      <c r="H27" s="2255"/>
      <c r="I27" s="2255"/>
      <c r="J27" s="2257"/>
      <c r="K27" s="1252"/>
      <c r="L27" s="2212"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2677</v>
      </c>
      <c r="C28" s="2260" t="s">
        <v>2678</v>
      </c>
      <c r="D28" s="2260" t="s">
        <v>2679</v>
      </c>
      <c r="E28" s="2261" t="s">
        <v>2680</v>
      </c>
      <c r="F28" s="2262"/>
      <c r="G28" s="2194"/>
      <c r="H28" s="2194"/>
      <c r="I28" s="2194"/>
      <c r="J28" s="2195"/>
      <c r="K28" s="1252"/>
      <c r="L28" s="2213"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2681</v>
      </c>
      <c r="C29" s="180">
        <f>ROUND(C5*C18*C19*C20*C21*C24,0)</f>
        <v>17541</v>
      </c>
      <c r="D29" s="2265"/>
      <c r="E29" s="879">
        <f>ROUND(C29*D29/10000,0)</f>
        <v>0</v>
      </c>
      <c r="F29" s="2266" t="s">
        <v>2682</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2683</v>
      </c>
      <c r="C30" s="193">
        <f>ROUND(IF(E2="工业",C29*M39,C29*M38),0)</f>
        <v>4385</v>
      </c>
      <c r="D30" s="2271"/>
      <c r="E30" s="879">
        <f>ROUND(C30*D30/10000,0)</f>
        <v>0</v>
      </c>
      <c r="F30" s="2272" t="s">
        <v>2684</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2685</v>
      </c>
      <c r="C31" s="2277" t="s">
        <v>2686</v>
      </c>
      <c r="D31" s="2194"/>
      <c r="E31" s="2277"/>
      <c r="F31" s="2277"/>
      <c r="G31" s="2192" t="s">
        <v>2687</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2678</v>
      </c>
      <c r="D32" s="455" t="s">
        <v>2679</v>
      </c>
      <c r="E32" s="455" t="s">
        <v>2680</v>
      </c>
      <c r="F32" s="348" t="s">
        <v>2688</v>
      </c>
      <c r="G32" s="2280" t="s">
        <v>2678</v>
      </c>
      <c r="H32" s="2280" t="s">
        <v>2679</v>
      </c>
      <c r="I32" s="2280"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637"/>
      <c r="B33" s="2281" t="s">
        <v>2689</v>
      </c>
      <c r="C33" s="180">
        <f>ROUND(D5*C19*C20*C24*F33,0)</f>
        <v>6591</v>
      </c>
      <c r="D33" s="2265">
        <f>'数据-汇总表'!G19</f>
        <v>39704.18</v>
      </c>
      <c r="E33" s="176">
        <f>ROUND(C33*D33/10000,0)</f>
        <v>26169</v>
      </c>
      <c r="F33" s="176">
        <f>SUMIF(修正!A45:A56,G2,修正!B45:B56)</f>
        <v>0.7</v>
      </c>
      <c r="G33" s="176">
        <f t="shared" ref="G33" si="6">ROUND(IF(E2="工业",C33*$M$39,C33*$M$38),0)</f>
        <v>1648</v>
      </c>
      <c r="H33" s="176">
        <f>D33</f>
        <v>39704.18</v>
      </c>
      <c r="I33" s="176">
        <f>ROUND(G33*H33/10000,0)</f>
        <v>6543</v>
      </c>
      <c r="J33" s="3642" t="s">
        <v>2995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638"/>
      <c r="B34" s="2198" t="s">
        <v>2690</v>
      </c>
      <c r="C34" s="180">
        <f>ROUND(D5*C19*C20*C24*F34,0)</f>
        <v>3766</v>
      </c>
      <c r="D34" s="2265"/>
      <c r="E34" s="176">
        <f t="shared" ref="E34:E39" si="7">ROUND(C34*D34/10000,0)</f>
        <v>0</v>
      </c>
      <c r="F34" s="176">
        <f>SUMIF(修正!A45:A56,G2,修正!C45:C56)</f>
        <v>0.4</v>
      </c>
      <c r="G34" s="176">
        <f>ROUND(IF(E2="工业",C34*$M$39,C34*$M$38),0)</f>
        <v>942</v>
      </c>
      <c r="H34" s="176">
        <f t="shared" ref="H34:H39" si="8">D34</f>
        <v>0</v>
      </c>
      <c r="I34" s="176">
        <f t="shared" ref="I34:I39" si="9">ROUND(G34*H34/10000,0)</f>
        <v>0</v>
      </c>
      <c r="J34" s="3638"/>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638"/>
      <c r="B35" s="2198" t="s">
        <v>2691</v>
      </c>
      <c r="C35" s="180">
        <f>ROUND(D5*C19*C20*C24*F35,0)</f>
        <v>2636</v>
      </c>
      <c r="D35" s="2265"/>
      <c r="E35" s="176">
        <f t="shared" si="7"/>
        <v>0</v>
      </c>
      <c r="F35" s="176">
        <f>SUMIF(修正!A45:A56,G2,修正!D45:D56)</f>
        <v>0.28000000000000003</v>
      </c>
      <c r="G35" s="176">
        <f>ROUND(IF(E2="工业",C35*$M$39,C35*$M$38),0)</f>
        <v>659</v>
      </c>
      <c r="H35" s="176">
        <f t="shared" si="8"/>
        <v>0</v>
      </c>
      <c r="I35" s="176">
        <f t="shared" si="9"/>
        <v>0</v>
      </c>
      <c r="J35" s="3638"/>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639"/>
      <c r="B36" s="2198" t="s">
        <v>2692</v>
      </c>
      <c r="C36" s="180">
        <f>ROUND(D5*C19*C20*C24*F36,0)</f>
        <v>2354</v>
      </c>
      <c r="D36" s="2265"/>
      <c r="E36" s="176">
        <f t="shared" si="7"/>
        <v>0</v>
      </c>
      <c r="F36" s="176">
        <f>SUMIF(修正!A45:A56,G2,修正!E45:E56)</f>
        <v>0.25</v>
      </c>
      <c r="G36" s="176">
        <f>ROUND(IF(E2="工业",C36*$M$39,C36*$M$38),0)</f>
        <v>589</v>
      </c>
      <c r="H36" s="176">
        <f t="shared" si="8"/>
        <v>0</v>
      </c>
      <c r="I36" s="176">
        <f t="shared" si="9"/>
        <v>0</v>
      </c>
      <c r="J36" s="3639"/>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2693</v>
      </c>
      <c r="C37" s="176">
        <f>ROUND(D5*C19*C20*C24*F37,0)</f>
        <v>2354</v>
      </c>
      <c r="D37" s="2265"/>
      <c r="E37" s="176">
        <f t="shared" si="7"/>
        <v>0</v>
      </c>
      <c r="F37" s="180">
        <f>SUMIF(修正!A45:A56,G2,修正!F45:F56)</f>
        <v>0.25</v>
      </c>
      <c r="G37" s="176">
        <f>ROUND(IF(E2="工业",C37*$M$39,C37*$M$38),0)</f>
        <v>589</v>
      </c>
      <c r="H37" s="176">
        <f t="shared" si="8"/>
        <v>0</v>
      </c>
      <c r="I37" s="176">
        <f t="shared" si="9"/>
        <v>0</v>
      </c>
      <c r="J37" s="2282"/>
      <c r="K37" s="1252"/>
      <c r="L37" s="2284" t="s">
        <v>2694</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2695</v>
      </c>
      <c r="C38" s="176">
        <f>ROUND(D5*C19*C41*C24*F38,0)</f>
        <v>2693</v>
      </c>
      <c r="D38" s="2265"/>
      <c r="E38" s="176">
        <f t="shared" si="7"/>
        <v>0</v>
      </c>
      <c r="F38" s="180">
        <f>SUMIF(修正!A45:A56,G2,修正!G45:G56)</f>
        <v>0.25</v>
      </c>
      <c r="G38" s="176">
        <f>ROUND(IF(E2="工业",C38*$M$39,C38*$M$38),0)</f>
        <v>673</v>
      </c>
      <c r="H38" s="176">
        <f t="shared" si="8"/>
        <v>0</v>
      </c>
      <c r="I38" s="176">
        <f t="shared" si="9"/>
        <v>0</v>
      </c>
      <c r="J38" s="2282"/>
      <c r="K38" s="1252"/>
      <c r="L38" s="1574" t="s">
        <v>2696</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2697</v>
      </c>
      <c r="C39" s="193">
        <f>ROUND(D5*C19*C41*C24*F39,0)</f>
        <v>2155</v>
      </c>
      <c r="D39" s="2271">
        <f>'数据-汇总表'!G20</f>
        <v>0</v>
      </c>
      <c r="E39" s="193">
        <f t="shared" si="7"/>
        <v>0</v>
      </c>
      <c r="F39" s="871">
        <f>SUMIF(修正!A45:A56,G2,修正!H45:H56)</f>
        <v>0.2</v>
      </c>
      <c r="G39" s="193">
        <f>ROUND(IF(E2="工业",C39*$M$39,C39*$M$38),0)</f>
        <v>539</v>
      </c>
      <c r="H39" s="193">
        <f t="shared" si="8"/>
        <v>0</v>
      </c>
      <c r="I39" s="193">
        <f t="shared" si="9"/>
        <v>0</v>
      </c>
      <c r="J39" s="2288"/>
      <c r="K39" s="1252"/>
      <c r="L39" s="2289" t="s">
        <v>2642</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2802</v>
      </c>
      <c r="C41" s="348">
        <f>ROUND(POWER(1+E41,H41-G41)*(POWER(1+E41,G41)-1)/(POWER(1+E41,H41)-1),4)</f>
        <v>0.86240000000000006</v>
      </c>
      <c r="D41" s="176" t="s">
        <v>2649</v>
      </c>
      <c r="E41" s="2338">
        <f>G20</f>
        <v>5.3999999999999999E-2</v>
      </c>
      <c r="F41" s="176" t="s">
        <v>2658</v>
      </c>
      <c r="G41" s="189">
        <f>项目基本情况!G15</f>
        <v>30.62</v>
      </c>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2698</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2699</v>
      </c>
      <c r="B46" s="2295">
        <f>1+E48</f>
        <v>1.0660000000000001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2700</v>
      </c>
      <c r="B47" s="1504" t="s">
        <v>2701</v>
      </c>
      <c r="C47" s="1504" t="s">
        <v>2702</v>
      </c>
      <c r="D47" s="1504" t="s">
        <v>2703</v>
      </c>
      <c r="E47" s="758" t="s">
        <v>2704</v>
      </c>
      <c r="F47" s="2299" t="s">
        <v>2705</v>
      </c>
      <c r="G47" s="1504" t="s">
        <v>754</v>
      </c>
      <c r="H47" s="2300" t="s">
        <v>2706</v>
      </c>
      <c r="I47" s="1504" t="s">
        <v>2707</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8" t="s">
        <v>2708</v>
      </c>
      <c r="B48" s="2301" t="str">
        <f>估价对象房地状况!C4</f>
        <v>估价对象位于XX商圈，周边商业氛围成熟，人流量大，商业繁华度好</v>
      </c>
      <c r="C48" s="2203" t="s">
        <v>3343</v>
      </c>
      <c r="D48" s="1196">
        <f t="shared" ref="D48:D56" si="10">SUMIF($J$47:$N$47,C48,J48:N48)</f>
        <v>2.1399999999999999E-2</v>
      </c>
      <c r="E48" s="760">
        <f>ROUND(SUM(D48:D56),4)</f>
        <v>6.6000000000000003E-2</v>
      </c>
      <c r="F48" s="1969">
        <f>IF(E2="商业",SUMIF(L1:L12,G2,N1:N12),"——")</f>
        <v>0.13</v>
      </c>
      <c r="G48" s="1194">
        <v>2.1399999999999999E-2</v>
      </c>
      <c r="H48" s="1198">
        <f t="shared" ref="H48:H56" si="11">IFERROR(ROUNDDOWN($F$48*I48/2,4),"——")</f>
        <v>2.1399999999999999E-2</v>
      </c>
      <c r="I48" s="759">
        <v>0.33</v>
      </c>
      <c r="J48" s="1195">
        <f t="shared" ref="J48:J56" si="12">K48+$G48</f>
        <v>4.2799999999999998E-2</v>
      </c>
      <c r="K48" s="1195">
        <f t="shared" ref="K48:K56" si="13">$L48+$G48</f>
        <v>2.1399999999999999E-2</v>
      </c>
      <c r="L48" s="1195">
        <v>0</v>
      </c>
      <c r="M48" s="1195">
        <f t="shared" ref="M48:N56" si="14">L48-$G48</f>
        <v>-2.1399999999999999E-2</v>
      </c>
      <c r="N48" s="1195">
        <f t="shared" si="14"/>
        <v>-4.2799999999999998E-2</v>
      </c>
      <c r="AA48" s="1253"/>
      <c r="AB48" s="1253"/>
      <c r="AC48" s="1253"/>
      <c r="AD48" s="1253"/>
      <c r="AE48" s="1253"/>
      <c r="AF48" s="1253"/>
      <c r="AG48" s="1253"/>
      <c r="AH48" s="1253"/>
      <c r="AI48" s="1253"/>
      <c r="AJ48" s="1253"/>
      <c r="AK48" s="1253"/>
    </row>
    <row r="49" spans="1:37" s="1252" customFormat="1" ht="51">
      <c r="A49" s="2298" t="s">
        <v>2709</v>
      </c>
      <c r="B49" s="2302" t="str">
        <f>估价对象房地状况!C18</f>
        <v>估价对象周边道路状况、公共交通通达情况、停车便捷程度，综合评价交通便捷度较好</v>
      </c>
      <c r="C49" s="2203" t="s">
        <v>3343</v>
      </c>
      <c r="D49" s="1196">
        <f t="shared" si="10"/>
        <v>1.6199999999999999E-2</v>
      </c>
      <c r="E49" s="761"/>
      <c r="F49" s="1969"/>
      <c r="G49" s="1194">
        <v>1.6199999999999999E-2</v>
      </c>
      <c r="H49" s="1198">
        <f t="shared" si="11"/>
        <v>1.6199999999999999E-2</v>
      </c>
      <c r="I49" s="759">
        <v>0.25</v>
      </c>
      <c r="J49" s="1195">
        <f t="shared" si="12"/>
        <v>3.2399999999999998E-2</v>
      </c>
      <c r="K49" s="1195">
        <f t="shared" si="13"/>
        <v>1.6199999999999999E-2</v>
      </c>
      <c r="L49" s="1195">
        <v>0</v>
      </c>
      <c r="M49" s="1195">
        <f t="shared" si="14"/>
        <v>-1.6199999999999999E-2</v>
      </c>
      <c r="N49" s="1195">
        <f t="shared" si="14"/>
        <v>-3.2399999999999998E-2</v>
      </c>
      <c r="AA49" s="1253"/>
      <c r="AB49" s="1253"/>
      <c r="AC49" s="1253"/>
      <c r="AD49" s="1253"/>
      <c r="AE49" s="1253"/>
      <c r="AF49" s="1253"/>
      <c r="AG49" s="1253"/>
      <c r="AH49" s="1253"/>
      <c r="AI49" s="1253"/>
      <c r="AJ49" s="1253"/>
      <c r="AK49" s="1253"/>
    </row>
    <row r="50" spans="1:37" s="1252" customFormat="1" ht="24">
      <c r="A50" s="2298" t="s">
        <v>2710</v>
      </c>
      <c r="B50" s="2302">
        <f>估价对象房地状况!C19</f>
        <v>0</v>
      </c>
      <c r="C50" s="2203" t="s">
        <v>3343</v>
      </c>
      <c r="D50" s="1196">
        <f t="shared" si="10"/>
        <v>3.2000000000000002E-3</v>
      </c>
      <c r="E50" s="761"/>
      <c r="F50" s="1969"/>
      <c r="G50" s="1194">
        <v>3.2000000000000002E-3</v>
      </c>
      <c r="H50" s="1198">
        <f t="shared" si="11"/>
        <v>3.2000000000000002E-3</v>
      </c>
      <c r="I50" s="759">
        <v>0.05</v>
      </c>
      <c r="J50" s="1195">
        <f t="shared" si="12"/>
        <v>6.4000000000000003E-3</v>
      </c>
      <c r="K50" s="1195">
        <f t="shared" si="13"/>
        <v>3.2000000000000002E-3</v>
      </c>
      <c r="L50" s="1195">
        <v>0</v>
      </c>
      <c r="M50" s="1195">
        <f t="shared" si="14"/>
        <v>-3.2000000000000002E-3</v>
      </c>
      <c r="N50" s="1195">
        <f t="shared" si="14"/>
        <v>-6.4000000000000003E-3</v>
      </c>
      <c r="AA50" s="1253"/>
      <c r="AB50" s="1253"/>
      <c r="AC50" s="1253"/>
      <c r="AD50" s="1253"/>
      <c r="AE50" s="1253"/>
      <c r="AF50" s="1253"/>
      <c r="AG50" s="1253"/>
      <c r="AH50" s="1253"/>
      <c r="AI50" s="1253"/>
      <c r="AJ50" s="1253"/>
      <c r="AK50" s="1253"/>
    </row>
    <row r="51" spans="1:37" s="1252" customFormat="1" ht="36.75">
      <c r="A51" s="2298" t="s">
        <v>2711</v>
      </c>
      <c r="B51" s="2303" t="s">
        <v>2712</v>
      </c>
      <c r="C51" s="2203" t="s">
        <v>3343</v>
      </c>
      <c r="D51" s="1196">
        <f t="shared" si="10"/>
        <v>3.2000000000000002E-3</v>
      </c>
      <c r="E51" s="761"/>
      <c r="F51" s="1969"/>
      <c r="G51" s="1194">
        <v>3.2000000000000002E-3</v>
      </c>
      <c r="H51" s="1198">
        <f t="shared" si="11"/>
        <v>3.2000000000000002E-3</v>
      </c>
      <c r="I51" s="759">
        <v>0.05</v>
      </c>
      <c r="J51" s="1195">
        <f t="shared" si="12"/>
        <v>6.4000000000000003E-3</v>
      </c>
      <c r="K51" s="1195">
        <f t="shared" si="13"/>
        <v>3.2000000000000002E-3</v>
      </c>
      <c r="L51" s="1195">
        <v>0</v>
      </c>
      <c r="M51" s="1195">
        <f t="shared" si="14"/>
        <v>-3.2000000000000002E-3</v>
      </c>
      <c r="N51" s="1195">
        <f t="shared" si="14"/>
        <v>-6.4000000000000003E-3</v>
      </c>
      <c r="AA51" s="1253"/>
      <c r="AB51" s="1253"/>
      <c r="AC51" s="1253"/>
      <c r="AD51" s="1253"/>
      <c r="AE51" s="1253"/>
      <c r="AF51" s="1253"/>
      <c r="AG51" s="1253"/>
      <c r="AH51" s="1253"/>
      <c r="AI51" s="1253"/>
      <c r="AJ51" s="1253"/>
      <c r="AK51" s="1253"/>
    </row>
    <row r="52" spans="1:37" s="1252" customFormat="1" ht="24">
      <c r="A52" s="2298" t="s">
        <v>2713</v>
      </c>
      <c r="B52" s="2302">
        <f>估价对象房地状况!C24</f>
        <v>0</v>
      </c>
      <c r="C52" s="2203" t="s">
        <v>3345</v>
      </c>
      <c r="D52" s="1196">
        <f t="shared" si="10"/>
        <v>0</v>
      </c>
      <c r="E52" s="761"/>
      <c r="F52" s="1969"/>
      <c r="G52" s="1194">
        <v>5.1999999999999998E-3</v>
      </c>
      <c r="H52" s="1198">
        <f t="shared" si="11"/>
        <v>5.1999999999999998E-3</v>
      </c>
      <c r="I52" s="759">
        <v>0.08</v>
      </c>
      <c r="J52" s="1195">
        <f t="shared" si="12"/>
        <v>1.04E-2</v>
      </c>
      <c r="K52" s="1195">
        <f t="shared" si="13"/>
        <v>5.1999999999999998E-3</v>
      </c>
      <c r="L52" s="1195">
        <v>0</v>
      </c>
      <c r="M52" s="1195">
        <f t="shared" si="14"/>
        <v>-5.1999999999999998E-3</v>
      </c>
      <c r="N52" s="1195">
        <f t="shared" si="14"/>
        <v>-1.04E-2</v>
      </c>
      <c r="AA52" s="1253"/>
      <c r="AB52" s="1253"/>
      <c r="AC52" s="1253"/>
      <c r="AD52" s="1253"/>
      <c r="AE52" s="1253"/>
      <c r="AF52" s="1253"/>
      <c r="AG52" s="1253"/>
      <c r="AH52" s="1253"/>
      <c r="AI52" s="1253"/>
      <c r="AJ52" s="1253"/>
      <c r="AK52" s="1253"/>
    </row>
    <row r="53" spans="1:37" s="1252" customFormat="1" ht="24">
      <c r="A53" s="2298" t="s">
        <v>2714</v>
      </c>
      <c r="B53" s="2304" t="s">
        <v>2715</v>
      </c>
      <c r="C53" s="2203" t="s">
        <v>3343</v>
      </c>
      <c r="D53" s="1196">
        <f t="shared" si="10"/>
        <v>1.9E-3</v>
      </c>
      <c r="E53" s="761"/>
      <c r="F53" s="1969"/>
      <c r="G53" s="1194">
        <v>1.9E-3</v>
      </c>
      <c r="H53" s="1198">
        <f t="shared" si="11"/>
        <v>1.9E-3</v>
      </c>
      <c r="I53" s="759">
        <v>0.03</v>
      </c>
      <c r="J53" s="1195">
        <f t="shared" si="12"/>
        <v>3.8E-3</v>
      </c>
      <c r="K53" s="1195">
        <f t="shared" si="13"/>
        <v>1.9E-3</v>
      </c>
      <c r="L53" s="1195">
        <v>0</v>
      </c>
      <c r="M53" s="1195">
        <f t="shared" si="14"/>
        <v>-1.9E-3</v>
      </c>
      <c r="N53" s="1195">
        <f t="shared" si="14"/>
        <v>-3.8E-3</v>
      </c>
      <c r="AA53" s="1253"/>
      <c r="AB53" s="1253"/>
      <c r="AC53" s="1253"/>
      <c r="AD53" s="1253"/>
      <c r="AE53" s="1253"/>
      <c r="AF53" s="1253"/>
      <c r="AG53" s="1253"/>
      <c r="AH53" s="1253"/>
      <c r="AI53" s="1253"/>
      <c r="AJ53" s="1253"/>
      <c r="AK53" s="1253"/>
    </row>
    <row r="54" spans="1:37" s="1252" customFormat="1" ht="25.5">
      <c r="A54" s="2305" t="s">
        <v>2716</v>
      </c>
      <c r="B54" s="1465" t="str">
        <f>估价对象房地状况!C21</f>
        <v>估价对象所在区域公共配套设施齐备情况</v>
      </c>
      <c r="C54" s="2203" t="s">
        <v>3343</v>
      </c>
      <c r="D54" s="1196">
        <f t="shared" si="10"/>
        <v>3.2000000000000002E-3</v>
      </c>
      <c r="E54" s="761"/>
      <c r="F54" s="1969"/>
      <c r="G54" s="1194">
        <v>3.2000000000000002E-3</v>
      </c>
      <c r="H54" s="1198">
        <f t="shared" si="11"/>
        <v>3.2000000000000002E-3</v>
      </c>
      <c r="I54" s="759">
        <v>0.05</v>
      </c>
      <c r="J54" s="1195">
        <f t="shared" si="12"/>
        <v>6.4000000000000003E-3</v>
      </c>
      <c r="K54" s="1195">
        <f t="shared" si="13"/>
        <v>3.2000000000000002E-3</v>
      </c>
      <c r="L54" s="1195">
        <v>0</v>
      </c>
      <c r="M54" s="1195">
        <f t="shared" si="14"/>
        <v>-3.2000000000000002E-3</v>
      </c>
      <c r="N54" s="1195">
        <f t="shared" si="14"/>
        <v>-6.4000000000000003E-3</v>
      </c>
      <c r="AA54" s="1253"/>
      <c r="AB54" s="1253"/>
      <c r="AC54" s="1253"/>
      <c r="AD54" s="1253"/>
      <c r="AE54" s="1253"/>
      <c r="AF54" s="1253"/>
      <c r="AG54" s="1253"/>
      <c r="AH54" s="1253"/>
      <c r="AI54" s="1253"/>
      <c r="AJ54" s="1253"/>
      <c r="AK54" s="1253"/>
    </row>
    <row r="55" spans="1:37" s="1252" customFormat="1" ht="25.5">
      <c r="A55" s="2305" t="s">
        <v>2717</v>
      </c>
      <c r="B55" s="2302" t="str">
        <f>估价对象房地状况!C22</f>
        <v>估价对象所在区域基础设施水平</v>
      </c>
      <c r="C55" s="2203" t="s">
        <v>3344</v>
      </c>
      <c r="D55" s="1196">
        <f t="shared" si="10"/>
        <v>1.2999999999999999E-2</v>
      </c>
      <c r="E55" s="761"/>
      <c r="F55" s="1969"/>
      <c r="G55" s="1194">
        <v>6.4999999999999997E-3</v>
      </c>
      <c r="H55" s="1198">
        <f t="shared" si="11"/>
        <v>6.4999999999999997E-3</v>
      </c>
      <c r="I55" s="759">
        <v>0.1</v>
      </c>
      <c r="J55" s="1195">
        <f t="shared" si="12"/>
        <v>1.2999999999999999E-2</v>
      </c>
      <c r="K55" s="1195">
        <f t="shared" si="13"/>
        <v>6.4999999999999997E-3</v>
      </c>
      <c r="L55" s="1195">
        <v>0</v>
      </c>
      <c r="M55" s="1195">
        <f t="shared" si="14"/>
        <v>-6.4999999999999997E-3</v>
      </c>
      <c r="N55" s="1195">
        <f t="shared" si="14"/>
        <v>-1.2999999999999999E-2</v>
      </c>
      <c r="AA55" s="1253"/>
      <c r="AB55" s="1253"/>
      <c r="AC55" s="1253"/>
      <c r="AD55" s="1253"/>
      <c r="AE55" s="1253"/>
      <c r="AF55" s="1253"/>
      <c r="AG55" s="1253"/>
      <c r="AH55" s="1253"/>
      <c r="AI55" s="1253"/>
      <c r="AJ55" s="1253"/>
      <c r="AK55" s="1253"/>
    </row>
    <row r="56" spans="1:37" s="1252" customFormat="1" ht="39" thickBot="1">
      <c r="A56" s="2306" t="s">
        <v>2718</v>
      </c>
      <c r="B56" s="2307" t="str">
        <f>估价对象房地状况!C20</f>
        <v>区域自然环境：；人文环境；综合评价环境状况一般</v>
      </c>
      <c r="C56" s="2203" t="s">
        <v>3343</v>
      </c>
      <c r="D56" s="1196">
        <f t="shared" si="10"/>
        <v>3.8999999999999998E-3</v>
      </c>
      <c r="E56" s="764"/>
      <c r="F56" s="1969"/>
      <c r="G56" s="1194">
        <v>3.8999999999999998E-3</v>
      </c>
      <c r="H56" s="1198">
        <f t="shared" si="11"/>
        <v>3.8999999999999998E-3</v>
      </c>
      <c r="I56" s="763">
        <v>0.06</v>
      </c>
      <c r="J56" s="1195">
        <f t="shared" si="12"/>
        <v>7.7999999999999996E-3</v>
      </c>
      <c r="K56" s="1195">
        <f t="shared" si="13"/>
        <v>3.8999999999999998E-3</v>
      </c>
      <c r="L56" s="1195">
        <v>0</v>
      </c>
      <c r="M56" s="1195">
        <f t="shared" si="14"/>
        <v>-3.8999999999999998E-3</v>
      </c>
      <c r="N56" s="1195">
        <f t="shared" si="14"/>
        <v>-7.7999999999999996E-3</v>
      </c>
      <c r="AA56" s="1253"/>
      <c r="AB56" s="1253"/>
      <c r="AC56" s="1253"/>
      <c r="AD56" s="1253"/>
      <c r="AE56" s="1253"/>
      <c r="AF56" s="1253"/>
      <c r="AG56" s="1253"/>
      <c r="AH56" s="1253"/>
      <c r="AI56" s="1253"/>
      <c r="AJ56" s="1253"/>
      <c r="AK56" s="1253"/>
    </row>
    <row r="57" spans="1:37" s="1252" customFormat="1" ht="15">
      <c r="A57" s="2294" t="s">
        <v>2719</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2700</v>
      </c>
      <c r="B58" s="1504"/>
      <c r="C58" s="1504" t="s">
        <v>2702</v>
      </c>
      <c r="D58" s="1504" t="s">
        <v>2703</v>
      </c>
      <c r="E58" s="758" t="s">
        <v>2704</v>
      </c>
      <c r="F58" s="2299" t="s">
        <v>2720</v>
      </c>
      <c r="G58" s="1504" t="s">
        <v>754</v>
      </c>
      <c r="H58" s="2300" t="s">
        <v>2706</v>
      </c>
      <c r="I58" s="1504" t="s">
        <v>2707</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8" t="s">
        <v>2721</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2709</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2710</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2711</v>
      </c>
      <c r="B62" s="2303" t="s">
        <v>2712</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2713</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2714</v>
      </c>
      <c r="B64" s="2304" t="s">
        <v>2715</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2716</v>
      </c>
      <c r="B65" s="1465"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2717</v>
      </c>
      <c r="B66" s="1465"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2718</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2722</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2700</v>
      </c>
      <c r="B69" s="1504"/>
      <c r="C69" s="1504" t="s">
        <v>2702</v>
      </c>
      <c r="D69" s="1504" t="s">
        <v>2703</v>
      </c>
      <c r="E69" s="758" t="s">
        <v>2704</v>
      </c>
      <c r="F69" s="2299" t="s">
        <v>2720</v>
      </c>
      <c r="G69" s="1504" t="s">
        <v>754</v>
      </c>
      <c r="H69" s="2300" t="s">
        <v>2706</v>
      </c>
      <c r="I69" s="1504" t="s">
        <v>2707</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8" t="s">
        <v>2723</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8" t="s">
        <v>2709</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2710</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2724</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8" t="s">
        <v>2716</v>
      </c>
      <c r="B74" s="1465"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8" t="s">
        <v>2717</v>
      </c>
      <c r="B75" s="1465"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2714</v>
      </c>
      <c r="B76" s="2304" t="s">
        <v>2715</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8.25">
      <c r="A77" s="2298" t="s">
        <v>2718</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2725</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2726</v>
      </c>
      <c r="B79" s="2295">
        <f>1+E81</f>
        <v>1</v>
      </c>
      <c r="C79" s="753"/>
      <c r="D79" s="753"/>
      <c r="E79" s="754"/>
      <c r="F79" s="2297"/>
      <c r="G79" s="6"/>
      <c r="H79" s="6"/>
      <c r="I79" s="6"/>
      <c r="J79" s="7"/>
      <c r="K79" s="7"/>
      <c r="L79" s="7"/>
      <c r="M79" s="7"/>
      <c r="N79" s="7"/>
      <c r="Z79" s="2153"/>
      <c r="AA79" s="2219"/>
      <c r="AG79" s="1254"/>
      <c r="AK79" s="2219"/>
    </row>
    <row r="80" spans="1:37" ht="24.75">
      <c r="A80" s="2298" t="s">
        <v>2700</v>
      </c>
      <c r="B80" s="1504"/>
      <c r="C80" s="1504" t="s">
        <v>2702</v>
      </c>
      <c r="D80" s="1504" t="s">
        <v>2703</v>
      </c>
      <c r="E80" s="758" t="s">
        <v>2704</v>
      </c>
      <c r="F80" s="2299" t="s">
        <v>2720</v>
      </c>
      <c r="G80" s="1504" t="s">
        <v>754</v>
      </c>
      <c r="H80" s="2300" t="s">
        <v>2706</v>
      </c>
      <c r="I80" s="1504" t="s">
        <v>2707</v>
      </c>
      <c r="J80" s="560" t="s">
        <v>2358</v>
      </c>
      <c r="K80" s="560" t="s">
        <v>2359</v>
      </c>
      <c r="L80" s="560" t="s">
        <v>2360</v>
      </c>
      <c r="M80" s="560" t="s">
        <v>2361</v>
      </c>
      <c r="N80" s="560" t="s">
        <v>2362</v>
      </c>
      <c r="Z80" s="2153"/>
      <c r="AA80" s="2219"/>
      <c r="AG80" s="1254"/>
      <c r="AK80" s="2219"/>
    </row>
    <row r="81" spans="1:37" ht="38.25">
      <c r="A81" s="2298" t="s">
        <v>2727</v>
      </c>
      <c r="B81" s="2302" t="str">
        <f>估价对象房地状况!G15</f>
        <v>估价对象位于XX开发区，园区建设成熟度XX，产业集聚程度XX</v>
      </c>
      <c r="C81" s="2203"/>
      <c r="D81" s="1196">
        <f t="shared" ref="D81:D88" si="25">SUMIF($J$80:$N$80,C81,J81:N81)</f>
        <v>0</v>
      </c>
      <c r="E81" s="760">
        <f>ROUND(SUM(D81:D88),4)</f>
        <v>0</v>
      </c>
      <c r="F81" s="196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51">
      <c r="A82" s="2298" t="s">
        <v>2709</v>
      </c>
      <c r="B82" s="2302" t="str">
        <f>估价对象房地状况!G16</f>
        <v>估价对象周边道路状况、公共交通通达情况、停车便捷程度，综合评价交通便捷度较好</v>
      </c>
      <c r="C82" s="2203"/>
      <c r="D82" s="1196">
        <f t="shared" si="25"/>
        <v>0</v>
      </c>
      <c r="E82" s="765"/>
      <c r="F82" s="1969"/>
      <c r="G82" s="1194"/>
      <c r="H82" s="1198" t="str">
        <f t="shared" si="26"/>
        <v>——</v>
      </c>
      <c r="I82" s="759">
        <v>0.33</v>
      </c>
      <c r="J82" s="1195">
        <f t="shared" si="27"/>
        <v>0</v>
      </c>
      <c r="K82" s="1195">
        <f t="shared" si="28"/>
        <v>0</v>
      </c>
      <c r="L82" s="1195">
        <v>0</v>
      </c>
      <c r="M82" s="1195">
        <f t="shared" si="29"/>
        <v>0</v>
      </c>
      <c r="N82" s="1195">
        <f t="shared" si="29"/>
        <v>0</v>
      </c>
      <c r="Z82" s="2153"/>
      <c r="AA82" s="2219"/>
      <c r="AG82" s="1254"/>
      <c r="AK82" s="2219"/>
    </row>
    <row r="83" spans="1:37" ht="24">
      <c r="A83" s="2298" t="s">
        <v>2710</v>
      </c>
      <c r="B83" s="2302">
        <f>估价对象房地状况!G17</f>
        <v>0</v>
      </c>
      <c r="C83" s="2203"/>
      <c r="D83" s="1196">
        <f t="shared" si="25"/>
        <v>0</v>
      </c>
      <c r="E83" s="765"/>
      <c r="F83" s="1969"/>
      <c r="G83" s="1194"/>
      <c r="H83" s="1198" t="str">
        <f t="shared" si="26"/>
        <v>——</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2724</v>
      </c>
      <c r="B84" s="2302">
        <f>估价对象房地状况!G22</f>
        <v>0</v>
      </c>
      <c r="C84" s="2203"/>
      <c r="D84" s="1196">
        <f t="shared" si="25"/>
        <v>0</v>
      </c>
      <c r="E84" s="765"/>
      <c r="F84" s="1969"/>
      <c r="G84" s="1194"/>
      <c r="H84" s="1198" t="str">
        <f t="shared" si="26"/>
        <v>——</v>
      </c>
      <c r="I84" s="759">
        <v>0.04</v>
      </c>
      <c r="J84" s="1195">
        <f t="shared" si="27"/>
        <v>0</v>
      </c>
      <c r="K84" s="1195">
        <f t="shared" si="28"/>
        <v>0</v>
      </c>
      <c r="L84" s="1195">
        <v>0</v>
      </c>
      <c r="M84" s="1195">
        <f t="shared" si="29"/>
        <v>0</v>
      </c>
      <c r="N84" s="1195">
        <f t="shared" si="29"/>
        <v>0</v>
      </c>
      <c r="Z84" s="2153"/>
      <c r="AA84" s="2219"/>
      <c r="AG84" s="1254"/>
      <c r="AK84" s="2219"/>
    </row>
    <row r="85" spans="1:37" ht="25.5">
      <c r="A85" s="2298" t="s">
        <v>2716</v>
      </c>
      <c r="B85" s="1465" t="str">
        <f>估价对象房地状况!G19</f>
        <v>估价对象所在区域公共配套设施齐备情况</v>
      </c>
      <c r="C85" s="2203"/>
      <c r="D85" s="1196">
        <f t="shared" si="25"/>
        <v>0</v>
      </c>
      <c r="E85" s="765"/>
      <c r="F85" s="1969"/>
      <c r="G85" s="1194"/>
      <c r="H85" s="1198" t="str">
        <f t="shared" si="26"/>
        <v>——</v>
      </c>
      <c r="I85" s="759">
        <v>0.06</v>
      </c>
      <c r="J85" s="1195">
        <f t="shared" si="27"/>
        <v>0</v>
      </c>
      <c r="K85" s="1195">
        <f t="shared" si="28"/>
        <v>0</v>
      </c>
      <c r="L85" s="1195">
        <v>0</v>
      </c>
      <c r="M85" s="1195">
        <f t="shared" si="29"/>
        <v>0</v>
      </c>
      <c r="N85" s="1195">
        <f t="shared" si="29"/>
        <v>0</v>
      </c>
      <c r="Z85" s="2153"/>
      <c r="AA85" s="2219"/>
      <c r="AG85" s="1254"/>
      <c r="AK85" s="2219"/>
    </row>
    <row r="86" spans="1:37" ht="25.5">
      <c r="A86" s="2298" t="s">
        <v>2717</v>
      </c>
      <c r="B86" s="1465" t="str">
        <f>估价对象房地状况!G20</f>
        <v>估价对象所在区域基础设施水平</v>
      </c>
      <c r="C86" s="2203"/>
      <c r="D86" s="1196">
        <f t="shared" si="25"/>
        <v>0</v>
      </c>
      <c r="E86" s="765"/>
      <c r="F86" s="1969"/>
      <c r="G86" s="1194"/>
      <c r="H86" s="1198" t="str">
        <f t="shared" si="26"/>
        <v>——</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2714</v>
      </c>
      <c r="B87" s="2304" t="s">
        <v>2728</v>
      </c>
      <c r="C87" s="2203"/>
      <c r="D87" s="1196">
        <f t="shared" si="25"/>
        <v>0</v>
      </c>
      <c r="E87" s="765"/>
      <c r="F87" s="1969"/>
      <c r="G87" s="1194"/>
      <c r="H87" s="1198" t="str">
        <f t="shared" si="26"/>
        <v>——</v>
      </c>
      <c r="I87" s="759">
        <v>0.05</v>
      </c>
      <c r="J87" s="1195">
        <f t="shared" si="27"/>
        <v>0</v>
      </c>
      <c r="K87" s="1195">
        <f t="shared" si="28"/>
        <v>0</v>
      </c>
      <c r="L87" s="1195">
        <v>0</v>
      </c>
      <c r="M87" s="1195">
        <f t="shared" si="29"/>
        <v>0</v>
      </c>
      <c r="N87" s="1195">
        <f t="shared" si="29"/>
        <v>0</v>
      </c>
      <c r="Z87" s="2153"/>
      <c r="AA87" s="2219"/>
      <c r="AG87" s="1254"/>
      <c r="AK87" s="2219"/>
    </row>
    <row r="88" spans="1:37" ht="39" thickBot="1">
      <c r="A88" s="2306" t="s">
        <v>2729</v>
      </c>
      <c r="B88" s="2311" t="str">
        <f>估价对象房地状况!G18</f>
        <v>该园区内是否有污染型企业，绿化情况，卫生条件，整体环境状况判断</v>
      </c>
      <c r="C88" s="2203"/>
      <c r="D88" s="1196">
        <f t="shared" si="25"/>
        <v>0</v>
      </c>
      <c r="E88" s="766"/>
      <c r="F88" s="1969"/>
      <c r="G88" s="1194"/>
      <c r="H88" s="1198" t="str">
        <f t="shared" si="26"/>
        <v>——</v>
      </c>
      <c r="I88" s="763">
        <v>0.06</v>
      </c>
      <c r="J88" s="1195">
        <f t="shared" si="27"/>
        <v>0</v>
      </c>
      <c r="K88" s="1195">
        <f t="shared" si="28"/>
        <v>0</v>
      </c>
      <c r="L88" s="1195">
        <v>0</v>
      </c>
      <c r="M88" s="1195">
        <f t="shared" si="29"/>
        <v>0</v>
      </c>
      <c r="N88" s="1195">
        <f t="shared" si="29"/>
        <v>0</v>
      </c>
      <c r="Z88" s="2153"/>
      <c r="AA88" s="2219"/>
      <c r="AG88" s="1254"/>
      <c r="AK88" s="2219"/>
    </row>
    <row r="90" spans="1:37">
      <c r="A90" s="3629" t="s">
        <v>2730</v>
      </c>
      <c r="B90" s="3629"/>
      <c r="C90" s="3629"/>
      <c r="D90" s="3629"/>
      <c r="E90" s="3629"/>
      <c r="F90" s="3629"/>
      <c r="G90" s="3629"/>
      <c r="H90" s="3629"/>
      <c r="I90" s="3629"/>
      <c r="J90" s="3629"/>
      <c r="K90" s="2312"/>
      <c r="L90" s="2312"/>
      <c r="M90" s="2312"/>
      <c r="N90" s="2312"/>
    </row>
    <row r="91" spans="1:37">
      <c r="A91" s="3631" t="s">
        <v>2731</v>
      </c>
      <c r="B91" s="3631" t="s">
        <v>2732</v>
      </c>
      <c r="C91" s="2266" t="s">
        <v>2733</v>
      </c>
      <c r="D91" s="2267"/>
      <c r="E91" s="2267"/>
      <c r="F91" s="2267"/>
      <c r="G91" s="2267"/>
      <c r="H91" s="2267"/>
      <c r="I91" s="2267"/>
      <c r="J91" s="2313"/>
      <c r="K91" s="2314"/>
      <c r="L91" s="2314"/>
      <c r="M91" s="2314"/>
      <c r="N91" s="2314"/>
    </row>
    <row r="92" spans="1:37">
      <c r="A92" s="3631"/>
      <c r="B92" s="3631"/>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632" t="s">
        <v>2734</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633"/>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633"/>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633"/>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633"/>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633"/>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633"/>
      <c r="B99" s="2315" t="s">
        <v>2617</v>
      </c>
      <c r="C99" s="2317">
        <f>$I$3</f>
        <v>1</v>
      </c>
      <c r="D99" s="2317">
        <f t="shared" ref="D99:M99" si="30">$I$3</f>
        <v>1</v>
      </c>
      <c r="E99" s="2317">
        <f t="shared" si="30"/>
        <v>1</v>
      </c>
      <c r="F99" s="2317">
        <f t="shared" si="30"/>
        <v>1</v>
      </c>
      <c r="G99" s="2317">
        <f t="shared" si="30"/>
        <v>1</v>
      </c>
      <c r="H99" s="2317">
        <f t="shared" si="30"/>
        <v>1</v>
      </c>
      <c r="I99" s="2317">
        <f t="shared" si="30"/>
        <v>1</v>
      </c>
      <c r="J99" s="2317">
        <f t="shared" si="30"/>
        <v>1</v>
      </c>
      <c r="K99" s="2317">
        <f t="shared" si="30"/>
        <v>1</v>
      </c>
      <c r="L99" s="2317">
        <f t="shared" si="30"/>
        <v>1</v>
      </c>
      <c r="M99" s="2317">
        <f t="shared" si="30"/>
        <v>1</v>
      </c>
      <c r="N99" s="2317">
        <f>$I$3</f>
        <v>1</v>
      </c>
    </row>
    <row r="100" spans="1:14">
      <c r="A100" s="3634"/>
      <c r="B100" s="2315">
        <v>7</v>
      </c>
      <c r="C100" s="2318">
        <f>(-0.163*(C99^2)-0.59*C99+7617)*(10^(-4))</f>
        <v>0.76162470000000004</v>
      </c>
      <c r="D100" s="2318">
        <f>(-0.163*(D99^2)-0.59*D99+7617)*(10^(-4))</f>
        <v>0.76162470000000004</v>
      </c>
      <c r="E100" s="2318">
        <f>(-0.161*(E99^2)-7.509*E99+6533)*(10^(-4))</f>
        <v>0.65253300000000003</v>
      </c>
      <c r="F100" s="2318">
        <f>(-0.161*(F99^2)-7.509*F99+6533)*(10^(-4))</f>
        <v>0.65253300000000003</v>
      </c>
      <c r="G100" s="2318">
        <f>(-0.161*(G99^2)-7.509*G99+6533)*(10^(-4))</f>
        <v>0.65253300000000003</v>
      </c>
      <c r="H100" s="2318">
        <f>(-0.161*(H99^2)-7.509*H99+6533)*(10^(-4))</f>
        <v>0.65253300000000003</v>
      </c>
      <c r="I100" s="2318">
        <f>(-0.161*(I99^2)-7.509*I99+6533)*(10^(-4))</f>
        <v>0.65253300000000003</v>
      </c>
      <c r="J100" s="2318">
        <f>(-0.214*(J99^2)-21.991*J99+4665)*(10^(-4))</f>
        <v>0.46427950000000001</v>
      </c>
      <c r="K100" s="2318">
        <f>(-0.214*(K99^2)-21.991*K99+4665)*(10^(-4))</f>
        <v>0.46427950000000001</v>
      </c>
      <c r="L100" s="2318">
        <f>(-0.214*(L99^2)-21.991*L99+4665)*(10^(-4))</f>
        <v>0.46427950000000001</v>
      </c>
      <c r="M100" s="2318">
        <f>(-0.214*(M99^2)-21.991*M99+4665)*(10^(-4))</f>
        <v>0.46427950000000001</v>
      </c>
      <c r="N100" s="2318">
        <f>(-0.214*(N99^2)-21.991*N99+4665)*(10^(-4))</f>
        <v>0.46427950000000001</v>
      </c>
    </row>
    <row r="101" spans="1:14">
      <c r="A101" s="3632" t="s">
        <v>2735</v>
      </c>
      <c r="B101" s="2319" t="s">
        <v>2736</v>
      </c>
      <c r="C101" s="2320">
        <f>$G$3</f>
        <v>2.39</v>
      </c>
      <c r="D101" s="2320">
        <f t="shared" ref="D101:N101" si="31">$G$3</f>
        <v>2.39</v>
      </c>
      <c r="E101" s="2320">
        <f t="shared" si="31"/>
        <v>2.39</v>
      </c>
      <c r="F101" s="2320">
        <f t="shared" si="31"/>
        <v>2.39</v>
      </c>
      <c r="G101" s="2320">
        <f t="shared" si="31"/>
        <v>2.39</v>
      </c>
      <c r="H101" s="2320">
        <f t="shared" si="31"/>
        <v>2.39</v>
      </c>
      <c r="I101" s="2320">
        <f t="shared" si="31"/>
        <v>2.39</v>
      </c>
      <c r="J101" s="2320">
        <f t="shared" si="31"/>
        <v>2.39</v>
      </c>
      <c r="K101" s="2320">
        <f t="shared" si="31"/>
        <v>2.39</v>
      </c>
      <c r="L101" s="2320">
        <f t="shared" si="31"/>
        <v>2.39</v>
      </c>
      <c r="M101" s="2320">
        <f t="shared" si="31"/>
        <v>2.39</v>
      </c>
      <c r="N101" s="2320">
        <f t="shared" si="31"/>
        <v>2.39</v>
      </c>
    </row>
    <row r="102" spans="1:14">
      <c r="A102" s="3633"/>
      <c r="B102" s="2315">
        <v>1</v>
      </c>
      <c r="C102" s="2316">
        <f>1.9362/C101</f>
        <v>0.81012552301255225</v>
      </c>
      <c r="D102" s="2316">
        <f>1.9362/D101</f>
        <v>0.81012552301255225</v>
      </c>
      <c r="E102" s="2316">
        <f>1.8629/E101</f>
        <v>0.77945606694560665</v>
      </c>
      <c r="F102" s="2316">
        <f>1.8629/F101</f>
        <v>0.77945606694560665</v>
      </c>
      <c r="G102" s="2316">
        <f>1.8629/G101</f>
        <v>0.77945606694560665</v>
      </c>
      <c r="H102" s="2316">
        <f>1.8629/H101</f>
        <v>0.77945606694560665</v>
      </c>
      <c r="I102" s="2316">
        <f>1.8629/I101</f>
        <v>0.77945606694560665</v>
      </c>
      <c r="J102" s="2316">
        <f>1.942/J101</f>
        <v>0.81255230125523004</v>
      </c>
      <c r="K102" s="2316">
        <f>1.942/K101</f>
        <v>0.81255230125523004</v>
      </c>
      <c r="L102" s="2316">
        <f>1.942/L101</f>
        <v>0.81255230125523004</v>
      </c>
      <c r="M102" s="2316">
        <f>1.942/M101</f>
        <v>0.81255230125523004</v>
      </c>
      <c r="N102" s="2316">
        <f>1.942/N101</f>
        <v>0.81255230125523004</v>
      </c>
    </row>
    <row r="103" spans="1:14">
      <c r="A103" s="3633"/>
      <c r="B103" s="2315">
        <v>2</v>
      </c>
      <c r="C103" s="2316">
        <f>1.4198/C101</f>
        <v>0.59405857740585766</v>
      </c>
      <c r="D103" s="2316">
        <f>1.4198/D101</f>
        <v>0.59405857740585766</v>
      </c>
      <c r="E103" s="2316">
        <f>1.3372/E101</f>
        <v>0.55949790794979071</v>
      </c>
      <c r="F103" s="2316">
        <f>1.3372/F101</f>
        <v>0.55949790794979071</v>
      </c>
      <c r="G103" s="2316">
        <f>1.3372/G101</f>
        <v>0.55949790794979071</v>
      </c>
      <c r="H103" s="2316">
        <f>1.3372/H101</f>
        <v>0.55949790794979071</v>
      </c>
      <c r="I103" s="2316">
        <f>1.3372/I101</f>
        <v>0.55949790794979071</v>
      </c>
      <c r="J103" s="2316">
        <f>1.2799/J101</f>
        <v>0.53552301255230128</v>
      </c>
      <c r="K103" s="2316">
        <f>1.2799/K101</f>
        <v>0.53552301255230128</v>
      </c>
      <c r="L103" s="2316">
        <f>1.2799/L101</f>
        <v>0.53552301255230128</v>
      </c>
      <c r="M103" s="2316">
        <f>1.2799/M101</f>
        <v>0.53552301255230128</v>
      </c>
      <c r="N103" s="2316">
        <f>1.2799/N101</f>
        <v>0.53552301255230128</v>
      </c>
    </row>
    <row r="104" spans="1:14">
      <c r="A104" s="3633"/>
      <c r="B104" s="2315">
        <v>3</v>
      </c>
      <c r="C104" s="2316">
        <f>1.1594/C101</f>
        <v>0.48510460251046023</v>
      </c>
      <c r="D104" s="2316">
        <f>1.1594/D101</f>
        <v>0.48510460251046023</v>
      </c>
      <c r="E104" s="2316">
        <f>1.0788/E101</f>
        <v>0.4513807531380753</v>
      </c>
      <c r="F104" s="2316">
        <f>1.0788/F101</f>
        <v>0.4513807531380753</v>
      </c>
      <c r="G104" s="2316">
        <f>1.0788/G101</f>
        <v>0.4513807531380753</v>
      </c>
      <c r="H104" s="2316">
        <f>1.0788/H101</f>
        <v>0.4513807531380753</v>
      </c>
      <c r="I104" s="2316">
        <f>1.0788/I101</f>
        <v>0.4513807531380753</v>
      </c>
      <c r="J104" s="2316">
        <f>1.0072/J101</f>
        <v>0.42142259414225941</v>
      </c>
      <c r="K104" s="2316">
        <f>1.0072/K101</f>
        <v>0.42142259414225941</v>
      </c>
      <c r="L104" s="2316">
        <f>1.0072/L101</f>
        <v>0.42142259414225941</v>
      </c>
      <c r="M104" s="2316">
        <f>1.0072/M101</f>
        <v>0.42142259414225941</v>
      </c>
      <c r="N104" s="2316">
        <f>1.0072/N101</f>
        <v>0.42142259414225941</v>
      </c>
    </row>
    <row r="105" spans="1:14">
      <c r="A105" s="3633"/>
      <c r="B105" s="2315">
        <v>4</v>
      </c>
      <c r="C105" s="2316">
        <f>0.9622/C101</f>
        <v>0.4025941422594142</v>
      </c>
      <c r="D105" s="2316">
        <f>0.9622/D101</f>
        <v>0.4025941422594142</v>
      </c>
      <c r="E105" s="2316">
        <f>0.8656/E101</f>
        <v>0.36217573221757321</v>
      </c>
      <c r="F105" s="2316">
        <f>0.8656/F101</f>
        <v>0.36217573221757321</v>
      </c>
      <c r="G105" s="2316">
        <f>0.8656/G101</f>
        <v>0.36217573221757321</v>
      </c>
      <c r="H105" s="2316">
        <f>0.8656/H101</f>
        <v>0.36217573221757321</v>
      </c>
      <c r="I105" s="2316">
        <f>0.8656/I101</f>
        <v>0.36217573221757321</v>
      </c>
      <c r="J105" s="2316">
        <f>0.7525/J101</f>
        <v>0.31485355648535562</v>
      </c>
      <c r="K105" s="2316">
        <f>0.7525/K101</f>
        <v>0.31485355648535562</v>
      </c>
      <c r="L105" s="2316">
        <f>0.7525/L101</f>
        <v>0.31485355648535562</v>
      </c>
      <c r="M105" s="2316">
        <f>0.7525/M101</f>
        <v>0.31485355648535562</v>
      </c>
      <c r="N105" s="2316">
        <f>0.7525/N101</f>
        <v>0.31485355648535562</v>
      </c>
    </row>
    <row r="106" spans="1:14">
      <c r="A106" s="3633"/>
      <c r="B106" s="2315">
        <v>5</v>
      </c>
      <c r="C106" s="2316">
        <f>0.8417/C101</f>
        <v>0.3521757322175732</v>
      </c>
      <c r="D106" s="2316">
        <f>0.8417/D101</f>
        <v>0.3521757322175732</v>
      </c>
      <c r="E106" s="2316">
        <f>0.7371/E101</f>
        <v>0.30841004184100418</v>
      </c>
      <c r="F106" s="2316">
        <f>0.7371/F101</f>
        <v>0.30841004184100418</v>
      </c>
      <c r="G106" s="2316">
        <f>0.7371/G101</f>
        <v>0.30841004184100418</v>
      </c>
      <c r="H106" s="2316">
        <f>0.7371/H101</f>
        <v>0.30841004184100418</v>
      </c>
      <c r="I106" s="2316">
        <f>0.7371/I101</f>
        <v>0.30841004184100418</v>
      </c>
      <c r="J106" s="2316">
        <f>0.5659/J101</f>
        <v>0.23677824267782424</v>
      </c>
      <c r="K106" s="2316">
        <f>0.5659/K101</f>
        <v>0.23677824267782424</v>
      </c>
      <c r="L106" s="2316">
        <f>0.5659/L101</f>
        <v>0.23677824267782424</v>
      </c>
      <c r="M106" s="2316">
        <f>0.5659/M101</f>
        <v>0.23677824267782424</v>
      </c>
      <c r="N106" s="2316">
        <f>0.5659/N101</f>
        <v>0.23677824267782424</v>
      </c>
    </row>
    <row r="107" spans="1:14">
      <c r="A107" s="3633"/>
      <c r="B107" s="2315">
        <v>6</v>
      </c>
      <c r="C107" s="2316">
        <f>0.7608/C101</f>
        <v>0.31832635983263596</v>
      </c>
      <c r="D107" s="2316">
        <f>0.7608/D101</f>
        <v>0.31832635983263596</v>
      </c>
      <c r="E107" s="2316">
        <f>0.6482/E101</f>
        <v>0.27121338912133891</v>
      </c>
      <c r="F107" s="2316">
        <f>0.6482/F101</f>
        <v>0.27121338912133891</v>
      </c>
      <c r="G107" s="2316">
        <f>0.6482/G101</f>
        <v>0.27121338912133891</v>
      </c>
      <c r="H107" s="2316">
        <f>0.6482/H101</f>
        <v>0.27121338912133891</v>
      </c>
      <c r="I107" s="2316">
        <f>0.6482/I101</f>
        <v>0.27121338912133891</v>
      </c>
      <c r="J107" s="2316">
        <f>0.4525/J101</f>
        <v>0.1893305439330544</v>
      </c>
      <c r="K107" s="2316">
        <f>0.4525/K101</f>
        <v>0.1893305439330544</v>
      </c>
      <c r="L107" s="2316">
        <f>0.4525/L101</f>
        <v>0.1893305439330544</v>
      </c>
      <c r="M107" s="2316">
        <f>0.4525/M101</f>
        <v>0.1893305439330544</v>
      </c>
      <c r="N107" s="2316">
        <f>0.4525/N101</f>
        <v>0.1893305439330544</v>
      </c>
    </row>
    <row r="108" spans="1:14">
      <c r="A108" s="3633"/>
      <c r="B108" s="3635" t="s">
        <v>2737</v>
      </c>
      <c r="C108" s="2317">
        <f>C99</f>
        <v>1</v>
      </c>
      <c r="D108" s="2317">
        <f t="shared" ref="D108:N108" si="32">D99</f>
        <v>1</v>
      </c>
      <c r="E108" s="2317">
        <f t="shared" si="32"/>
        <v>1</v>
      </c>
      <c r="F108" s="2317">
        <f t="shared" si="32"/>
        <v>1</v>
      </c>
      <c r="G108" s="2317">
        <f t="shared" si="32"/>
        <v>1</v>
      </c>
      <c r="H108" s="2317">
        <f t="shared" si="32"/>
        <v>1</v>
      </c>
      <c r="I108" s="2317">
        <f t="shared" si="32"/>
        <v>1</v>
      </c>
      <c r="J108" s="2317">
        <f t="shared" si="32"/>
        <v>1</v>
      </c>
      <c r="K108" s="2317">
        <f t="shared" si="32"/>
        <v>1</v>
      </c>
      <c r="L108" s="2317">
        <f t="shared" si="32"/>
        <v>1</v>
      </c>
      <c r="M108" s="2317">
        <f t="shared" si="32"/>
        <v>1</v>
      </c>
      <c r="N108" s="2317">
        <f t="shared" si="32"/>
        <v>1</v>
      </c>
    </row>
    <row r="109" spans="1:14">
      <c r="A109" s="3634"/>
      <c r="B109" s="3636"/>
      <c r="C109" s="2318">
        <f>(-0.163*(C108^2)-0.59*C108+7617)*(10^(-4))/C101</f>
        <v>0.31867142259414227</v>
      </c>
      <c r="D109" s="2318">
        <f>(-0.163*(D108^2)-0.59*D108+7617)*(10^(-4))/D101</f>
        <v>0.31867142259414227</v>
      </c>
      <c r="E109" s="2318">
        <f>(-0.161*(E108^2)-7.509*E108+6533)*(10^(-4))/E101</f>
        <v>0.27302635983263596</v>
      </c>
      <c r="F109" s="2318">
        <f>(-0.161*(F108^2)-7.509*F108+6533)*(10^(-4))/F101</f>
        <v>0.27302635983263596</v>
      </c>
      <c r="G109" s="2318">
        <f>(-0.161*(G108^2)-7.509*G108+6533)*(10^(-4))/G101</f>
        <v>0.27302635983263596</v>
      </c>
      <c r="H109" s="2318">
        <f>(-0.161*(H108^2)-7.509*H108+6533)*(10^(-4))/H101</f>
        <v>0.27302635983263596</v>
      </c>
      <c r="I109" s="2318">
        <f>(-0.161*(I108^2)-7.509*I108+6533)*(10^(-4))/I101</f>
        <v>0.27302635983263596</v>
      </c>
      <c r="J109" s="2318">
        <f>(-0.214*(J108^2)-21.991*J108+4665)*(10^(-4))/J101</f>
        <v>0.19425920502092051</v>
      </c>
      <c r="K109" s="2318">
        <f>(-0.214*(K108^2)-21.991*K108+4665)*(10^(-4))/K101</f>
        <v>0.19425920502092051</v>
      </c>
      <c r="L109" s="2318">
        <f>(-0.214*(L108^2)-21.991*L108+4665)*(10^(-4))/L101</f>
        <v>0.19425920502092051</v>
      </c>
      <c r="M109" s="2318">
        <f>(-0.214*(M108^2)-21.991*M108+4665)*(10^(-4))/M101</f>
        <v>0.19425920502092051</v>
      </c>
      <c r="N109" s="2318">
        <f>(-0.214*(N108^2)-21.991*N108+4665)*(10^(-4))/N101</f>
        <v>0.19425920502092051</v>
      </c>
    </row>
    <row r="110" spans="1:14">
      <c r="A110" s="3630" t="s">
        <v>2738</v>
      </c>
      <c r="B110" s="3630"/>
      <c r="C110" s="3630"/>
      <c r="D110" s="3630"/>
      <c r="E110" s="3630"/>
      <c r="F110" s="3630"/>
      <c r="G110" s="3630"/>
      <c r="H110" s="3630"/>
      <c r="I110" s="3630"/>
      <c r="J110" s="3630"/>
      <c r="K110" s="2321"/>
      <c r="L110" s="2321"/>
      <c r="M110" s="2321"/>
      <c r="N110" s="2321"/>
    </row>
    <row r="112" spans="1:14" ht="13.5" thickBot="1"/>
    <row r="113" spans="1:13" ht="25.5" thickBot="1">
      <c r="A113" s="842" t="s">
        <v>2739</v>
      </c>
      <c r="B113" s="1197">
        <f>G3</f>
        <v>2.39</v>
      </c>
      <c r="C113" s="843" t="s">
        <v>2740</v>
      </c>
      <c r="D113" s="844">
        <f>SUMPRODUCT((A115:A118=F113)*(B114:M114=H113)*B115:M118)</f>
        <v>0.80700000000000005</v>
      </c>
      <c r="E113" s="2157" t="s">
        <v>2574</v>
      </c>
      <c r="F113" s="2323" t="str">
        <f>E2</f>
        <v>商业</v>
      </c>
      <c r="G113" s="2157" t="s">
        <v>2575</v>
      </c>
      <c r="H113" s="2323" t="str">
        <f>G2</f>
        <v>七级</v>
      </c>
      <c r="I113" s="2157"/>
      <c r="J113" s="2324"/>
      <c r="K113" s="2324"/>
      <c r="L113" s="2324"/>
      <c r="M113" s="2324"/>
    </row>
    <row r="114" spans="1:13">
      <c r="A114" s="847"/>
      <c r="B114" s="2325" t="s">
        <v>2741</v>
      </c>
      <c r="C114" s="2325" t="s">
        <v>2742</v>
      </c>
      <c r="D114" s="2325" t="s">
        <v>2743</v>
      </c>
      <c r="E114" s="2326" t="s">
        <v>2744</v>
      </c>
      <c r="F114" s="2326" t="s">
        <v>2745</v>
      </c>
      <c r="G114" s="2326" t="s">
        <v>2746</v>
      </c>
      <c r="H114" s="2327" t="s">
        <v>2747</v>
      </c>
      <c r="I114" s="2327" t="s">
        <v>2748</v>
      </c>
      <c r="J114" s="2328" t="s">
        <v>2749</v>
      </c>
      <c r="K114" s="2328" t="s">
        <v>2750</v>
      </c>
      <c r="L114" s="2328" t="s">
        <v>2751</v>
      </c>
      <c r="M114" s="2329" t="s">
        <v>2752</v>
      </c>
    </row>
    <row r="115" spans="1:13">
      <c r="A115" s="848" t="s">
        <v>2639</v>
      </c>
      <c r="B115" s="849">
        <f>ROUND(0.9335-0.0094*B113,4)</f>
        <v>0.91100000000000003</v>
      </c>
      <c r="C115" s="849">
        <f>B115</f>
        <v>0.91100000000000003</v>
      </c>
      <c r="D115" s="849">
        <f>ROUND(0.8331-0.0109*B113,4)</f>
        <v>0.80700000000000005</v>
      </c>
      <c r="E115" s="849">
        <f>D115</f>
        <v>0.80700000000000005</v>
      </c>
      <c r="F115" s="849">
        <f>E115</f>
        <v>0.80700000000000005</v>
      </c>
      <c r="G115" s="849">
        <f>F115</f>
        <v>0.80700000000000005</v>
      </c>
      <c r="H115" s="849">
        <f>G115</f>
        <v>0.80700000000000005</v>
      </c>
      <c r="I115" s="849">
        <f>ROUND(0.689-0.0155*B113,4)</f>
        <v>0.65200000000000002</v>
      </c>
      <c r="J115" s="849">
        <f t="shared" ref="J115:M118" si="33">I115</f>
        <v>0.65200000000000002</v>
      </c>
      <c r="K115" s="849">
        <f t="shared" si="33"/>
        <v>0.65200000000000002</v>
      </c>
      <c r="L115" s="849">
        <f t="shared" si="33"/>
        <v>0.65200000000000002</v>
      </c>
      <c r="M115" s="850">
        <f t="shared" si="33"/>
        <v>0.65200000000000002</v>
      </c>
    </row>
    <row r="116" spans="1:13">
      <c r="A116" s="848" t="s">
        <v>2640</v>
      </c>
      <c r="B116" s="849">
        <f>ROUND(0.949-0.012*B113,4)</f>
        <v>0.92030000000000001</v>
      </c>
      <c r="C116" s="849">
        <f>B116</f>
        <v>0.92030000000000001</v>
      </c>
      <c r="D116" s="849">
        <f>ROUND(0.8567-0.013*B113,4)</f>
        <v>0.8256</v>
      </c>
      <c r="E116" s="849">
        <f t="shared" ref="E116:H117" si="34">D116</f>
        <v>0.8256</v>
      </c>
      <c r="F116" s="849">
        <f t="shared" si="34"/>
        <v>0.8256</v>
      </c>
      <c r="G116" s="849">
        <f t="shared" si="34"/>
        <v>0.8256</v>
      </c>
      <c r="H116" s="849">
        <f t="shared" si="34"/>
        <v>0.8256</v>
      </c>
      <c r="I116" s="849">
        <f>ROUND(0.7694-0.014*B113,4)</f>
        <v>0.7359</v>
      </c>
      <c r="J116" s="849">
        <f t="shared" si="33"/>
        <v>0.7359</v>
      </c>
      <c r="K116" s="849">
        <f t="shared" si="33"/>
        <v>0.7359</v>
      </c>
      <c r="L116" s="849">
        <f t="shared" si="33"/>
        <v>0.7359</v>
      </c>
      <c r="M116" s="850">
        <f t="shared" si="33"/>
        <v>0.7359</v>
      </c>
    </row>
    <row r="117" spans="1:13">
      <c r="A117" s="848" t="s">
        <v>2641</v>
      </c>
      <c r="B117" s="849">
        <f>ROUND(0.8808-0.006*B113,4)</f>
        <v>0.86650000000000005</v>
      </c>
      <c r="C117" s="849">
        <f>B117</f>
        <v>0.86650000000000005</v>
      </c>
      <c r="D117" s="849">
        <f>ROUND(0.8748-0.008*B113,4)</f>
        <v>0.85570000000000002</v>
      </c>
      <c r="E117" s="849">
        <f t="shared" si="34"/>
        <v>0.85570000000000002</v>
      </c>
      <c r="F117" s="849">
        <f t="shared" si="34"/>
        <v>0.85570000000000002</v>
      </c>
      <c r="G117" s="849">
        <f t="shared" si="34"/>
        <v>0.85570000000000002</v>
      </c>
      <c r="H117" s="849">
        <f t="shared" si="34"/>
        <v>0.85570000000000002</v>
      </c>
      <c r="I117" s="849">
        <f>ROUND(0.7412-0.0095*B113,4)</f>
        <v>0.71850000000000003</v>
      </c>
      <c r="J117" s="849">
        <f t="shared" si="33"/>
        <v>0.71850000000000003</v>
      </c>
      <c r="K117" s="849">
        <f t="shared" si="33"/>
        <v>0.71850000000000003</v>
      </c>
      <c r="L117" s="849">
        <f t="shared" si="33"/>
        <v>0.71850000000000003</v>
      </c>
      <c r="M117" s="850">
        <f t="shared" si="33"/>
        <v>0.71850000000000003</v>
      </c>
    </row>
    <row r="118" spans="1:13" ht="13.5" thickBot="1">
      <c r="A118" s="670" t="s">
        <v>2642</v>
      </c>
      <c r="B118" s="851">
        <f>ROUND(0.7275-0.01*B113,4)</f>
        <v>0.7036</v>
      </c>
      <c r="C118" s="851">
        <f>B118</f>
        <v>0.7036</v>
      </c>
      <c r="D118" s="851">
        <f>ROUND(0.7043-0.012*B113,4)</f>
        <v>0.67559999999999998</v>
      </c>
      <c r="E118" s="851">
        <f>D118</f>
        <v>0.67559999999999998</v>
      </c>
      <c r="F118" s="851">
        <f>E118</f>
        <v>0.67559999999999998</v>
      </c>
      <c r="G118" s="851">
        <f>ROUND(0.6299-0.0122*B113,4)</f>
        <v>0.60070000000000001</v>
      </c>
      <c r="H118" s="851">
        <f>G118</f>
        <v>0.60070000000000001</v>
      </c>
      <c r="I118" s="851">
        <f>ROUND(0.5667-0.0136*B113,4)</f>
        <v>0.53420000000000001</v>
      </c>
      <c r="J118" s="851">
        <f t="shared" si="33"/>
        <v>0.53420000000000001</v>
      </c>
      <c r="K118" s="851">
        <f t="shared" si="33"/>
        <v>0.53420000000000001</v>
      </c>
      <c r="L118" s="851">
        <f t="shared" si="33"/>
        <v>0.53420000000000001</v>
      </c>
      <c r="M118" s="852">
        <f t="shared" si="33"/>
        <v>0.53420000000000001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41" priority="5" stopIfTrue="1" operator="notEqual">
      <formula>"——"</formula>
    </cfRule>
  </conditionalFormatting>
  <conditionalFormatting sqref="F59">
    <cfRule type="cellIs" dxfId="40" priority="4" stopIfTrue="1" operator="notEqual">
      <formula>"——"</formula>
    </cfRule>
  </conditionalFormatting>
  <conditionalFormatting sqref="F70">
    <cfRule type="cellIs" dxfId="39" priority="3" stopIfTrue="1" operator="notEqual">
      <formula>"——"</formula>
    </cfRule>
  </conditionalFormatting>
  <conditionalFormatting sqref="F81">
    <cfRule type="cellIs" dxfId="38" priority="2" stopIfTrue="1" operator="notEqual">
      <formula>"——"</formula>
    </cfRule>
  </conditionalFormatting>
  <conditionalFormatting sqref="H48:H56 H59:H67 H70:H78 H81:H88">
    <cfRule type="cellIs" dxfId="37"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572" t="s">
        <v>2407</v>
      </c>
      <c r="D4" s="3573"/>
      <c r="E4" s="3574" t="s">
        <v>2408</v>
      </c>
      <c r="F4" s="3575"/>
      <c r="G4" s="3572" t="s">
        <v>2409</v>
      </c>
      <c r="H4" s="3573"/>
      <c r="I4" s="3572" t="s">
        <v>2410</v>
      </c>
      <c r="J4" s="3573"/>
      <c r="K4" s="567" t="s">
        <v>2411</v>
      </c>
      <c r="L4" s="2913"/>
      <c r="M4" s="2914"/>
      <c r="N4" s="2914"/>
      <c r="O4" s="2914"/>
      <c r="P4" s="3576" t="s">
        <v>2412</v>
      </c>
      <c r="Q4" s="3577"/>
      <c r="R4" s="3582" t="s">
        <v>2408</v>
      </c>
      <c r="S4" s="3583"/>
      <c r="T4" s="3582" t="s">
        <v>2409</v>
      </c>
      <c r="U4" s="3583"/>
      <c r="V4" s="3588" t="s">
        <v>2410</v>
      </c>
      <c r="W4" s="3588"/>
      <c r="X4" s="1508"/>
      <c r="Y4" s="3582" t="s">
        <v>2412</v>
      </c>
      <c r="Z4" s="3583"/>
      <c r="AA4" s="3569" t="s">
        <v>2408</v>
      </c>
      <c r="AB4" s="3570" t="s">
        <v>2409</v>
      </c>
      <c r="AC4" s="3569" t="s">
        <v>2410</v>
      </c>
    </row>
    <row r="5" spans="1:29" ht="15">
      <c r="A5" s="364"/>
      <c r="B5" s="365"/>
      <c r="C5" s="3591" t="s">
        <v>2303</v>
      </c>
      <c r="D5" s="3592"/>
      <c r="E5" s="3598" t="s">
        <v>2304</v>
      </c>
      <c r="F5" s="3599"/>
      <c r="G5" s="3591" t="s">
        <v>2305</v>
      </c>
      <c r="H5" s="3592"/>
      <c r="I5" s="3591" t="s">
        <v>2306</v>
      </c>
      <c r="J5" s="3592"/>
      <c r="K5" s="567"/>
      <c r="L5" s="2913"/>
      <c r="M5" s="2914"/>
      <c r="N5" s="2914"/>
      <c r="O5" s="2914"/>
      <c r="P5" s="3578"/>
      <c r="Q5" s="3579"/>
      <c r="R5" s="3584"/>
      <c r="S5" s="3585"/>
      <c r="T5" s="3584"/>
      <c r="U5" s="3585"/>
      <c r="V5" s="3588"/>
      <c r="W5" s="3588"/>
      <c r="X5" s="1508"/>
      <c r="Y5" s="3584"/>
      <c r="Z5" s="3585"/>
      <c r="AA5" s="3570"/>
      <c r="AB5" s="3570"/>
      <c r="AC5" s="3570"/>
    </row>
    <row r="6" spans="1:29" ht="15.75" thickBot="1">
      <c r="A6" s="366"/>
      <c r="B6" s="367"/>
      <c r="C6" s="3645" t="s">
        <v>2557</v>
      </c>
      <c r="D6" s="3646"/>
      <c r="E6" s="3647" t="s">
        <v>2557</v>
      </c>
      <c r="F6" s="3648"/>
      <c r="G6" s="3645" t="s">
        <v>2557</v>
      </c>
      <c r="H6" s="3646"/>
      <c r="I6" s="3645" t="s">
        <v>2557</v>
      </c>
      <c r="J6" s="3646"/>
      <c r="K6" s="567" t="s">
        <v>2308</v>
      </c>
      <c r="L6" s="2913"/>
      <c r="M6" s="2914"/>
      <c r="N6" s="2914"/>
      <c r="O6" s="2914"/>
      <c r="P6" s="3580"/>
      <c r="Q6" s="3581"/>
      <c r="R6" s="3584"/>
      <c r="S6" s="3585"/>
      <c r="T6" s="3586"/>
      <c r="U6" s="3587"/>
      <c r="V6" s="3588"/>
      <c r="W6" s="3588"/>
      <c r="X6" s="1508"/>
      <c r="Y6" s="3586"/>
      <c r="Z6" s="3587"/>
      <c r="AA6" s="3571"/>
      <c r="AB6" s="3571"/>
      <c r="AC6" s="3571"/>
    </row>
    <row r="7" spans="1:29" s="113" customFormat="1" ht="15.75" thickBot="1">
      <c r="A7" s="368" t="s">
        <v>2309</v>
      </c>
      <c r="B7" s="369"/>
      <c r="C7" s="370">
        <f>'数据-取费表'!B2</f>
        <v>44567</v>
      </c>
      <c r="D7" s="371">
        <v>100</v>
      </c>
      <c r="E7" s="372"/>
      <c r="F7" s="373">
        <f>SUMIF(65:65,YEAR(E7)&amp;"-"&amp;INT((MONTH(E7)+2)/3),66:66)</f>
        <v>0</v>
      </c>
      <c r="G7" s="2129"/>
      <c r="H7" s="371">
        <f>SUMIF(65:65,YEAR(G7)&amp;"-"&amp;INT((MONTH(G7)+2)/3),66:66)</f>
        <v>0</v>
      </c>
      <c r="I7" s="2129"/>
      <c r="J7" s="371">
        <f>SUMIF(65:65,YEAR(I7)&amp;"-"&amp;INT((MONTH(I7)+2)/3),66:66)</f>
        <v>0</v>
      </c>
      <c r="K7" s="568"/>
      <c r="L7" s="2915"/>
      <c r="M7" s="2916"/>
      <c r="N7" s="2916"/>
      <c r="O7" s="2916"/>
      <c r="P7" s="3593" t="s">
        <v>2310</v>
      </c>
      <c r="Q7" s="3595"/>
      <c r="R7" s="710" t="s">
        <v>17</v>
      </c>
      <c r="S7" s="711">
        <f t="shared" ref="S7:S15" si="0">F7</f>
        <v>0</v>
      </c>
      <c r="T7" s="710" t="s">
        <v>17</v>
      </c>
      <c r="U7" s="711">
        <f t="shared" ref="U7:U15" si="1">H7</f>
        <v>0</v>
      </c>
      <c r="V7" s="710" t="s">
        <v>17</v>
      </c>
      <c r="W7" s="711">
        <f t="shared" ref="W7:W15" si="2">J7</f>
        <v>0</v>
      </c>
      <c r="X7" s="712"/>
      <c r="Y7" s="3593" t="s">
        <v>2310</v>
      </c>
      <c r="Z7" s="3594"/>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5"/>
      <c r="M8" s="2916"/>
      <c r="N8" s="2916"/>
      <c r="O8" s="2916"/>
      <c r="P8" s="3593" t="s">
        <v>2313</v>
      </c>
      <c r="Q8" s="3594"/>
      <c r="R8" s="710" t="s">
        <v>17</v>
      </c>
      <c r="S8" s="711">
        <f t="shared" si="0"/>
        <v>0</v>
      </c>
      <c r="T8" s="710" t="s">
        <v>17</v>
      </c>
      <c r="U8" s="711">
        <f t="shared" si="1"/>
        <v>0</v>
      </c>
      <c r="V8" s="710" t="s">
        <v>17</v>
      </c>
      <c r="W8" s="711">
        <f t="shared" si="2"/>
        <v>0</v>
      </c>
      <c r="X8" s="712"/>
      <c r="Y8" s="3593" t="s">
        <v>2313</v>
      </c>
      <c r="Z8" s="3594"/>
      <c r="AA8" s="713" t="e">
        <f t="shared" ref="AA8:AA40" si="3">D8/F8</f>
        <v>#DIV/0!</v>
      </c>
      <c r="AB8" s="713" t="e">
        <f t="shared" ref="AB8:AB40" si="4">D8/H8</f>
        <v>#DIV/0!</v>
      </c>
      <c r="AC8" s="713" t="e">
        <f t="shared" ref="AC8:AC40" si="5">D8/J8</f>
        <v>#DIV/0!</v>
      </c>
    </row>
    <row r="9" spans="1:29" s="113" customFormat="1">
      <c r="A9" s="375" t="s">
        <v>2314</v>
      </c>
      <c r="B9" s="67" t="s">
        <v>2315</v>
      </c>
      <c r="C9" s="2132"/>
      <c r="D9" s="131">
        <v>100</v>
      </c>
      <c r="E9" s="2132"/>
      <c r="F9" s="131">
        <f>SUMIF(70:70,E9,71:71)-SUMIF(70:70,C9,71:71)+100</f>
        <v>100</v>
      </c>
      <c r="G9" s="2132"/>
      <c r="H9" s="131">
        <f>SUMIF(70:70,G9,71:71)-SUMIF(70:70,C9,71:71)+100</f>
        <v>100</v>
      </c>
      <c r="I9" s="2132"/>
      <c r="J9" s="131">
        <f>SUMIF(70:70,I9,71:71)-SUMIF(70:70,C9,71:71)+100</f>
        <v>100</v>
      </c>
      <c r="K9" s="568"/>
      <c r="L9" s="2915"/>
      <c r="M9" s="2916"/>
      <c r="N9" s="2916"/>
      <c r="O9" s="2970"/>
      <c r="P9" s="3557" t="s">
        <v>2316</v>
      </c>
      <c r="Q9" s="1496" t="str">
        <f t="shared" ref="Q9:Q15" si="6">B9</f>
        <v>用途</v>
      </c>
      <c r="R9" s="710" t="s">
        <v>17</v>
      </c>
      <c r="S9" s="711">
        <f t="shared" si="0"/>
        <v>100</v>
      </c>
      <c r="T9" s="710" t="s">
        <v>17</v>
      </c>
      <c r="U9" s="711">
        <f t="shared" si="1"/>
        <v>100</v>
      </c>
      <c r="V9" s="710" t="s">
        <v>17</v>
      </c>
      <c r="W9" s="711">
        <f t="shared" si="2"/>
        <v>100</v>
      </c>
      <c r="X9" s="712"/>
      <c r="Y9" s="3429"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135</v>
      </c>
      <c r="G10" s="391"/>
      <c r="H10" s="132">
        <f>ROUND(100/'数据-取费表'!G16,0)</f>
        <v>135</v>
      </c>
      <c r="I10" s="391"/>
      <c r="J10" s="132">
        <f>ROUND(100/'数据-取费表'!G16,0)</f>
        <v>135</v>
      </c>
      <c r="K10" s="628"/>
      <c r="L10" s="2917"/>
      <c r="M10" s="2918"/>
      <c r="N10" s="2918"/>
      <c r="O10" s="2971"/>
      <c r="P10" s="3557"/>
      <c r="Q10" s="1496" t="str">
        <f t="shared" si="6"/>
        <v>土地使用年限（年）</v>
      </c>
      <c r="R10" s="710" t="s">
        <v>17</v>
      </c>
      <c r="S10" s="711">
        <f t="shared" si="0"/>
        <v>135</v>
      </c>
      <c r="T10" s="710" t="s">
        <v>17</v>
      </c>
      <c r="U10" s="711">
        <f t="shared" si="1"/>
        <v>135</v>
      </c>
      <c r="V10" s="710" t="s">
        <v>17</v>
      </c>
      <c r="W10" s="711">
        <f t="shared" si="2"/>
        <v>135</v>
      </c>
      <c r="X10" s="712"/>
      <c r="Y10" s="3429"/>
      <c r="Z10" s="55" t="str">
        <f t="shared" si="7"/>
        <v>土地使用年限（年）</v>
      </c>
      <c r="AA10" s="713">
        <f t="shared" si="3"/>
        <v>0.7407407407407407</v>
      </c>
      <c r="AB10" s="713">
        <f t="shared" si="4"/>
        <v>0.7407407407407407</v>
      </c>
      <c r="AC10" s="713">
        <f t="shared" si="5"/>
        <v>0.7407407407407407</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9"/>
      <c r="M11" s="2914"/>
      <c r="N11" s="2914"/>
      <c r="O11" s="2972"/>
      <c r="P11" s="3557"/>
      <c r="Q11" s="1496" t="str">
        <f t="shared" si="6"/>
        <v>容积率</v>
      </c>
      <c r="R11" s="710" t="s">
        <v>17</v>
      </c>
      <c r="S11" s="711" t="e">
        <f t="shared" si="0"/>
        <v>#N/A</v>
      </c>
      <c r="T11" s="710" t="s">
        <v>17</v>
      </c>
      <c r="U11" s="711" t="e">
        <f t="shared" si="1"/>
        <v>#N/A</v>
      </c>
      <c r="V11" s="710" t="s">
        <v>17</v>
      </c>
      <c r="W11" s="711" t="e">
        <f t="shared" si="2"/>
        <v>#N/A</v>
      </c>
      <c r="X11" s="712"/>
      <c r="Y11" s="3429"/>
      <c r="Z11" s="55" t="str">
        <f t="shared" si="7"/>
        <v>容积率</v>
      </c>
      <c r="AA11" s="713" t="e">
        <f t="shared" si="3"/>
        <v>#N/A</v>
      </c>
      <c r="AB11" s="713" t="e">
        <f t="shared" si="4"/>
        <v>#N/A</v>
      </c>
      <c r="AC11" s="713"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557"/>
      <c r="Q12" s="1496">
        <f t="shared" si="6"/>
        <v>111</v>
      </c>
      <c r="R12" s="710" t="s">
        <v>17</v>
      </c>
      <c r="S12" s="711">
        <f t="shared" si="0"/>
        <v>100</v>
      </c>
      <c r="T12" s="710" t="s">
        <v>17</v>
      </c>
      <c r="U12" s="711">
        <f t="shared" si="1"/>
        <v>100</v>
      </c>
      <c r="V12" s="710" t="s">
        <v>17</v>
      </c>
      <c r="W12" s="711">
        <f t="shared" si="2"/>
        <v>100</v>
      </c>
      <c r="X12" s="712"/>
      <c r="Y12" s="3429"/>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557"/>
      <c r="Q13" s="1496">
        <f t="shared" si="6"/>
        <v>111</v>
      </c>
      <c r="R13" s="710" t="s">
        <v>17</v>
      </c>
      <c r="S13" s="711">
        <f t="shared" si="0"/>
        <v>100</v>
      </c>
      <c r="T13" s="710" t="s">
        <v>17</v>
      </c>
      <c r="U13" s="711">
        <f t="shared" si="1"/>
        <v>100</v>
      </c>
      <c r="V13" s="710" t="s">
        <v>17</v>
      </c>
      <c r="W13" s="711">
        <f t="shared" si="2"/>
        <v>100</v>
      </c>
      <c r="X13" s="712"/>
      <c r="Y13" s="3429"/>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557"/>
      <c r="Q14" s="1496">
        <f t="shared" si="6"/>
        <v>111</v>
      </c>
      <c r="R14" s="710" t="s">
        <v>17</v>
      </c>
      <c r="S14" s="711">
        <f t="shared" si="0"/>
        <v>100</v>
      </c>
      <c r="T14" s="710" t="s">
        <v>17</v>
      </c>
      <c r="U14" s="711">
        <f t="shared" si="1"/>
        <v>100</v>
      </c>
      <c r="V14" s="710" t="s">
        <v>17</v>
      </c>
      <c r="W14" s="711">
        <f t="shared" si="2"/>
        <v>100</v>
      </c>
      <c r="X14" s="712"/>
      <c r="Y14" s="3429"/>
      <c r="Z14" s="55">
        <f t="shared" si="7"/>
        <v>111</v>
      </c>
      <c r="AA14" s="713">
        <f t="shared" si="3"/>
        <v>1</v>
      </c>
      <c r="AB14" s="713">
        <f t="shared" si="4"/>
        <v>1</v>
      </c>
      <c r="AC14" s="713">
        <f t="shared" si="5"/>
        <v>1</v>
      </c>
    </row>
    <row r="15" spans="1:29" ht="57">
      <c r="A15" s="399" t="s">
        <v>2320</v>
      </c>
      <c r="B15" s="585" t="s">
        <v>2558</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0"/>
      <c r="M15" s="2914"/>
      <c r="N15" s="2914"/>
      <c r="O15" s="2972"/>
      <c r="P15" s="3559" t="s">
        <v>2321</v>
      </c>
      <c r="Q15" s="1505" t="str">
        <f t="shared" si="6"/>
        <v>产业集聚程度</v>
      </c>
      <c r="R15" s="714" t="s">
        <v>17</v>
      </c>
      <c r="S15" s="715">
        <f t="shared" si="0"/>
        <v>100</v>
      </c>
      <c r="T15" s="714" t="s">
        <v>17</v>
      </c>
      <c r="U15" s="715">
        <f t="shared" si="1"/>
        <v>100</v>
      </c>
      <c r="V15" s="714" t="s">
        <v>17</v>
      </c>
      <c r="W15" s="715">
        <f t="shared" si="2"/>
        <v>100</v>
      </c>
      <c r="X15" s="1508"/>
      <c r="Y15" s="3559" t="s">
        <v>2321</v>
      </c>
      <c r="Z15" s="1509" t="str">
        <f t="shared" si="7"/>
        <v>产业集聚程度</v>
      </c>
      <c r="AA15" s="1506">
        <f t="shared" si="3"/>
        <v>1</v>
      </c>
      <c r="AB15" s="1506">
        <f t="shared" si="4"/>
        <v>1</v>
      </c>
      <c r="AC15" s="1506">
        <f t="shared" si="5"/>
        <v>1</v>
      </c>
    </row>
    <row r="16" spans="1:29" ht="15">
      <c r="A16" s="387"/>
      <c r="B16" s="586"/>
      <c r="C16" s="406"/>
      <c r="D16" s="407"/>
      <c r="E16" s="2059"/>
      <c r="F16" s="407"/>
      <c r="G16" s="2059"/>
      <c r="H16" s="409"/>
      <c r="I16" s="2059"/>
      <c r="J16" s="407"/>
      <c r="K16" s="628"/>
      <c r="L16" s="2920"/>
      <c r="M16" s="2914"/>
      <c r="N16" s="2914"/>
      <c r="O16" s="2972"/>
      <c r="P16" s="3560"/>
      <c r="Q16" s="1505"/>
      <c r="R16" s="714"/>
      <c r="S16" s="715"/>
      <c r="T16" s="714"/>
      <c r="U16" s="715"/>
      <c r="V16" s="714"/>
      <c r="W16" s="715"/>
      <c r="X16" s="1508"/>
      <c r="Y16" s="3560"/>
      <c r="Z16" s="1509"/>
      <c r="AA16" s="1506">
        <v>1</v>
      </c>
      <c r="AB16" s="1506">
        <v>1</v>
      </c>
      <c r="AC16" s="1506">
        <v>1</v>
      </c>
    </row>
    <row r="17" spans="1:29" ht="85.5">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0"/>
      <c r="M17" s="2914"/>
      <c r="N17" s="2914"/>
      <c r="O17" s="2972"/>
      <c r="P17" s="3560"/>
      <c r="Q17" s="1505" t="str">
        <f>B17</f>
        <v>交通便捷度</v>
      </c>
      <c r="R17" s="714" t="s">
        <v>17</v>
      </c>
      <c r="S17" s="715">
        <f>F17</f>
        <v>100</v>
      </c>
      <c r="T17" s="714" t="s">
        <v>17</v>
      </c>
      <c r="U17" s="715">
        <f>H17</f>
        <v>100</v>
      </c>
      <c r="V17" s="714" t="s">
        <v>17</v>
      </c>
      <c r="W17" s="715">
        <f>J17</f>
        <v>100</v>
      </c>
      <c r="X17" s="1508"/>
      <c r="Y17" s="3560"/>
      <c r="Z17" s="1509" t="str">
        <f>Q17</f>
        <v>交通便捷度</v>
      </c>
      <c r="AA17" s="1506">
        <f t="shared" si="3"/>
        <v>1</v>
      </c>
      <c r="AB17" s="1506">
        <f t="shared" si="4"/>
        <v>1</v>
      </c>
      <c r="AC17" s="1506">
        <f t="shared" si="5"/>
        <v>1</v>
      </c>
    </row>
    <row r="18" spans="1:29" ht="15">
      <c r="A18" s="387"/>
      <c r="B18" s="588"/>
      <c r="C18" s="406"/>
      <c r="D18" s="407"/>
      <c r="E18" s="2053"/>
      <c r="F18" s="407"/>
      <c r="G18" s="2053"/>
      <c r="H18" s="407"/>
      <c r="I18" s="2052"/>
      <c r="J18" s="407"/>
      <c r="K18" s="628"/>
      <c r="L18" s="2920"/>
      <c r="M18" s="2914"/>
      <c r="N18" s="2914"/>
      <c r="O18" s="2972"/>
      <c r="P18" s="3560"/>
      <c r="Q18" s="1505"/>
      <c r="R18" s="714"/>
      <c r="S18" s="715"/>
      <c r="T18" s="714"/>
      <c r="U18" s="715"/>
      <c r="V18" s="714"/>
      <c r="W18" s="715"/>
      <c r="X18" s="1508"/>
      <c r="Y18" s="3560"/>
      <c r="Z18" s="1509"/>
      <c r="AA18" s="1506">
        <v>1</v>
      </c>
      <c r="AB18" s="1506">
        <v>1</v>
      </c>
      <c r="AC18" s="1506">
        <v>1</v>
      </c>
    </row>
    <row r="19" spans="1:29" ht="15">
      <c r="A19" s="387"/>
      <c r="B19" s="587" t="s">
        <v>2509</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0"/>
      <c r="M19" s="2914"/>
      <c r="N19" s="2914"/>
      <c r="O19" s="2972"/>
      <c r="P19" s="3560"/>
      <c r="Q19" s="1505" t="str">
        <f t="shared" ref="Q19:Q33" si="8">B19</f>
        <v>区域土地利用方向</v>
      </c>
      <c r="R19" s="714" t="s">
        <v>17</v>
      </c>
      <c r="S19" s="715">
        <f>F19</f>
        <v>100</v>
      </c>
      <c r="T19" s="714" t="s">
        <v>17</v>
      </c>
      <c r="U19" s="715">
        <f>H19</f>
        <v>100</v>
      </c>
      <c r="V19" s="714" t="s">
        <v>17</v>
      </c>
      <c r="W19" s="715">
        <f>J19</f>
        <v>100</v>
      </c>
      <c r="X19" s="1508"/>
      <c r="Y19" s="3560"/>
      <c r="Z19" s="1509" t="str">
        <f>Q19</f>
        <v>区域土地利用方向</v>
      </c>
      <c r="AA19" s="1506">
        <f t="shared" si="3"/>
        <v>1</v>
      </c>
      <c r="AB19" s="1506">
        <f t="shared" si="4"/>
        <v>1</v>
      </c>
      <c r="AC19" s="1506">
        <f t="shared" si="5"/>
        <v>1</v>
      </c>
    </row>
    <row r="20" spans="1:29" ht="15">
      <c r="A20" s="364"/>
      <c r="B20" s="588"/>
      <c r="C20" s="406"/>
      <c r="D20" s="407"/>
      <c r="E20" s="2053"/>
      <c r="F20" s="407"/>
      <c r="G20" s="2053"/>
      <c r="H20" s="407"/>
      <c r="I20" s="2053"/>
      <c r="J20" s="407"/>
      <c r="K20" s="751"/>
      <c r="L20" s="2920"/>
      <c r="M20" s="2914"/>
      <c r="N20" s="2914"/>
      <c r="O20" s="2972"/>
      <c r="P20" s="3560"/>
      <c r="Q20" s="1505"/>
      <c r="R20" s="714"/>
      <c r="S20" s="715"/>
      <c r="T20" s="714"/>
      <c r="U20" s="715"/>
      <c r="V20" s="714"/>
      <c r="W20" s="715"/>
      <c r="X20" s="1508"/>
      <c r="Y20" s="3560"/>
      <c r="Z20" s="1509"/>
      <c r="AA20" s="1506"/>
      <c r="AB20" s="1506"/>
      <c r="AC20" s="1506"/>
    </row>
    <row r="21" spans="1:29" ht="71.25">
      <c r="A21" s="364"/>
      <c r="B21" s="587" t="s">
        <v>2559</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0"/>
      <c r="M21" s="2914"/>
      <c r="N21" s="2914"/>
      <c r="O21" s="2972"/>
      <c r="P21" s="3560"/>
      <c r="Q21" s="1505" t="str">
        <f t="shared" si="8"/>
        <v>环境状况</v>
      </c>
      <c r="R21" s="714" t="s">
        <v>17</v>
      </c>
      <c r="S21" s="715">
        <f>F21</f>
        <v>100</v>
      </c>
      <c r="T21" s="714" t="s">
        <v>17</v>
      </c>
      <c r="U21" s="715">
        <f>H21</f>
        <v>100</v>
      </c>
      <c r="V21" s="714" t="s">
        <v>17</v>
      </c>
      <c r="W21" s="715">
        <f>J21</f>
        <v>100</v>
      </c>
      <c r="X21" s="1508"/>
      <c r="Y21" s="3560"/>
      <c r="Z21" s="1509" t="str">
        <f>Q21</f>
        <v>环境状况</v>
      </c>
      <c r="AA21" s="1506">
        <f t="shared" si="3"/>
        <v>1</v>
      </c>
      <c r="AB21" s="1506">
        <f t="shared" si="4"/>
        <v>1</v>
      </c>
      <c r="AC21" s="1506">
        <f t="shared" si="5"/>
        <v>1</v>
      </c>
    </row>
    <row r="22" spans="1:29" ht="15">
      <c r="A22" s="364"/>
      <c r="B22" s="588"/>
      <c r="C22" s="406"/>
      <c r="D22" s="407"/>
      <c r="E22" s="2059"/>
      <c r="F22" s="407"/>
      <c r="G22" s="2059"/>
      <c r="H22" s="407"/>
      <c r="I22" s="406"/>
      <c r="J22" s="407"/>
      <c r="K22" s="628"/>
      <c r="L22" s="2920"/>
      <c r="M22" s="2914"/>
      <c r="N22" s="2914"/>
      <c r="O22" s="2972"/>
      <c r="P22" s="3560"/>
      <c r="Q22" s="1505"/>
      <c r="R22" s="714"/>
      <c r="S22" s="715"/>
      <c r="T22" s="714"/>
      <c r="U22" s="715"/>
      <c r="V22" s="714"/>
      <c r="W22" s="715"/>
      <c r="X22" s="1508"/>
      <c r="Y22" s="3560"/>
      <c r="Z22" s="1509"/>
      <c r="AA22" s="1506">
        <v>1</v>
      </c>
      <c r="AB22" s="1506">
        <v>1</v>
      </c>
      <c r="AC22" s="1506">
        <v>1</v>
      </c>
    </row>
    <row r="23" spans="1:29" s="113" customFormat="1" ht="42.75">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5"/>
      <c r="M23" s="2916"/>
      <c r="N23" s="2916"/>
      <c r="O23" s="2970"/>
      <c r="P23" s="3560"/>
      <c r="Q23" s="1496" t="str">
        <f t="shared" si="8"/>
        <v>公共配套设施</v>
      </c>
      <c r="R23" s="710" t="s">
        <v>17</v>
      </c>
      <c r="S23" s="711">
        <f>F23</f>
        <v>100</v>
      </c>
      <c r="T23" s="710" t="s">
        <v>17</v>
      </c>
      <c r="U23" s="711">
        <f>H23</f>
        <v>100</v>
      </c>
      <c r="V23" s="710" t="s">
        <v>17</v>
      </c>
      <c r="W23" s="711">
        <f>J23</f>
        <v>100</v>
      </c>
      <c r="X23" s="712"/>
      <c r="Y23" s="3560"/>
      <c r="Z23" s="55" t="str">
        <f>Q23</f>
        <v>公共配套设施</v>
      </c>
      <c r="AA23" s="1506">
        <f>D23/F23</f>
        <v>1</v>
      </c>
      <c r="AB23" s="1506">
        <f>D23/H23</f>
        <v>1</v>
      </c>
      <c r="AC23" s="1506">
        <f>D23/J23</f>
        <v>1</v>
      </c>
    </row>
    <row r="24" spans="1:29" s="113" customFormat="1" ht="15">
      <c r="A24" s="605"/>
      <c r="B24" s="588"/>
      <c r="C24" s="2133"/>
      <c r="D24" s="407"/>
      <c r="E24" s="2059"/>
      <c r="F24" s="407"/>
      <c r="G24" s="2059"/>
      <c r="H24" s="407"/>
      <c r="I24" s="406"/>
      <c r="J24" s="407"/>
      <c r="K24" s="628"/>
      <c r="L24" s="2915"/>
      <c r="M24" s="2916"/>
      <c r="N24" s="2916"/>
      <c r="O24" s="2970"/>
      <c r="P24" s="3560"/>
      <c r="Q24" s="1496"/>
      <c r="R24" s="710"/>
      <c r="S24" s="711"/>
      <c r="T24" s="710"/>
      <c r="U24" s="711"/>
      <c r="V24" s="710"/>
      <c r="W24" s="711"/>
      <c r="X24" s="712"/>
      <c r="Y24" s="3560"/>
      <c r="Z24" s="55"/>
      <c r="AA24" s="713">
        <v>1</v>
      </c>
      <c r="AB24" s="713">
        <v>1</v>
      </c>
      <c r="AC24" s="713">
        <v>1</v>
      </c>
    </row>
    <row r="25" spans="1:29" s="113" customFormat="1" ht="28.5">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5"/>
      <c r="M25" s="2916"/>
      <c r="N25" s="2916"/>
      <c r="O25" s="2970"/>
      <c r="P25" s="3560"/>
      <c r="Q25" s="1496" t="str">
        <f t="shared" ref="Q25" si="9">B25</f>
        <v>基础设施水平</v>
      </c>
      <c r="R25" s="710" t="s">
        <v>17</v>
      </c>
      <c r="S25" s="711">
        <f>F25</f>
        <v>100</v>
      </c>
      <c r="T25" s="710" t="s">
        <v>17</v>
      </c>
      <c r="U25" s="711">
        <f>H25</f>
        <v>100</v>
      </c>
      <c r="V25" s="710" t="s">
        <v>17</v>
      </c>
      <c r="W25" s="711">
        <f>J25</f>
        <v>100</v>
      </c>
      <c r="X25" s="712"/>
      <c r="Y25" s="3560"/>
      <c r="Z25" s="55" t="str">
        <f>Q25</f>
        <v>基础设施水平</v>
      </c>
      <c r="AA25" s="1506">
        <f>D25/F25</f>
        <v>1</v>
      </c>
      <c r="AB25" s="1506">
        <f>D25/H25</f>
        <v>1</v>
      </c>
      <c r="AC25" s="1506">
        <f>D25/J25</f>
        <v>1</v>
      </c>
    </row>
    <row r="26" spans="1:29" s="113" customFormat="1" ht="15">
      <c r="A26" s="605"/>
      <c r="B26" s="588"/>
      <c r="C26" s="2133"/>
      <c r="D26" s="407"/>
      <c r="E26" s="2134"/>
      <c r="F26" s="407"/>
      <c r="G26" s="2134"/>
      <c r="H26" s="407"/>
      <c r="I26" s="2134"/>
      <c r="J26" s="407"/>
      <c r="K26" s="628"/>
      <c r="L26" s="2915"/>
      <c r="M26" s="2916"/>
      <c r="N26" s="2916"/>
      <c r="O26" s="2970"/>
      <c r="P26" s="3560"/>
      <c r="Q26" s="1496"/>
      <c r="R26" s="710"/>
      <c r="S26" s="711"/>
      <c r="T26" s="710"/>
      <c r="U26" s="711"/>
      <c r="V26" s="710"/>
      <c r="W26" s="711"/>
      <c r="X26" s="712"/>
      <c r="Y26" s="3560"/>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560"/>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560"/>
      <c r="Z27" s="1509" t="str">
        <f t="shared" ref="Z27:Z40" si="13">Q27</f>
        <v>临街状况</v>
      </c>
      <c r="AA27" s="1506">
        <f t="shared" si="3"/>
        <v>1</v>
      </c>
      <c r="AB27" s="1506">
        <f t="shared" si="4"/>
        <v>1</v>
      </c>
      <c r="AC27" s="1506">
        <f t="shared" si="5"/>
        <v>1</v>
      </c>
    </row>
    <row r="28" spans="1:29" ht="27">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560"/>
      <c r="Q28" s="1505" t="str">
        <f t="shared" si="8"/>
        <v>毗邻道路的类型与等级</v>
      </c>
      <c r="R28" s="714" t="s">
        <v>17</v>
      </c>
      <c r="S28" s="715">
        <f t="shared" si="10"/>
        <v>100</v>
      </c>
      <c r="T28" s="714" t="s">
        <v>17</v>
      </c>
      <c r="U28" s="715">
        <f t="shared" si="11"/>
        <v>100</v>
      </c>
      <c r="V28" s="714" t="s">
        <v>17</v>
      </c>
      <c r="W28" s="715">
        <f t="shared" si="12"/>
        <v>100</v>
      </c>
      <c r="X28" s="1508"/>
      <c r="Y28" s="3560"/>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20"/>
      <c r="M29" s="2914"/>
      <c r="N29" s="2914"/>
      <c r="O29" s="2972"/>
      <c r="P29" s="3560"/>
      <c r="Q29" s="1505"/>
      <c r="R29" s="714"/>
      <c r="S29" s="715"/>
      <c r="T29" s="714"/>
      <c r="U29" s="715"/>
      <c r="V29" s="714"/>
      <c r="W29" s="715"/>
      <c r="X29" s="1508"/>
      <c r="Y29" s="3560"/>
      <c r="Z29" s="1509"/>
      <c r="AA29" s="1506">
        <v>1</v>
      </c>
      <c r="AB29" s="1506">
        <v>1</v>
      </c>
      <c r="AC29" s="1506">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560"/>
      <c r="Q30" s="1505" t="str">
        <f t="shared" si="8"/>
        <v>土地级别</v>
      </c>
      <c r="R30" s="714" t="s">
        <v>17</v>
      </c>
      <c r="S30" s="715">
        <f t="shared" si="10"/>
        <v>100</v>
      </c>
      <c r="T30" s="714" t="s">
        <v>17</v>
      </c>
      <c r="U30" s="715">
        <f t="shared" si="11"/>
        <v>100</v>
      </c>
      <c r="V30" s="714" t="s">
        <v>17</v>
      </c>
      <c r="W30" s="715">
        <f t="shared" si="12"/>
        <v>100</v>
      </c>
      <c r="X30" s="1508"/>
      <c r="Y30" s="3560"/>
      <c r="Z30" s="1509" t="str">
        <f t="shared" si="13"/>
        <v>土地级别</v>
      </c>
      <c r="AA30" s="1506">
        <f t="shared" si="3"/>
        <v>1</v>
      </c>
      <c r="AB30" s="1506">
        <f t="shared" si="4"/>
        <v>1</v>
      </c>
      <c r="AC30" s="1506">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560"/>
      <c r="Q31" s="1505">
        <f t="shared" si="8"/>
        <v>111</v>
      </c>
      <c r="R31" s="714" t="s">
        <v>17</v>
      </c>
      <c r="S31" s="715">
        <f t="shared" si="10"/>
        <v>100</v>
      </c>
      <c r="T31" s="714" t="s">
        <v>17</v>
      </c>
      <c r="U31" s="715">
        <f t="shared" si="11"/>
        <v>100</v>
      </c>
      <c r="V31" s="714" t="s">
        <v>17</v>
      </c>
      <c r="W31" s="715">
        <f t="shared" si="12"/>
        <v>100</v>
      </c>
      <c r="X31" s="1508"/>
      <c r="Y31" s="3560"/>
      <c r="Z31" s="1509">
        <f t="shared" si="13"/>
        <v>111</v>
      </c>
      <c r="AA31" s="1506">
        <f t="shared" si="3"/>
        <v>1</v>
      </c>
      <c r="AB31" s="1506">
        <f t="shared" si="4"/>
        <v>1</v>
      </c>
      <c r="AC31" s="1506">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615" t="s">
        <v>2326</v>
      </c>
      <c r="Q32" s="1505">
        <f t="shared" si="8"/>
        <v>111</v>
      </c>
      <c r="R32" s="714" t="s">
        <v>17</v>
      </c>
      <c r="S32" s="715">
        <f t="shared" si="10"/>
        <v>100</v>
      </c>
      <c r="T32" s="714" t="s">
        <v>17</v>
      </c>
      <c r="U32" s="715">
        <f t="shared" si="11"/>
        <v>100</v>
      </c>
      <c r="V32" s="714" t="s">
        <v>17</v>
      </c>
      <c r="W32" s="715">
        <f t="shared" si="12"/>
        <v>100</v>
      </c>
      <c r="X32" s="1508"/>
      <c r="Y32" s="3564" t="s">
        <v>2326</v>
      </c>
      <c r="Z32" s="1509">
        <f t="shared" si="13"/>
        <v>111</v>
      </c>
      <c r="AA32" s="1506">
        <f t="shared" si="3"/>
        <v>1</v>
      </c>
      <c r="AB32" s="1506">
        <f t="shared" si="4"/>
        <v>1</v>
      </c>
      <c r="AC32" s="1506">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564"/>
      <c r="Q33" s="1505">
        <f t="shared" si="8"/>
        <v>111</v>
      </c>
      <c r="R33" s="717" t="s">
        <v>17</v>
      </c>
      <c r="S33" s="718">
        <f t="shared" si="10"/>
        <v>100</v>
      </c>
      <c r="T33" s="717" t="s">
        <v>17</v>
      </c>
      <c r="U33" s="718">
        <f t="shared" si="11"/>
        <v>100</v>
      </c>
      <c r="V33" s="717" t="s">
        <v>17</v>
      </c>
      <c r="W33" s="718">
        <f t="shared" si="12"/>
        <v>100</v>
      </c>
      <c r="X33" s="719"/>
      <c r="Y33" s="3564"/>
      <c r="Z33" s="720">
        <f t="shared" si="13"/>
        <v>111</v>
      </c>
      <c r="AA33" s="1506">
        <f t="shared" si="3"/>
        <v>1</v>
      </c>
      <c r="AB33" s="1506">
        <f t="shared" si="4"/>
        <v>1</v>
      </c>
      <c r="AC33" s="1506">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0"/>
      <c r="M34" s="2914"/>
      <c r="N34" s="2914"/>
      <c r="O34" s="2972"/>
      <c r="P34" s="3564"/>
      <c r="Q34" s="1505" t="str">
        <f>B34</f>
        <v>宗地面积</v>
      </c>
      <c r="R34" s="714" t="s">
        <v>17</v>
      </c>
      <c r="S34" s="715" t="e">
        <f t="shared" si="10"/>
        <v>#N/A</v>
      </c>
      <c r="T34" s="714" t="s">
        <v>17</v>
      </c>
      <c r="U34" s="715" t="e">
        <f t="shared" si="11"/>
        <v>#N/A</v>
      </c>
      <c r="V34" s="714" t="s">
        <v>17</v>
      </c>
      <c r="W34" s="715" t="e">
        <f t="shared" si="12"/>
        <v>#N/A</v>
      </c>
      <c r="X34" s="1508"/>
      <c r="Y34" s="3564"/>
      <c r="Z34" s="1509" t="str">
        <f t="shared" si="13"/>
        <v>宗地面积</v>
      </c>
      <c r="AA34" s="1506" t="e">
        <f t="shared" si="3"/>
        <v>#N/A</v>
      </c>
      <c r="AB34" s="1506" t="e">
        <f t="shared" si="4"/>
        <v>#N/A</v>
      </c>
      <c r="AC34" s="1506" t="e">
        <f t="shared" si="5"/>
        <v>#N/A</v>
      </c>
    </row>
    <row r="35" spans="1:31" ht="15">
      <c r="A35" s="431"/>
      <c r="B35" s="381" t="s">
        <v>2513</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20"/>
      <c r="M35" s="2914"/>
      <c r="N35" s="2914"/>
      <c r="O35" s="2972"/>
      <c r="P35" s="3564"/>
      <c r="Q35" s="1505" t="str">
        <f t="shared" ref="Q35:Q40" si="14">B35</f>
        <v>宗地形状</v>
      </c>
      <c r="R35" s="714" t="s">
        <v>17</v>
      </c>
      <c r="S35" s="715">
        <f t="shared" si="10"/>
        <v>100</v>
      </c>
      <c r="T35" s="714" t="s">
        <v>17</v>
      </c>
      <c r="U35" s="715">
        <f t="shared" si="11"/>
        <v>100</v>
      </c>
      <c r="V35" s="714" t="s">
        <v>17</v>
      </c>
      <c r="W35" s="715">
        <f t="shared" si="12"/>
        <v>100</v>
      </c>
      <c r="X35" s="1508"/>
      <c r="Y35" s="3564"/>
      <c r="Z35" s="1509" t="str">
        <f t="shared" si="13"/>
        <v>宗地形状</v>
      </c>
      <c r="AA35" s="1506">
        <f t="shared" si="3"/>
        <v>1</v>
      </c>
      <c r="AB35" s="1506">
        <f t="shared" si="4"/>
        <v>1</v>
      </c>
      <c r="AC35" s="1506">
        <f t="shared" si="5"/>
        <v>1</v>
      </c>
    </row>
    <row r="36" spans="1:31" s="113" customFormat="1" ht="15">
      <c r="A36" s="432"/>
      <c r="B36" s="381" t="s">
        <v>2515</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915"/>
      <c r="M36" s="2916"/>
      <c r="N36" s="2916"/>
      <c r="O36" s="2970"/>
      <c r="P36" s="3564"/>
      <c r="Q36" s="1505" t="str">
        <f t="shared" si="14"/>
        <v>宗地开发程度</v>
      </c>
      <c r="R36" s="710" t="s">
        <v>17</v>
      </c>
      <c r="S36" s="711">
        <f t="shared" si="10"/>
        <v>100</v>
      </c>
      <c r="T36" s="710" t="s">
        <v>17</v>
      </c>
      <c r="U36" s="711">
        <f t="shared" si="11"/>
        <v>100</v>
      </c>
      <c r="V36" s="710" t="s">
        <v>17</v>
      </c>
      <c r="W36" s="711">
        <f t="shared" si="12"/>
        <v>100</v>
      </c>
      <c r="X36" s="712"/>
      <c r="Y36" s="3564"/>
      <c r="Z36" s="55" t="str">
        <f t="shared" si="13"/>
        <v>宗地开发程度</v>
      </c>
      <c r="AA36" s="713">
        <f t="shared" si="3"/>
        <v>1</v>
      </c>
      <c r="AB36" s="713">
        <f t="shared" si="4"/>
        <v>1</v>
      </c>
      <c r="AC36" s="713">
        <f t="shared" si="5"/>
        <v>1</v>
      </c>
    </row>
    <row r="37" spans="1:31" ht="15">
      <c r="A37" s="431"/>
      <c r="B37" s="381" t="s">
        <v>2516</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20"/>
      <c r="M37" s="2914"/>
      <c r="N37" s="2914"/>
      <c r="O37" s="2972"/>
      <c r="P37" s="3564" t="s">
        <v>2326</v>
      </c>
      <c r="Q37" s="1505" t="str">
        <f t="shared" si="14"/>
        <v>工程地质条件</v>
      </c>
      <c r="R37" s="714" t="s">
        <v>17</v>
      </c>
      <c r="S37" s="715">
        <f t="shared" si="10"/>
        <v>100</v>
      </c>
      <c r="T37" s="714" t="s">
        <v>17</v>
      </c>
      <c r="U37" s="715">
        <f t="shared" si="11"/>
        <v>100</v>
      </c>
      <c r="V37" s="714" t="s">
        <v>17</v>
      </c>
      <c r="W37" s="715">
        <f t="shared" si="12"/>
        <v>100</v>
      </c>
      <c r="X37" s="1508"/>
      <c r="Y37" s="3564" t="s">
        <v>2326</v>
      </c>
      <c r="Z37" s="1509" t="str">
        <f t="shared" si="13"/>
        <v>工程地质条件</v>
      </c>
      <c r="AA37" s="1506">
        <f t="shared" si="3"/>
        <v>1</v>
      </c>
      <c r="AB37" s="1506">
        <f t="shared" si="4"/>
        <v>1</v>
      </c>
      <c r="AC37" s="1506">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564"/>
      <c r="Q38" s="1505">
        <f t="shared" si="14"/>
        <v>111</v>
      </c>
      <c r="R38" s="714" t="s">
        <v>17</v>
      </c>
      <c r="S38" s="715">
        <f t="shared" si="10"/>
        <v>100</v>
      </c>
      <c r="T38" s="714" t="s">
        <v>17</v>
      </c>
      <c r="U38" s="715">
        <f t="shared" si="11"/>
        <v>100</v>
      </c>
      <c r="V38" s="714" t="s">
        <v>17</v>
      </c>
      <c r="W38" s="715">
        <f t="shared" si="12"/>
        <v>100</v>
      </c>
      <c r="X38" s="1508"/>
      <c r="Y38" s="3564"/>
      <c r="Z38" s="1509">
        <f t="shared" si="13"/>
        <v>111</v>
      </c>
      <c r="AA38" s="1506">
        <f t="shared" si="3"/>
        <v>1</v>
      </c>
      <c r="AB38" s="1506">
        <f t="shared" si="4"/>
        <v>1</v>
      </c>
      <c r="AC38" s="1506">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564"/>
      <c r="Q39" s="1505">
        <f t="shared" si="14"/>
        <v>111</v>
      </c>
      <c r="R39" s="714" t="s">
        <v>17</v>
      </c>
      <c r="S39" s="715">
        <f t="shared" si="10"/>
        <v>100</v>
      </c>
      <c r="T39" s="714" t="s">
        <v>17</v>
      </c>
      <c r="U39" s="715">
        <f t="shared" si="11"/>
        <v>100</v>
      </c>
      <c r="V39" s="714" t="s">
        <v>17</v>
      </c>
      <c r="W39" s="715">
        <f t="shared" si="12"/>
        <v>100</v>
      </c>
      <c r="X39" s="1508"/>
      <c r="Y39" s="3564"/>
      <c r="Z39" s="1509">
        <f t="shared" si="13"/>
        <v>111</v>
      </c>
      <c r="AA39" s="1506">
        <f t="shared" si="3"/>
        <v>1</v>
      </c>
      <c r="AB39" s="1506">
        <f t="shared" si="4"/>
        <v>1</v>
      </c>
      <c r="AC39" s="1506">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564"/>
      <c r="Q40" s="1505">
        <f t="shared" si="14"/>
        <v>111</v>
      </c>
      <c r="R40" s="717" t="s">
        <v>17</v>
      </c>
      <c r="S40" s="718">
        <f t="shared" si="10"/>
        <v>100</v>
      </c>
      <c r="T40" s="717" t="s">
        <v>17</v>
      </c>
      <c r="U40" s="718">
        <f t="shared" si="11"/>
        <v>100</v>
      </c>
      <c r="V40" s="717" t="s">
        <v>17</v>
      </c>
      <c r="W40" s="718">
        <f t="shared" si="12"/>
        <v>100</v>
      </c>
      <c r="X40" s="719"/>
      <c r="Y40" s="3564"/>
      <c r="Z40" s="720">
        <f t="shared" si="13"/>
        <v>111</v>
      </c>
      <c r="AA40" s="1506">
        <f t="shared" si="3"/>
        <v>1</v>
      </c>
      <c r="AB40" s="1506">
        <f t="shared" si="4"/>
        <v>1</v>
      </c>
      <c r="AC40" s="1506">
        <f t="shared" si="5"/>
        <v>1</v>
      </c>
    </row>
    <row r="41" spans="1:31" ht="15">
      <c r="A41" s="438" t="s">
        <v>2481</v>
      </c>
      <c r="B41" s="2137" t="s">
        <v>2560</v>
      </c>
      <c r="C41" s="638" t="s">
        <v>1</v>
      </c>
      <c r="D41" s="440"/>
      <c r="E41" s="441"/>
      <c r="F41" s="442"/>
      <c r="G41" s="443"/>
      <c r="H41" s="444"/>
      <c r="I41" s="441"/>
      <c r="J41" s="444"/>
      <c r="K41" s="723"/>
      <c r="L41" s="2922"/>
      <c r="M41" s="2914"/>
      <c r="N41" s="2914"/>
      <c r="O41" s="2923"/>
      <c r="P41" s="3557" t="str">
        <f>A41</f>
        <v>成交单价</v>
      </c>
      <c r="Q41" s="3557"/>
      <c r="R41" s="3588">
        <f>E41</f>
        <v>0</v>
      </c>
      <c r="S41" s="3588"/>
      <c r="T41" s="3588">
        <f>G41</f>
        <v>0</v>
      </c>
      <c r="U41" s="3588"/>
      <c r="V41" s="3588">
        <f>I41</f>
        <v>0</v>
      </c>
      <c r="W41" s="3588"/>
      <c r="X41" s="699"/>
      <c r="Y41" s="721"/>
      <c r="Z41" s="699"/>
      <c r="AA41" s="699"/>
      <c r="AB41" s="699"/>
      <c r="AC41" s="699"/>
    </row>
    <row r="42" spans="1:31" ht="15.75" thickBot="1">
      <c r="A42" s="445" t="s">
        <v>2430</v>
      </c>
      <c r="B42" s="639"/>
      <c r="C42" s="448" t="e">
        <f>R43</f>
        <v>#DIV/0!</v>
      </c>
      <c r="D42" s="2507" t="s">
        <v>2819</v>
      </c>
      <c r="E42" s="448" t="e">
        <f>R42</f>
        <v>#DIV/0!</v>
      </c>
      <c r="F42" s="2508"/>
      <c r="G42" s="447" t="e">
        <f>T42</f>
        <v>#DIV/0!</v>
      </c>
      <c r="H42" s="2508"/>
      <c r="I42" s="448" t="e">
        <f>V42</f>
        <v>#DIV/0!</v>
      </c>
      <c r="J42" s="2508"/>
      <c r="K42" s="2510">
        <f>F42+H42+J42</f>
        <v>0</v>
      </c>
      <c r="L42" s="2922"/>
      <c r="M42" s="2914"/>
      <c r="N42" s="2914"/>
      <c r="O42" s="2923"/>
      <c r="P42" s="3557" t="str">
        <f>A42</f>
        <v>比较价值（元/平方米）</v>
      </c>
      <c r="Q42" s="3557"/>
      <c r="R42" s="3650" t="e">
        <f>ROUND(PRODUCT(R41,AA7:AA40),0)</f>
        <v>#DIV/0!</v>
      </c>
      <c r="S42" s="3650"/>
      <c r="T42" s="3650" t="e">
        <f>ROUND(PRODUCT(T41,AB7:AB40),0)</f>
        <v>#DIV/0!</v>
      </c>
      <c r="U42" s="3650"/>
      <c r="V42" s="3650" t="e">
        <f>ROUND(PRODUCT(V41,AC7:AC40),0)</f>
        <v>#DIV/0!</v>
      </c>
      <c r="W42" s="3650"/>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2"/>
      <c r="M43" s="2914"/>
      <c r="N43" s="2914"/>
      <c r="O43" s="2923"/>
      <c r="P43" s="3554" t="str">
        <f>A43</f>
        <v>估价对象XX用房的比较价值（楼面单价，元/平方米）</v>
      </c>
      <c r="Q43" s="3555"/>
      <c r="R43" s="3649" t="e">
        <f>ROUND(IF(D42="简单平均",AVERAGE(R42:W42),R42*F42+T42*H42+V42*J42),0)</f>
        <v>#DIV/0!</v>
      </c>
      <c r="S43" s="3649"/>
      <c r="T43" s="3649"/>
      <c r="U43" s="3649"/>
      <c r="V43" s="3649"/>
      <c r="W43" s="3649"/>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2519</v>
      </c>
      <c r="B50" s="641" t="s">
        <v>2520</v>
      </c>
      <c r="C50" s="2138" t="s">
        <v>2521</v>
      </c>
      <c r="D50" s="2139" t="s">
        <v>2522</v>
      </c>
      <c r="E50" s="642" t="s">
        <v>2523</v>
      </c>
      <c r="F50" s="643" t="s">
        <v>2524</v>
      </c>
      <c r="G50" s="3572" t="s">
        <v>2525</v>
      </c>
      <c r="H50" s="3643"/>
      <c r="I50" s="1509" t="s">
        <v>2561</v>
      </c>
      <c r="J50" s="1509">
        <f>项目基本情况!F35</f>
        <v>0</v>
      </c>
      <c r="K50" s="2141" t="s">
        <v>2527</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2528</v>
      </c>
      <c r="B51" s="645" t="e">
        <f>C43</f>
        <v>#DIV/0!</v>
      </c>
      <c r="C51" s="646">
        <v>1</v>
      </c>
      <c r="D51" s="1075">
        <v>1</v>
      </c>
      <c r="E51" s="646">
        <f>'数据-汇总表'!E8+'数据-汇总表'!E9</f>
        <v>60856.65</v>
      </c>
      <c r="F51" s="647" t="e">
        <f t="shared" ref="F51:F60" si="15">ROUND(B51*E51/10000,0)</f>
        <v>#DIV/0!</v>
      </c>
      <c r="G51" s="3568"/>
      <c r="H51" s="3557"/>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2529</v>
      </c>
      <c r="B52" s="224" t="e">
        <f>ROUND($C$43*C52*D52,0)</f>
        <v>#DIV/0!</v>
      </c>
      <c r="C52" s="176">
        <f t="shared" ref="C52:C60" si="16">IF($C$50="北京市系数",I52,J52)</f>
        <v>0.7</v>
      </c>
      <c r="D52" s="1076">
        <v>0.25</v>
      </c>
      <c r="E52" s="650"/>
      <c r="F52" s="647" t="e">
        <f t="shared" si="15"/>
        <v>#DIV/0!</v>
      </c>
      <c r="G52" s="3644" t="s">
        <v>2530</v>
      </c>
      <c r="H52" s="1018" t="str">
        <f>项目基本情况!B37</f>
        <v>七级</v>
      </c>
      <c r="I52" s="879">
        <f>SUMIF(修正!A45:A56,H52,修正!B45:B56)</f>
        <v>0.7</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2531</v>
      </c>
      <c r="B53" s="224" t="e">
        <f t="shared" ref="B53:B60" si="17">ROUND($C$43*C53*D53,0)</f>
        <v>#DIV/0!</v>
      </c>
      <c r="C53" s="176">
        <f t="shared" si="16"/>
        <v>0.4</v>
      </c>
      <c r="D53" s="1076">
        <v>0.25</v>
      </c>
      <c r="E53" s="650"/>
      <c r="F53" s="647" t="e">
        <f t="shared" si="15"/>
        <v>#DIV/0!</v>
      </c>
      <c r="G53" s="3644"/>
      <c r="H53" s="1018" t="str">
        <f>项目基本情况!B37</f>
        <v>七级</v>
      </c>
      <c r="I53" s="879">
        <f>SUMIF(修正!A45:A56,H53,修正!C45:C56)</f>
        <v>0.4</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2532</v>
      </c>
      <c r="B54" s="224" t="e">
        <f t="shared" si="17"/>
        <v>#DIV/0!</v>
      </c>
      <c r="C54" s="176">
        <f t="shared" si="16"/>
        <v>0.28000000000000003</v>
      </c>
      <c r="D54" s="1076">
        <v>0.25</v>
      </c>
      <c r="E54" s="650"/>
      <c r="F54" s="647" t="e">
        <f t="shared" si="15"/>
        <v>#DIV/0!</v>
      </c>
      <c r="G54" s="3644"/>
      <c r="H54" s="1018" t="str">
        <f>项目基本情况!B37</f>
        <v>七级</v>
      </c>
      <c r="I54" s="879">
        <f>SUMIF(修正!A45:A56,H54,修正!D45:D56)</f>
        <v>0.28000000000000003</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2533</v>
      </c>
      <c r="B55" s="224" t="e">
        <f t="shared" si="17"/>
        <v>#DIV/0!</v>
      </c>
      <c r="C55" s="176">
        <f t="shared" si="16"/>
        <v>0.25</v>
      </c>
      <c r="D55" s="1076">
        <v>0.25</v>
      </c>
      <c r="E55" s="650"/>
      <c r="F55" s="647" t="e">
        <f t="shared" si="15"/>
        <v>#DIV/0!</v>
      </c>
      <c r="G55" s="3644"/>
      <c r="H55" s="1018" t="str">
        <f>项目基本情况!B37</f>
        <v>七级</v>
      </c>
      <c r="I55" s="879">
        <f>SUMIF(修正!A45:A56,H55,修正!E45:E56)</f>
        <v>0.25</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2534</v>
      </c>
      <c r="B56" s="224" t="e">
        <f t="shared" si="17"/>
        <v>#DIV/0!</v>
      </c>
      <c r="C56" s="176">
        <f t="shared" si="16"/>
        <v>0</v>
      </c>
      <c r="D56" s="1076">
        <v>0.25</v>
      </c>
      <c r="E56" s="223">
        <f>'数据-汇总表'!E11</f>
        <v>0</v>
      </c>
      <c r="F56" s="647" t="e">
        <f t="shared" si="15"/>
        <v>#DIV/0!</v>
      </c>
      <c r="G56" s="2142" t="s">
        <v>2535</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2540</v>
      </c>
      <c r="B59" s="224" t="e">
        <f t="shared" si="17"/>
        <v>#DIV/0!</v>
      </c>
      <c r="C59" s="176">
        <f t="shared" si="16"/>
        <v>0.2</v>
      </c>
      <c r="D59" s="1076">
        <v>0.25</v>
      </c>
      <c r="E59" s="223">
        <f>'数据-汇总表'!E14</f>
        <v>22000.37</v>
      </c>
      <c r="F59" s="647" t="e">
        <f t="shared" si="15"/>
        <v>#DIV/0!</v>
      </c>
      <c r="G59" s="2142" t="s">
        <v>2530</v>
      </c>
      <c r="H59" s="1018" t="str">
        <f>项目基本情况!B37</f>
        <v>七级</v>
      </c>
      <c r="I59" s="879">
        <f>SUMIF(修正!A45:A56,H59,修正!H45:H56)</f>
        <v>0.2</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2541</v>
      </c>
      <c r="B60" s="224" t="e">
        <f t="shared" si="17"/>
        <v>#DIV/0!</v>
      </c>
      <c r="C60" s="176">
        <f t="shared" si="16"/>
        <v>0</v>
      </c>
      <c r="D60" s="1076">
        <v>0.25</v>
      </c>
      <c r="E60" s="223">
        <f>'数据-汇总表'!E15</f>
        <v>0</v>
      </c>
      <c r="F60" s="647" t="e">
        <f t="shared" si="15"/>
        <v>#DIV/0!</v>
      </c>
      <c r="G60" s="2143" t="s">
        <v>2535</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2542</v>
      </c>
      <c r="B61" s="652" t="s">
        <v>28</v>
      </c>
      <c r="C61" s="652" t="s">
        <v>29</v>
      </c>
      <c r="D61" s="652" t="s">
        <v>997</v>
      </c>
      <c r="E61" s="652">
        <f>IF(B41="楼面地价",SUM(E51:E60),'数据-汇总表'!D3)</f>
        <v>25666.1</v>
      </c>
      <c r="F61" s="653" t="e">
        <f>IF(B41="楼面地价",SUM(F51:F60),ROUND(C43*E61/10000,0))</f>
        <v>#DIV/0!</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2022-1-1</v>
      </c>
      <c r="D63" s="701">
        <f>EDATE(C63,-3)</f>
        <v>44470</v>
      </c>
      <c r="E63" s="701">
        <f>EDATE(D63,-3)</f>
        <v>44378</v>
      </c>
      <c r="F63" s="701">
        <f t="shared" ref="F63:O63" si="18">EDATE(E63,-3)</f>
        <v>44287</v>
      </c>
      <c r="G63" s="701">
        <f t="shared" si="18"/>
        <v>44197</v>
      </c>
      <c r="H63" s="701">
        <f t="shared" si="18"/>
        <v>44105</v>
      </c>
      <c r="I63" s="701">
        <f t="shared" si="18"/>
        <v>44013</v>
      </c>
      <c r="J63" s="701">
        <f t="shared" si="18"/>
        <v>43922</v>
      </c>
      <c r="K63" s="701">
        <f t="shared" si="18"/>
        <v>43831</v>
      </c>
      <c r="L63" s="701">
        <f t="shared" si="18"/>
        <v>43739</v>
      </c>
      <c r="M63" s="701">
        <f t="shared" si="18"/>
        <v>43647</v>
      </c>
      <c r="N63" s="701">
        <f t="shared" si="18"/>
        <v>43556</v>
      </c>
      <c r="O63" s="701">
        <f t="shared" si="18"/>
        <v>43466</v>
      </c>
      <c r="P63" s="2923"/>
      <c r="Q63" s="2923"/>
      <c r="R63" s="2923"/>
      <c r="S63" s="2923"/>
      <c r="T63" s="2923"/>
      <c r="U63" s="2923"/>
      <c r="V63" s="2923"/>
      <c r="W63" s="2923"/>
      <c r="X63" s="2923"/>
      <c r="Y63" s="2923"/>
      <c r="Z63" s="2923"/>
      <c r="AA63" s="2923"/>
      <c r="AB63" s="2923"/>
      <c r="AC63" s="2923"/>
      <c r="AD63" s="2923"/>
      <c r="AE63" s="2923"/>
    </row>
    <row r="64" spans="1:31" ht="21.75"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2543</v>
      </c>
      <c r="B65" s="1241"/>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2562</v>
      </c>
      <c r="B66" s="294" t="str">
        <f>"北京市平均增长率"&amp;TEXT(基准地价修正!P24,"0.00%")</f>
        <v>北京市平均增长率1.18%</v>
      </c>
      <c r="C66" s="560">
        <v>100</v>
      </c>
      <c r="D66" s="552"/>
      <c r="E66" s="552"/>
      <c r="F66" s="552"/>
      <c r="G66" s="552"/>
      <c r="H66" s="552"/>
      <c r="I66" s="552"/>
      <c r="J66" s="552"/>
      <c r="K66" s="552"/>
      <c r="L66" s="552"/>
      <c r="M66" s="1312"/>
      <c r="N66" s="1312"/>
      <c r="O66" s="1313"/>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2349</v>
      </c>
      <c r="B70" s="485" t="s">
        <v>2315</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c r="D75" s="506"/>
      <c r="E75" s="506"/>
      <c r="F75" s="506"/>
      <c r="G75" s="506"/>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2545</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2546</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2563</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2511</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c r="A107" s="484" t="s">
        <v>2324</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2" t="str">
        <f t="shared" si="25"/>
        <v>(含)-</v>
      </c>
      <c r="L107" s="1472" t="str">
        <f t="shared" si="25"/>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c r="D108" s="552"/>
      <c r="E108" s="552"/>
      <c r="F108" s="552"/>
      <c r="G108" s="552"/>
      <c r="H108" s="552"/>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c r="D109" s="548"/>
      <c r="E109" s="548"/>
      <c r="F109" s="548"/>
      <c r="G109" s="548"/>
      <c r="H109" s="548"/>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2552</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2554</v>
      </c>
      <c r="C112" s="511"/>
      <c r="D112" s="511"/>
      <c r="E112" s="511"/>
      <c r="F112" s="511"/>
      <c r="G112" s="511"/>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2555</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6" priority="18" stopIfTrue="1" operator="containsText" text="超过">
      <formula>NOT(ISERROR(SEARCH("超过",F46)))</formula>
    </cfRule>
  </conditionalFormatting>
  <conditionalFormatting sqref="J48">
    <cfRule type="containsText" dxfId="35" priority="17" stopIfTrue="1" operator="containsText" text="超过">
      <formula>NOT(ISERROR(SEARCH("超过",J48)))</formula>
    </cfRule>
  </conditionalFormatting>
  <conditionalFormatting sqref="H48">
    <cfRule type="containsText" dxfId="34" priority="16" stopIfTrue="1" operator="containsText" text="超过">
      <formula>NOT(ISERROR(SEARCH("超过",H48)))</formula>
    </cfRule>
  </conditionalFormatting>
  <conditionalFormatting sqref="F48">
    <cfRule type="containsText" dxfId="33" priority="15" stopIfTrue="1" operator="containsText" text="超过">
      <formula>NOT(ISERROR(SEARCH("超过",F48)))</formula>
    </cfRule>
  </conditionalFormatting>
  <conditionalFormatting sqref="F47 H47 J47">
    <cfRule type="containsText" dxfId="32" priority="14" stopIfTrue="1" operator="containsText" text="超过">
      <formula>NOT(ISERROR(SEARCH("超过",F47)))</formula>
    </cfRule>
  </conditionalFormatting>
  <conditionalFormatting sqref="E46">
    <cfRule type="expression" dxfId="31" priority="13" stopIfTrue="1">
      <formula>$F$46="超过30%"</formula>
    </cfRule>
  </conditionalFormatting>
  <conditionalFormatting sqref="G48">
    <cfRule type="expression" dxfId="30" priority="12" stopIfTrue="1">
      <formula>$H$48="超过30%"</formula>
    </cfRule>
  </conditionalFormatting>
  <conditionalFormatting sqref="E48">
    <cfRule type="expression" dxfId="29" priority="10" stopIfTrue="1">
      <formula>$F$48="超过30%"</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E47">
    <cfRule type="expression" dxfId="23" priority="53" stopIfTrue="1">
      <formula>#REF!+$F$47="超过20%"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zoomScale="90" zoomScaleNormal="90" workbookViewId="0">
      <selection activeCell="D6" sqref="D6"/>
    </sheetView>
  </sheetViews>
  <sheetFormatPr defaultColWidth="8.75" defaultRowHeight="13.15" customHeight="1"/>
  <cols>
    <col min="1" max="1" width="8.5" style="3042" customWidth="1"/>
    <col min="2" max="2" width="8.75" style="3042"/>
    <col min="3" max="5" width="11.625" style="3042" customWidth="1"/>
    <col min="6" max="6" width="42.75" style="3042" customWidth="1"/>
    <col min="7" max="7" width="11.75" style="3315" customWidth="1"/>
    <col min="8" max="8" width="8.75" style="3042"/>
    <col min="9" max="9" width="8.75" style="3203"/>
    <col min="10" max="10" width="5.25" style="3316" customWidth="1"/>
    <col min="11" max="11" width="10.625" style="3316" customWidth="1"/>
    <col min="12" max="13" width="9.75" style="3316" customWidth="1"/>
    <col min="14" max="14" width="9" style="3316" customWidth="1"/>
    <col min="15" max="16" width="9.375" style="3316" bestFit="1" customWidth="1"/>
    <col min="17" max="17" width="9" style="3316" customWidth="1"/>
    <col min="18" max="18" width="9.125" style="3316" customWidth="1"/>
    <col min="19" max="19" width="9" style="3316" customWidth="1"/>
    <col min="20" max="20" width="23.5" style="3316" customWidth="1"/>
    <col min="21" max="21" width="8.75" style="3316"/>
    <col min="22" max="22" width="8.75" style="3203"/>
    <col min="23" max="256" width="8.75" style="3042"/>
    <col min="257" max="257" width="8.5" style="3042" customWidth="1"/>
    <col min="258" max="258" width="8.75" style="3042"/>
    <col min="259" max="261" width="11.625" style="3042" customWidth="1"/>
    <col min="262" max="262" width="42.75" style="3042" customWidth="1"/>
    <col min="263" max="263" width="11.75" style="3042" customWidth="1"/>
    <col min="264" max="265" width="8.75" style="3042"/>
    <col min="266" max="266" width="5.25" style="3042" customWidth="1"/>
    <col min="267" max="267" width="10.625" style="3042" customWidth="1"/>
    <col min="268" max="269" width="9.75" style="3042" customWidth="1"/>
    <col min="270" max="270" width="9" style="3042" customWidth="1"/>
    <col min="271" max="272" width="9.375" style="3042" bestFit="1" customWidth="1"/>
    <col min="273" max="273" width="9" style="3042" customWidth="1"/>
    <col min="274" max="274" width="9.125" style="3042" customWidth="1"/>
    <col min="275" max="275" width="9" style="3042" customWidth="1"/>
    <col min="276" max="276" width="23.5" style="3042" customWidth="1"/>
    <col min="277" max="512" width="8.75" style="3042"/>
    <col min="513" max="513" width="8.5" style="3042" customWidth="1"/>
    <col min="514" max="514" width="8.75" style="3042"/>
    <col min="515" max="517" width="11.625" style="3042" customWidth="1"/>
    <col min="518" max="518" width="42.75" style="3042" customWidth="1"/>
    <col min="519" max="519" width="11.75" style="3042" customWidth="1"/>
    <col min="520" max="521" width="8.75" style="3042"/>
    <col min="522" max="522" width="5.25" style="3042" customWidth="1"/>
    <col min="523" max="523" width="10.625" style="3042" customWidth="1"/>
    <col min="524" max="525" width="9.75" style="3042" customWidth="1"/>
    <col min="526" max="526" width="9" style="3042" customWidth="1"/>
    <col min="527" max="528" width="9.375" style="3042" bestFit="1" customWidth="1"/>
    <col min="529" max="529" width="9" style="3042" customWidth="1"/>
    <col min="530" max="530" width="9.125" style="3042" customWidth="1"/>
    <col min="531" max="531" width="9" style="3042" customWidth="1"/>
    <col min="532" max="532" width="23.5" style="3042" customWidth="1"/>
    <col min="533" max="768" width="8.75" style="3042"/>
    <col min="769" max="769" width="8.5" style="3042" customWidth="1"/>
    <col min="770" max="770" width="8.75" style="3042"/>
    <col min="771" max="773" width="11.625" style="3042" customWidth="1"/>
    <col min="774" max="774" width="42.75" style="3042" customWidth="1"/>
    <col min="775" max="775" width="11.75" style="3042" customWidth="1"/>
    <col min="776" max="777" width="8.75" style="3042"/>
    <col min="778" max="778" width="5.25" style="3042" customWidth="1"/>
    <col min="779" max="779" width="10.625" style="3042" customWidth="1"/>
    <col min="780" max="781" width="9.75" style="3042" customWidth="1"/>
    <col min="782" max="782" width="9" style="3042" customWidth="1"/>
    <col min="783" max="784" width="9.375" style="3042" bestFit="1" customWidth="1"/>
    <col min="785" max="785" width="9" style="3042" customWidth="1"/>
    <col min="786" max="786" width="9.125" style="3042" customWidth="1"/>
    <col min="787" max="787" width="9" style="3042" customWidth="1"/>
    <col min="788" max="788" width="23.5" style="3042" customWidth="1"/>
    <col min="789" max="1024" width="8.75" style="3042"/>
    <col min="1025" max="1025" width="8.5" style="3042" customWidth="1"/>
    <col min="1026" max="1026" width="8.75" style="3042"/>
    <col min="1027" max="1029" width="11.625" style="3042" customWidth="1"/>
    <col min="1030" max="1030" width="42.75" style="3042" customWidth="1"/>
    <col min="1031" max="1031" width="11.75" style="3042" customWidth="1"/>
    <col min="1032" max="1033" width="8.75" style="3042"/>
    <col min="1034" max="1034" width="5.25" style="3042" customWidth="1"/>
    <col min="1035" max="1035" width="10.625" style="3042" customWidth="1"/>
    <col min="1036" max="1037" width="9.75" style="3042" customWidth="1"/>
    <col min="1038" max="1038" width="9" style="3042" customWidth="1"/>
    <col min="1039" max="1040" width="9.375" style="3042" bestFit="1" customWidth="1"/>
    <col min="1041" max="1041" width="9" style="3042" customWidth="1"/>
    <col min="1042" max="1042" width="9.125" style="3042" customWidth="1"/>
    <col min="1043" max="1043" width="9" style="3042" customWidth="1"/>
    <col min="1044" max="1044" width="23.5" style="3042" customWidth="1"/>
    <col min="1045" max="1280" width="8.75" style="3042"/>
    <col min="1281" max="1281" width="8.5" style="3042" customWidth="1"/>
    <col min="1282" max="1282" width="8.75" style="3042"/>
    <col min="1283" max="1285" width="11.625" style="3042" customWidth="1"/>
    <col min="1286" max="1286" width="42.75" style="3042" customWidth="1"/>
    <col min="1287" max="1287" width="11.75" style="3042" customWidth="1"/>
    <col min="1288" max="1289" width="8.75" style="3042"/>
    <col min="1290" max="1290" width="5.25" style="3042" customWidth="1"/>
    <col min="1291" max="1291" width="10.625" style="3042" customWidth="1"/>
    <col min="1292" max="1293" width="9.75" style="3042" customWidth="1"/>
    <col min="1294" max="1294" width="9" style="3042" customWidth="1"/>
    <col min="1295" max="1296" width="9.375" style="3042" bestFit="1" customWidth="1"/>
    <col min="1297" max="1297" width="9" style="3042" customWidth="1"/>
    <col min="1298" max="1298" width="9.125" style="3042" customWidth="1"/>
    <col min="1299" max="1299" width="9" style="3042" customWidth="1"/>
    <col min="1300" max="1300" width="23.5" style="3042" customWidth="1"/>
    <col min="1301" max="1536" width="8.75" style="3042"/>
    <col min="1537" max="1537" width="8.5" style="3042" customWidth="1"/>
    <col min="1538" max="1538" width="8.75" style="3042"/>
    <col min="1539" max="1541" width="11.625" style="3042" customWidth="1"/>
    <col min="1542" max="1542" width="42.75" style="3042" customWidth="1"/>
    <col min="1543" max="1543" width="11.75" style="3042" customWidth="1"/>
    <col min="1544" max="1545" width="8.75" style="3042"/>
    <col min="1546" max="1546" width="5.25" style="3042" customWidth="1"/>
    <col min="1547" max="1547" width="10.625" style="3042" customWidth="1"/>
    <col min="1548" max="1549" width="9.75" style="3042" customWidth="1"/>
    <col min="1550" max="1550" width="9" style="3042" customWidth="1"/>
    <col min="1551" max="1552" width="9.375" style="3042" bestFit="1" customWidth="1"/>
    <col min="1553" max="1553" width="9" style="3042" customWidth="1"/>
    <col min="1554" max="1554" width="9.125" style="3042" customWidth="1"/>
    <col min="1555" max="1555" width="9" style="3042" customWidth="1"/>
    <col min="1556" max="1556" width="23.5" style="3042" customWidth="1"/>
    <col min="1557" max="1792" width="8.75" style="3042"/>
    <col min="1793" max="1793" width="8.5" style="3042" customWidth="1"/>
    <col min="1794" max="1794" width="8.75" style="3042"/>
    <col min="1795" max="1797" width="11.625" style="3042" customWidth="1"/>
    <col min="1798" max="1798" width="42.75" style="3042" customWidth="1"/>
    <col min="1799" max="1799" width="11.75" style="3042" customWidth="1"/>
    <col min="1800" max="1801" width="8.75" style="3042"/>
    <col min="1802" max="1802" width="5.25" style="3042" customWidth="1"/>
    <col min="1803" max="1803" width="10.625" style="3042" customWidth="1"/>
    <col min="1804" max="1805" width="9.75" style="3042" customWidth="1"/>
    <col min="1806" max="1806" width="9" style="3042" customWidth="1"/>
    <col min="1807" max="1808" width="9.375" style="3042" bestFit="1" customWidth="1"/>
    <col min="1809" max="1809" width="9" style="3042" customWidth="1"/>
    <col min="1810" max="1810" width="9.125" style="3042" customWidth="1"/>
    <col min="1811" max="1811" width="9" style="3042" customWidth="1"/>
    <col min="1812" max="1812" width="23.5" style="3042" customWidth="1"/>
    <col min="1813" max="2048" width="8.75" style="3042"/>
    <col min="2049" max="2049" width="8.5" style="3042" customWidth="1"/>
    <col min="2050" max="2050" width="8.75" style="3042"/>
    <col min="2051" max="2053" width="11.625" style="3042" customWidth="1"/>
    <col min="2054" max="2054" width="42.75" style="3042" customWidth="1"/>
    <col min="2055" max="2055" width="11.75" style="3042" customWidth="1"/>
    <col min="2056" max="2057" width="8.75" style="3042"/>
    <col min="2058" max="2058" width="5.25" style="3042" customWidth="1"/>
    <col min="2059" max="2059" width="10.625" style="3042" customWidth="1"/>
    <col min="2060" max="2061" width="9.75" style="3042" customWidth="1"/>
    <col min="2062" max="2062" width="9" style="3042" customWidth="1"/>
    <col min="2063" max="2064" width="9.375" style="3042" bestFit="1" customWidth="1"/>
    <col min="2065" max="2065" width="9" style="3042" customWidth="1"/>
    <col min="2066" max="2066" width="9.125" style="3042" customWidth="1"/>
    <col min="2067" max="2067" width="9" style="3042" customWidth="1"/>
    <col min="2068" max="2068" width="23.5" style="3042" customWidth="1"/>
    <col min="2069" max="2304" width="8.75" style="3042"/>
    <col min="2305" max="2305" width="8.5" style="3042" customWidth="1"/>
    <col min="2306" max="2306" width="8.75" style="3042"/>
    <col min="2307" max="2309" width="11.625" style="3042" customWidth="1"/>
    <col min="2310" max="2310" width="42.75" style="3042" customWidth="1"/>
    <col min="2311" max="2311" width="11.75" style="3042" customWidth="1"/>
    <col min="2312" max="2313" width="8.75" style="3042"/>
    <col min="2314" max="2314" width="5.25" style="3042" customWidth="1"/>
    <col min="2315" max="2315" width="10.625" style="3042" customWidth="1"/>
    <col min="2316" max="2317" width="9.75" style="3042" customWidth="1"/>
    <col min="2318" max="2318" width="9" style="3042" customWidth="1"/>
    <col min="2319" max="2320" width="9.375" style="3042" bestFit="1" customWidth="1"/>
    <col min="2321" max="2321" width="9" style="3042" customWidth="1"/>
    <col min="2322" max="2322" width="9.125" style="3042" customWidth="1"/>
    <col min="2323" max="2323" width="9" style="3042" customWidth="1"/>
    <col min="2324" max="2324" width="23.5" style="3042" customWidth="1"/>
    <col min="2325" max="2560" width="8.75" style="3042"/>
    <col min="2561" max="2561" width="8.5" style="3042" customWidth="1"/>
    <col min="2562" max="2562" width="8.75" style="3042"/>
    <col min="2563" max="2565" width="11.625" style="3042" customWidth="1"/>
    <col min="2566" max="2566" width="42.75" style="3042" customWidth="1"/>
    <col min="2567" max="2567" width="11.75" style="3042" customWidth="1"/>
    <col min="2568" max="2569" width="8.75" style="3042"/>
    <col min="2570" max="2570" width="5.25" style="3042" customWidth="1"/>
    <col min="2571" max="2571" width="10.625" style="3042" customWidth="1"/>
    <col min="2572" max="2573" width="9.75" style="3042" customWidth="1"/>
    <col min="2574" max="2574" width="9" style="3042" customWidth="1"/>
    <col min="2575" max="2576" width="9.375" style="3042" bestFit="1" customWidth="1"/>
    <col min="2577" max="2577" width="9" style="3042" customWidth="1"/>
    <col min="2578" max="2578" width="9.125" style="3042" customWidth="1"/>
    <col min="2579" max="2579" width="9" style="3042" customWidth="1"/>
    <col min="2580" max="2580" width="23.5" style="3042" customWidth="1"/>
    <col min="2581" max="2816" width="8.75" style="3042"/>
    <col min="2817" max="2817" width="8.5" style="3042" customWidth="1"/>
    <col min="2818" max="2818" width="8.75" style="3042"/>
    <col min="2819" max="2821" width="11.625" style="3042" customWidth="1"/>
    <col min="2822" max="2822" width="42.75" style="3042" customWidth="1"/>
    <col min="2823" max="2823" width="11.75" style="3042" customWidth="1"/>
    <col min="2824" max="2825" width="8.75" style="3042"/>
    <col min="2826" max="2826" width="5.25" style="3042" customWidth="1"/>
    <col min="2827" max="2827" width="10.625" style="3042" customWidth="1"/>
    <col min="2828" max="2829" width="9.75" style="3042" customWidth="1"/>
    <col min="2830" max="2830" width="9" style="3042" customWidth="1"/>
    <col min="2831" max="2832" width="9.375" style="3042" bestFit="1" customWidth="1"/>
    <col min="2833" max="2833" width="9" style="3042" customWidth="1"/>
    <col min="2834" max="2834" width="9.125" style="3042" customWidth="1"/>
    <col min="2835" max="2835" width="9" style="3042" customWidth="1"/>
    <col min="2836" max="2836" width="23.5" style="3042" customWidth="1"/>
    <col min="2837" max="3072" width="8.75" style="3042"/>
    <col min="3073" max="3073" width="8.5" style="3042" customWidth="1"/>
    <col min="3074" max="3074" width="8.75" style="3042"/>
    <col min="3075" max="3077" width="11.625" style="3042" customWidth="1"/>
    <col min="3078" max="3078" width="42.75" style="3042" customWidth="1"/>
    <col min="3079" max="3079" width="11.75" style="3042" customWidth="1"/>
    <col min="3080" max="3081" width="8.75" style="3042"/>
    <col min="3082" max="3082" width="5.25" style="3042" customWidth="1"/>
    <col min="3083" max="3083" width="10.625" style="3042" customWidth="1"/>
    <col min="3084" max="3085" width="9.75" style="3042" customWidth="1"/>
    <col min="3086" max="3086" width="9" style="3042" customWidth="1"/>
    <col min="3087" max="3088" width="9.375" style="3042" bestFit="1" customWidth="1"/>
    <col min="3089" max="3089" width="9" style="3042" customWidth="1"/>
    <col min="3090" max="3090" width="9.125" style="3042" customWidth="1"/>
    <col min="3091" max="3091" width="9" style="3042" customWidth="1"/>
    <col min="3092" max="3092" width="23.5" style="3042" customWidth="1"/>
    <col min="3093" max="3328" width="8.75" style="3042"/>
    <col min="3329" max="3329" width="8.5" style="3042" customWidth="1"/>
    <col min="3330" max="3330" width="8.75" style="3042"/>
    <col min="3331" max="3333" width="11.625" style="3042" customWidth="1"/>
    <col min="3334" max="3334" width="42.75" style="3042" customWidth="1"/>
    <col min="3335" max="3335" width="11.75" style="3042" customWidth="1"/>
    <col min="3336" max="3337" width="8.75" style="3042"/>
    <col min="3338" max="3338" width="5.25" style="3042" customWidth="1"/>
    <col min="3339" max="3339" width="10.625" style="3042" customWidth="1"/>
    <col min="3340" max="3341" width="9.75" style="3042" customWidth="1"/>
    <col min="3342" max="3342" width="9" style="3042" customWidth="1"/>
    <col min="3343" max="3344" width="9.375" style="3042" bestFit="1" customWidth="1"/>
    <col min="3345" max="3345" width="9" style="3042" customWidth="1"/>
    <col min="3346" max="3346" width="9.125" style="3042" customWidth="1"/>
    <col min="3347" max="3347" width="9" style="3042" customWidth="1"/>
    <col min="3348" max="3348" width="23.5" style="3042" customWidth="1"/>
    <col min="3349" max="3584" width="8.75" style="3042"/>
    <col min="3585" max="3585" width="8.5" style="3042" customWidth="1"/>
    <col min="3586" max="3586" width="8.75" style="3042"/>
    <col min="3587" max="3589" width="11.625" style="3042" customWidth="1"/>
    <col min="3590" max="3590" width="42.75" style="3042" customWidth="1"/>
    <col min="3591" max="3591" width="11.75" style="3042" customWidth="1"/>
    <col min="3592" max="3593" width="8.75" style="3042"/>
    <col min="3594" max="3594" width="5.25" style="3042" customWidth="1"/>
    <col min="3595" max="3595" width="10.625" style="3042" customWidth="1"/>
    <col min="3596" max="3597" width="9.75" style="3042" customWidth="1"/>
    <col min="3598" max="3598" width="9" style="3042" customWidth="1"/>
    <col min="3599" max="3600" width="9.375" style="3042" bestFit="1" customWidth="1"/>
    <col min="3601" max="3601" width="9" style="3042" customWidth="1"/>
    <col min="3602" max="3602" width="9.125" style="3042" customWidth="1"/>
    <col min="3603" max="3603" width="9" style="3042" customWidth="1"/>
    <col min="3604" max="3604" width="23.5" style="3042" customWidth="1"/>
    <col min="3605" max="3840" width="8.75" style="3042"/>
    <col min="3841" max="3841" width="8.5" style="3042" customWidth="1"/>
    <col min="3842" max="3842" width="8.75" style="3042"/>
    <col min="3843" max="3845" width="11.625" style="3042" customWidth="1"/>
    <col min="3846" max="3846" width="42.75" style="3042" customWidth="1"/>
    <col min="3847" max="3847" width="11.75" style="3042" customWidth="1"/>
    <col min="3848" max="3849" width="8.75" style="3042"/>
    <col min="3850" max="3850" width="5.25" style="3042" customWidth="1"/>
    <col min="3851" max="3851" width="10.625" style="3042" customWidth="1"/>
    <col min="3852" max="3853" width="9.75" style="3042" customWidth="1"/>
    <col min="3854" max="3854" width="9" style="3042" customWidth="1"/>
    <col min="3855" max="3856" width="9.375" style="3042" bestFit="1" customWidth="1"/>
    <col min="3857" max="3857" width="9" style="3042" customWidth="1"/>
    <col min="3858" max="3858" width="9.125" style="3042" customWidth="1"/>
    <col min="3859" max="3859" width="9" style="3042" customWidth="1"/>
    <col min="3860" max="3860" width="23.5" style="3042" customWidth="1"/>
    <col min="3861" max="4096" width="8.75" style="3042"/>
    <col min="4097" max="4097" width="8.5" style="3042" customWidth="1"/>
    <col min="4098" max="4098" width="8.75" style="3042"/>
    <col min="4099" max="4101" width="11.625" style="3042" customWidth="1"/>
    <col min="4102" max="4102" width="42.75" style="3042" customWidth="1"/>
    <col min="4103" max="4103" width="11.75" style="3042" customWidth="1"/>
    <col min="4104" max="4105" width="8.75" style="3042"/>
    <col min="4106" max="4106" width="5.25" style="3042" customWidth="1"/>
    <col min="4107" max="4107" width="10.625" style="3042" customWidth="1"/>
    <col min="4108" max="4109" width="9.75" style="3042" customWidth="1"/>
    <col min="4110" max="4110" width="9" style="3042" customWidth="1"/>
    <col min="4111" max="4112" width="9.375" style="3042" bestFit="1" customWidth="1"/>
    <col min="4113" max="4113" width="9" style="3042" customWidth="1"/>
    <col min="4114" max="4114" width="9.125" style="3042" customWidth="1"/>
    <col min="4115" max="4115" width="9" style="3042" customWidth="1"/>
    <col min="4116" max="4116" width="23.5" style="3042" customWidth="1"/>
    <col min="4117" max="4352" width="8.75" style="3042"/>
    <col min="4353" max="4353" width="8.5" style="3042" customWidth="1"/>
    <col min="4354" max="4354" width="8.75" style="3042"/>
    <col min="4355" max="4357" width="11.625" style="3042" customWidth="1"/>
    <col min="4358" max="4358" width="42.75" style="3042" customWidth="1"/>
    <col min="4359" max="4359" width="11.75" style="3042" customWidth="1"/>
    <col min="4360" max="4361" width="8.75" style="3042"/>
    <col min="4362" max="4362" width="5.25" style="3042" customWidth="1"/>
    <col min="4363" max="4363" width="10.625" style="3042" customWidth="1"/>
    <col min="4364" max="4365" width="9.75" style="3042" customWidth="1"/>
    <col min="4366" max="4366" width="9" style="3042" customWidth="1"/>
    <col min="4367" max="4368" width="9.375" style="3042" bestFit="1" customWidth="1"/>
    <col min="4369" max="4369" width="9" style="3042" customWidth="1"/>
    <col min="4370" max="4370" width="9.125" style="3042" customWidth="1"/>
    <col min="4371" max="4371" width="9" style="3042" customWidth="1"/>
    <col min="4372" max="4372" width="23.5" style="3042" customWidth="1"/>
    <col min="4373" max="4608" width="8.75" style="3042"/>
    <col min="4609" max="4609" width="8.5" style="3042" customWidth="1"/>
    <col min="4610" max="4610" width="8.75" style="3042"/>
    <col min="4611" max="4613" width="11.625" style="3042" customWidth="1"/>
    <col min="4614" max="4614" width="42.75" style="3042" customWidth="1"/>
    <col min="4615" max="4615" width="11.75" style="3042" customWidth="1"/>
    <col min="4616" max="4617" width="8.75" style="3042"/>
    <col min="4618" max="4618" width="5.25" style="3042" customWidth="1"/>
    <col min="4619" max="4619" width="10.625" style="3042" customWidth="1"/>
    <col min="4620" max="4621" width="9.75" style="3042" customWidth="1"/>
    <col min="4622" max="4622" width="9" style="3042" customWidth="1"/>
    <col min="4623" max="4624" width="9.375" style="3042" bestFit="1" customWidth="1"/>
    <col min="4625" max="4625" width="9" style="3042" customWidth="1"/>
    <col min="4626" max="4626" width="9.125" style="3042" customWidth="1"/>
    <col min="4627" max="4627" width="9" style="3042" customWidth="1"/>
    <col min="4628" max="4628" width="23.5" style="3042" customWidth="1"/>
    <col min="4629" max="4864" width="8.75" style="3042"/>
    <col min="4865" max="4865" width="8.5" style="3042" customWidth="1"/>
    <col min="4866" max="4866" width="8.75" style="3042"/>
    <col min="4867" max="4869" width="11.625" style="3042" customWidth="1"/>
    <col min="4870" max="4870" width="42.75" style="3042" customWidth="1"/>
    <col min="4871" max="4871" width="11.75" style="3042" customWidth="1"/>
    <col min="4872" max="4873" width="8.75" style="3042"/>
    <col min="4874" max="4874" width="5.25" style="3042" customWidth="1"/>
    <col min="4875" max="4875" width="10.625" style="3042" customWidth="1"/>
    <col min="4876" max="4877" width="9.75" style="3042" customWidth="1"/>
    <col min="4878" max="4878" width="9" style="3042" customWidth="1"/>
    <col min="4879" max="4880" width="9.375" style="3042" bestFit="1" customWidth="1"/>
    <col min="4881" max="4881" width="9" style="3042" customWidth="1"/>
    <col min="4882" max="4882" width="9.125" style="3042" customWidth="1"/>
    <col min="4883" max="4883" width="9" style="3042" customWidth="1"/>
    <col min="4884" max="4884" width="23.5" style="3042" customWidth="1"/>
    <col min="4885" max="5120" width="8.75" style="3042"/>
    <col min="5121" max="5121" width="8.5" style="3042" customWidth="1"/>
    <col min="5122" max="5122" width="8.75" style="3042"/>
    <col min="5123" max="5125" width="11.625" style="3042" customWidth="1"/>
    <col min="5126" max="5126" width="42.75" style="3042" customWidth="1"/>
    <col min="5127" max="5127" width="11.75" style="3042" customWidth="1"/>
    <col min="5128" max="5129" width="8.75" style="3042"/>
    <col min="5130" max="5130" width="5.25" style="3042" customWidth="1"/>
    <col min="5131" max="5131" width="10.625" style="3042" customWidth="1"/>
    <col min="5132" max="5133" width="9.75" style="3042" customWidth="1"/>
    <col min="5134" max="5134" width="9" style="3042" customWidth="1"/>
    <col min="5135" max="5136" width="9.375" style="3042" bestFit="1" customWidth="1"/>
    <col min="5137" max="5137" width="9" style="3042" customWidth="1"/>
    <col min="5138" max="5138" width="9.125" style="3042" customWidth="1"/>
    <col min="5139" max="5139" width="9" style="3042" customWidth="1"/>
    <col min="5140" max="5140" width="23.5" style="3042" customWidth="1"/>
    <col min="5141" max="5376" width="8.75" style="3042"/>
    <col min="5377" max="5377" width="8.5" style="3042" customWidth="1"/>
    <col min="5378" max="5378" width="8.75" style="3042"/>
    <col min="5379" max="5381" width="11.625" style="3042" customWidth="1"/>
    <col min="5382" max="5382" width="42.75" style="3042" customWidth="1"/>
    <col min="5383" max="5383" width="11.75" style="3042" customWidth="1"/>
    <col min="5384" max="5385" width="8.75" style="3042"/>
    <col min="5386" max="5386" width="5.25" style="3042" customWidth="1"/>
    <col min="5387" max="5387" width="10.625" style="3042" customWidth="1"/>
    <col min="5388" max="5389" width="9.75" style="3042" customWidth="1"/>
    <col min="5390" max="5390" width="9" style="3042" customWidth="1"/>
    <col min="5391" max="5392" width="9.375" style="3042" bestFit="1" customWidth="1"/>
    <col min="5393" max="5393" width="9" style="3042" customWidth="1"/>
    <col min="5394" max="5394" width="9.125" style="3042" customWidth="1"/>
    <col min="5395" max="5395" width="9" style="3042" customWidth="1"/>
    <col min="5396" max="5396" width="23.5" style="3042" customWidth="1"/>
    <col min="5397" max="5632" width="8.75" style="3042"/>
    <col min="5633" max="5633" width="8.5" style="3042" customWidth="1"/>
    <col min="5634" max="5634" width="8.75" style="3042"/>
    <col min="5635" max="5637" width="11.625" style="3042" customWidth="1"/>
    <col min="5638" max="5638" width="42.75" style="3042" customWidth="1"/>
    <col min="5639" max="5639" width="11.75" style="3042" customWidth="1"/>
    <col min="5640" max="5641" width="8.75" style="3042"/>
    <col min="5642" max="5642" width="5.25" style="3042" customWidth="1"/>
    <col min="5643" max="5643" width="10.625" style="3042" customWidth="1"/>
    <col min="5644" max="5645" width="9.75" style="3042" customWidth="1"/>
    <col min="5646" max="5646" width="9" style="3042" customWidth="1"/>
    <col min="5647" max="5648" width="9.375" style="3042" bestFit="1" customWidth="1"/>
    <col min="5649" max="5649" width="9" style="3042" customWidth="1"/>
    <col min="5650" max="5650" width="9.125" style="3042" customWidth="1"/>
    <col min="5651" max="5651" width="9" style="3042" customWidth="1"/>
    <col min="5652" max="5652" width="23.5" style="3042" customWidth="1"/>
    <col min="5653" max="5888" width="8.75" style="3042"/>
    <col min="5889" max="5889" width="8.5" style="3042" customWidth="1"/>
    <col min="5890" max="5890" width="8.75" style="3042"/>
    <col min="5891" max="5893" width="11.625" style="3042" customWidth="1"/>
    <col min="5894" max="5894" width="42.75" style="3042" customWidth="1"/>
    <col min="5895" max="5895" width="11.75" style="3042" customWidth="1"/>
    <col min="5896" max="5897" width="8.75" style="3042"/>
    <col min="5898" max="5898" width="5.25" style="3042" customWidth="1"/>
    <col min="5899" max="5899" width="10.625" style="3042" customWidth="1"/>
    <col min="5900" max="5901" width="9.75" style="3042" customWidth="1"/>
    <col min="5902" max="5902" width="9" style="3042" customWidth="1"/>
    <col min="5903" max="5904" width="9.375" style="3042" bestFit="1" customWidth="1"/>
    <col min="5905" max="5905" width="9" style="3042" customWidth="1"/>
    <col min="5906" max="5906" width="9.125" style="3042" customWidth="1"/>
    <col min="5907" max="5907" width="9" style="3042" customWidth="1"/>
    <col min="5908" max="5908" width="23.5" style="3042" customWidth="1"/>
    <col min="5909" max="6144" width="8.75" style="3042"/>
    <col min="6145" max="6145" width="8.5" style="3042" customWidth="1"/>
    <col min="6146" max="6146" width="8.75" style="3042"/>
    <col min="6147" max="6149" width="11.625" style="3042" customWidth="1"/>
    <col min="6150" max="6150" width="42.75" style="3042" customWidth="1"/>
    <col min="6151" max="6151" width="11.75" style="3042" customWidth="1"/>
    <col min="6152" max="6153" width="8.75" style="3042"/>
    <col min="6154" max="6154" width="5.25" style="3042" customWidth="1"/>
    <col min="6155" max="6155" width="10.625" style="3042" customWidth="1"/>
    <col min="6156" max="6157" width="9.75" style="3042" customWidth="1"/>
    <col min="6158" max="6158" width="9" style="3042" customWidth="1"/>
    <col min="6159" max="6160" width="9.375" style="3042" bestFit="1" customWidth="1"/>
    <col min="6161" max="6161" width="9" style="3042" customWidth="1"/>
    <col min="6162" max="6162" width="9.125" style="3042" customWidth="1"/>
    <col min="6163" max="6163" width="9" style="3042" customWidth="1"/>
    <col min="6164" max="6164" width="23.5" style="3042" customWidth="1"/>
    <col min="6165" max="6400" width="8.75" style="3042"/>
    <col min="6401" max="6401" width="8.5" style="3042" customWidth="1"/>
    <col min="6402" max="6402" width="8.75" style="3042"/>
    <col min="6403" max="6405" width="11.625" style="3042" customWidth="1"/>
    <col min="6406" max="6406" width="42.75" style="3042" customWidth="1"/>
    <col min="6407" max="6407" width="11.75" style="3042" customWidth="1"/>
    <col min="6408" max="6409" width="8.75" style="3042"/>
    <col min="6410" max="6410" width="5.25" style="3042" customWidth="1"/>
    <col min="6411" max="6411" width="10.625" style="3042" customWidth="1"/>
    <col min="6412" max="6413" width="9.75" style="3042" customWidth="1"/>
    <col min="6414" max="6414" width="9" style="3042" customWidth="1"/>
    <col min="6415" max="6416" width="9.375" style="3042" bestFit="1" customWidth="1"/>
    <col min="6417" max="6417" width="9" style="3042" customWidth="1"/>
    <col min="6418" max="6418" width="9.125" style="3042" customWidth="1"/>
    <col min="6419" max="6419" width="9" style="3042" customWidth="1"/>
    <col min="6420" max="6420" width="23.5" style="3042" customWidth="1"/>
    <col min="6421" max="6656" width="8.75" style="3042"/>
    <col min="6657" max="6657" width="8.5" style="3042" customWidth="1"/>
    <col min="6658" max="6658" width="8.75" style="3042"/>
    <col min="6659" max="6661" width="11.625" style="3042" customWidth="1"/>
    <col min="6662" max="6662" width="42.75" style="3042" customWidth="1"/>
    <col min="6663" max="6663" width="11.75" style="3042" customWidth="1"/>
    <col min="6664" max="6665" width="8.75" style="3042"/>
    <col min="6666" max="6666" width="5.25" style="3042" customWidth="1"/>
    <col min="6667" max="6667" width="10.625" style="3042" customWidth="1"/>
    <col min="6668" max="6669" width="9.75" style="3042" customWidth="1"/>
    <col min="6670" max="6670" width="9" style="3042" customWidth="1"/>
    <col min="6671" max="6672" width="9.375" style="3042" bestFit="1" customWidth="1"/>
    <col min="6673" max="6673" width="9" style="3042" customWidth="1"/>
    <col min="6674" max="6674" width="9.125" style="3042" customWidth="1"/>
    <col min="6675" max="6675" width="9" style="3042" customWidth="1"/>
    <col min="6676" max="6676" width="23.5" style="3042" customWidth="1"/>
    <col min="6677" max="6912" width="8.75" style="3042"/>
    <col min="6913" max="6913" width="8.5" style="3042" customWidth="1"/>
    <col min="6914" max="6914" width="8.75" style="3042"/>
    <col min="6915" max="6917" width="11.625" style="3042" customWidth="1"/>
    <col min="6918" max="6918" width="42.75" style="3042" customWidth="1"/>
    <col min="6919" max="6919" width="11.75" style="3042" customWidth="1"/>
    <col min="6920" max="6921" width="8.75" style="3042"/>
    <col min="6922" max="6922" width="5.25" style="3042" customWidth="1"/>
    <col min="6923" max="6923" width="10.625" style="3042" customWidth="1"/>
    <col min="6924" max="6925" width="9.75" style="3042" customWidth="1"/>
    <col min="6926" max="6926" width="9" style="3042" customWidth="1"/>
    <col min="6927" max="6928" width="9.375" style="3042" bestFit="1" customWidth="1"/>
    <col min="6929" max="6929" width="9" style="3042" customWidth="1"/>
    <col min="6930" max="6930" width="9.125" style="3042" customWidth="1"/>
    <col min="6931" max="6931" width="9" style="3042" customWidth="1"/>
    <col min="6932" max="6932" width="23.5" style="3042" customWidth="1"/>
    <col min="6933" max="7168" width="8.75" style="3042"/>
    <col min="7169" max="7169" width="8.5" style="3042" customWidth="1"/>
    <col min="7170" max="7170" width="8.75" style="3042"/>
    <col min="7171" max="7173" width="11.625" style="3042" customWidth="1"/>
    <col min="7174" max="7174" width="42.75" style="3042" customWidth="1"/>
    <col min="7175" max="7175" width="11.75" style="3042" customWidth="1"/>
    <col min="7176" max="7177" width="8.75" style="3042"/>
    <col min="7178" max="7178" width="5.25" style="3042" customWidth="1"/>
    <col min="7179" max="7179" width="10.625" style="3042" customWidth="1"/>
    <col min="7180" max="7181" width="9.75" style="3042" customWidth="1"/>
    <col min="7182" max="7182" width="9" style="3042" customWidth="1"/>
    <col min="7183" max="7184" width="9.375" style="3042" bestFit="1" customWidth="1"/>
    <col min="7185" max="7185" width="9" style="3042" customWidth="1"/>
    <col min="7186" max="7186" width="9.125" style="3042" customWidth="1"/>
    <col min="7187" max="7187" width="9" style="3042" customWidth="1"/>
    <col min="7188" max="7188" width="23.5" style="3042" customWidth="1"/>
    <col min="7189" max="7424" width="8.75" style="3042"/>
    <col min="7425" max="7425" width="8.5" style="3042" customWidth="1"/>
    <col min="7426" max="7426" width="8.75" style="3042"/>
    <col min="7427" max="7429" width="11.625" style="3042" customWidth="1"/>
    <col min="7430" max="7430" width="42.75" style="3042" customWidth="1"/>
    <col min="7431" max="7431" width="11.75" style="3042" customWidth="1"/>
    <col min="7432" max="7433" width="8.75" style="3042"/>
    <col min="7434" max="7434" width="5.25" style="3042" customWidth="1"/>
    <col min="7435" max="7435" width="10.625" style="3042" customWidth="1"/>
    <col min="7436" max="7437" width="9.75" style="3042" customWidth="1"/>
    <col min="7438" max="7438" width="9" style="3042" customWidth="1"/>
    <col min="7439" max="7440" width="9.375" style="3042" bestFit="1" customWidth="1"/>
    <col min="7441" max="7441" width="9" style="3042" customWidth="1"/>
    <col min="7442" max="7442" width="9.125" style="3042" customWidth="1"/>
    <col min="7443" max="7443" width="9" style="3042" customWidth="1"/>
    <col min="7444" max="7444" width="23.5" style="3042" customWidth="1"/>
    <col min="7445" max="7680" width="8.75" style="3042"/>
    <col min="7681" max="7681" width="8.5" style="3042" customWidth="1"/>
    <col min="7682" max="7682" width="8.75" style="3042"/>
    <col min="7683" max="7685" width="11.625" style="3042" customWidth="1"/>
    <col min="7686" max="7686" width="42.75" style="3042" customWidth="1"/>
    <col min="7687" max="7687" width="11.75" style="3042" customWidth="1"/>
    <col min="7688" max="7689" width="8.75" style="3042"/>
    <col min="7690" max="7690" width="5.25" style="3042" customWidth="1"/>
    <col min="7691" max="7691" width="10.625" style="3042" customWidth="1"/>
    <col min="7692" max="7693" width="9.75" style="3042" customWidth="1"/>
    <col min="7694" max="7694" width="9" style="3042" customWidth="1"/>
    <col min="7695" max="7696" width="9.375" style="3042" bestFit="1" customWidth="1"/>
    <col min="7697" max="7697" width="9" style="3042" customWidth="1"/>
    <col min="7698" max="7698" width="9.125" style="3042" customWidth="1"/>
    <col min="7699" max="7699" width="9" style="3042" customWidth="1"/>
    <col min="7700" max="7700" width="23.5" style="3042" customWidth="1"/>
    <col min="7701" max="7936" width="8.75" style="3042"/>
    <col min="7937" max="7937" width="8.5" style="3042" customWidth="1"/>
    <col min="7938" max="7938" width="8.75" style="3042"/>
    <col min="7939" max="7941" width="11.625" style="3042" customWidth="1"/>
    <col min="7942" max="7942" width="42.75" style="3042" customWidth="1"/>
    <col min="7943" max="7943" width="11.75" style="3042" customWidth="1"/>
    <col min="7944" max="7945" width="8.75" style="3042"/>
    <col min="7946" max="7946" width="5.25" style="3042" customWidth="1"/>
    <col min="7947" max="7947" width="10.625" style="3042" customWidth="1"/>
    <col min="7948" max="7949" width="9.75" style="3042" customWidth="1"/>
    <col min="7950" max="7950" width="9" style="3042" customWidth="1"/>
    <col min="7951" max="7952" width="9.375" style="3042" bestFit="1" customWidth="1"/>
    <col min="7953" max="7953" width="9" style="3042" customWidth="1"/>
    <col min="7954" max="7954" width="9.125" style="3042" customWidth="1"/>
    <col min="7955" max="7955" width="9" style="3042" customWidth="1"/>
    <col min="7956" max="7956" width="23.5" style="3042" customWidth="1"/>
    <col min="7957" max="8192" width="8.75" style="3042"/>
    <col min="8193" max="8193" width="8.5" style="3042" customWidth="1"/>
    <col min="8194" max="8194" width="8.75" style="3042"/>
    <col min="8195" max="8197" width="11.625" style="3042" customWidth="1"/>
    <col min="8198" max="8198" width="42.75" style="3042" customWidth="1"/>
    <col min="8199" max="8199" width="11.75" style="3042" customWidth="1"/>
    <col min="8200" max="8201" width="8.75" style="3042"/>
    <col min="8202" max="8202" width="5.25" style="3042" customWidth="1"/>
    <col min="8203" max="8203" width="10.625" style="3042" customWidth="1"/>
    <col min="8204" max="8205" width="9.75" style="3042" customWidth="1"/>
    <col min="8206" max="8206" width="9" style="3042" customWidth="1"/>
    <col min="8207" max="8208" width="9.375" style="3042" bestFit="1" customWidth="1"/>
    <col min="8209" max="8209" width="9" style="3042" customWidth="1"/>
    <col min="8210" max="8210" width="9.125" style="3042" customWidth="1"/>
    <col min="8211" max="8211" width="9" style="3042" customWidth="1"/>
    <col min="8212" max="8212" width="23.5" style="3042" customWidth="1"/>
    <col min="8213" max="8448" width="8.75" style="3042"/>
    <col min="8449" max="8449" width="8.5" style="3042" customWidth="1"/>
    <col min="8450" max="8450" width="8.75" style="3042"/>
    <col min="8451" max="8453" width="11.625" style="3042" customWidth="1"/>
    <col min="8454" max="8454" width="42.75" style="3042" customWidth="1"/>
    <col min="8455" max="8455" width="11.75" style="3042" customWidth="1"/>
    <col min="8456" max="8457" width="8.75" style="3042"/>
    <col min="8458" max="8458" width="5.25" style="3042" customWidth="1"/>
    <col min="8459" max="8459" width="10.625" style="3042" customWidth="1"/>
    <col min="8460" max="8461" width="9.75" style="3042" customWidth="1"/>
    <col min="8462" max="8462" width="9" style="3042" customWidth="1"/>
    <col min="8463" max="8464" width="9.375" style="3042" bestFit="1" customWidth="1"/>
    <col min="8465" max="8465" width="9" style="3042" customWidth="1"/>
    <col min="8466" max="8466" width="9.125" style="3042" customWidth="1"/>
    <col min="8467" max="8467" width="9" style="3042" customWidth="1"/>
    <col min="8468" max="8468" width="23.5" style="3042" customWidth="1"/>
    <col min="8469" max="8704" width="8.75" style="3042"/>
    <col min="8705" max="8705" width="8.5" style="3042" customWidth="1"/>
    <col min="8706" max="8706" width="8.75" style="3042"/>
    <col min="8707" max="8709" width="11.625" style="3042" customWidth="1"/>
    <col min="8710" max="8710" width="42.75" style="3042" customWidth="1"/>
    <col min="8711" max="8711" width="11.75" style="3042" customWidth="1"/>
    <col min="8712" max="8713" width="8.75" style="3042"/>
    <col min="8714" max="8714" width="5.25" style="3042" customWidth="1"/>
    <col min="8715" max="8715" width="10.625" style="3042" customWidth="1"/>
    <col min="8716" max="8717" width="9.75" style="3042" customWidth="1"/>
    <col min="8718" max="8718" width="9" style="3042" customWidth="1"/>
    <col min="8719" max="8720" width="9.375" style="3042" bestFit="1" customWidth="1"/>
    <col min="8721" max="8721" width="9" style="3042" customWidth="1"/>
    <col min="8722" max="8722" width="9.125" style="3042" customWidth="1"/>
    <col min="8723" max="8723" width="9" style="3042" customWidth="1"/>
    <col min="8724" max="8724" width="23.5" style="3042" customWidth="1"/>
    <col min="8725" max="8960" width="8.75" style="3042"/>
    <col min="8961" max="8961" width="8.5" style="3042" customWidth="1"/>
    <col min="8962" max="8962" width="8.75" style="3042"/>
    <col min="8963" max="8965" width="11.625" style="3042" customWidth="1"/>
    <col min="8966" max="8966" width="42.75" style="3042" customWidth="1"/>
    <col min="8967" max="8967" width="11.75" style="3042" customWidth="1"/>
    <col min="8968" max="8969" width="8.75" style="3042"/>
    <col min="8970" max="8970" width="5.25" style="3042" customWidth="1"/>
    <col min="8971" max="8971" width="10.625" style="3042" customWidth="1"/>
    <col min="8972" max="8973" width="9.75" style="3042" customWidth="1"/>
    <col min="8974" max="8974" width="9" style="3042" customWidth="1"/>
    <col min="8975" max="8976" width="9.375" style="3042" bestFit="1" customWidth="1"/>
    <col min="8977" max="8977" width="9" style="3042" customWidth="1"/>
    <col min="8978" max="8978" width="9.125" style="3042" customWidth="1"/>
    <col min="8979" max="8979" width="9" style="3042" customWidth="1"/>
    <col min="8980" max="8980" width="23.5" style="3042" customWidth="1"/>
    <col min="8981" max="9216" width="8.75" style="3042"/>
    <col min="9217" max="9217" width="8.5" style="3042" customWidth="1"/>
    <col min="9218" max="9218" width="8.75" style="3042"/>
    <col min="9219" max="9221" width="11.625" style="3042" customWidth="1"/>
    <col min="9222" max="9222" width="42.75" style="3042" customWidth="1"/>
    <col min="9223" max="9223" width="11.75" style="3042" customWidth="1"/>
    <col min="9224" max="9225" width="8.75" style="3042"/>
    <col min="9226" max="9226" width="5.25" style="3042" customWidth="1"/>
    <col min="9227" max="9227" width="10.625" style="3042" customWidth="1"/>
    <col min="9228" max="9229" width="9.75" style="3042" customWidth="1"/>
    <col min="9230" max="9230" width="9" style="3042" customWidth="1"/>
    <col min="9231" max="9232" width="9.375" style="3042" bestFit="1" customWidth="1"/>
    <col min="9233" max="9233" width="9" style="3042" customWidth="1"/>
    <col min="9234" max="9234" width="9.125" style="3042" customWidth="1"/>
    <col min="9235" max="9235" width="9" style="3042" customWidth="1"/>
    <col min="9236" max="9236" width="23.5" style="3042" customWidth="1"/>
    <col min="9237" max="9472" width="8.75" style="3042"/>
    <col min="9473" max="9473" width="8.5" style="3042" customWidth="1"/>
    <col min="9474" max="9474" width="8.75" style="3042"/>
    <col min="9475" max="9477" width="11.625" style="3042" customWidth="1"/>
    <col min="9478" max="9478" width="42.75" style="3042" customWidth="1"/>
    <col min="9479" max="9479" width="11.75" style="3042" customWidth="1"/>
    <col min="9480" max="9481" width="8.75" style="3042"/>
    <col min="9482" max="9482" width="5.25" style="3042" customWidth="1"/>
    <col min="9483" max="9483" width="10.625" style="3042" customWidth="1"/>
    <col min="9484" max="9485" width="9.75" style="3042" customWidth="1"/>
    <col min="9486" max="9486" width="9" style="3042" customWidth="1"/>
    <col min="9487" max="9488" width="9.375" style="3042" bestFit="1" customWidth="1"/>
    <col min="9489" max="9489" width="9" style="3042" customWidth="1"/>
    <col min="9490" max="9490" width="9.125" style="3042" customWidth="1"/>
    <col min="9491" max="9491" width="9" style="3042" customWidth="1"/>
    <col min="9492" max="9492" width="23.5" style="3042" customWidth="1"/>
    <col min="9493" max="9728" width="8.75" style="3042"/>
    <col min="9729" max="9729" width="8.5" style="3042" customWidth="1"/>
    <col min="9730" max="9730" width="8.75" style="3042"/>
    <col min="9731" max="9733" width="11.625" style="3042" customWidth="1"/>
    <col min="9734" max="9734" width="42.75" style="3042" customWidth="1"/>
    <col min="9735" max="9735" width="11.75" style="3042" customWidth="1"/>
    <col min="9736" max="9737" width="8.75" style="3042"/>
    <col min="9738" max="9738" width="5.25" style="3042" customWidth="1"/>
    <col min="9739" max="9739" width="10.625" style="3042" customWidth="1"/>
    <col min="9740" max="9741" width="9.75" style="3042" customWidth="1"/>
    <col min="9742" max="9742" width="9" style="3042" customWidth="1"/>
    <col min="9743" max="9744" width="9.375" style="3042" bestFit="1" customWidth="1"/>
    <col min="9745" max="9745" width="9" style="3042" customWidth="1"/>
    <col min="9746" max="9746" width="9.125" style="3042" customWidth="1"/>
    <col min="9747" max="9747" width="9" style="3042" customWidth="1"/>
    <col min="9748" max="9748" width="23.5" style="3042" customWidth="1"/>
    <col min="9749" max="9984" width="8.75" style="3042"/>
    <col min="9985" max="9985" width="8.5" style="3042" customWidth="1"/>
    <col min="9986" max="9986" width="8.75" style="3042"/>
    <col min="9987" max="9989" width="11.625" style="3042" customWidth="1"/>
    <col min="9990" max="9990" width="42.75" style="3042" customWidth="1"/>
    <col min="9991" max="9991" width="11.75" style="3042" customWidth="1"/>
    <col min="9992" max="9993" width="8.75" style="3042"/>
    <col min="9994" max="9994" width="5.25" style="3042" customWidth="1"/>
    <col min="9995" max="9995" width="10.625" style="3042" customWidth="1"/>
    <col min="9996" max="9997" width="9.75" style="3042" customWidth="1"/>
    <col min="9998" max="9998" width="9" style="3042" customWidth="1"/>
    <col min="9999" max="10000" width="9.375" style="3042" bestFit="1" customWidth="1"/>
    <col min="10001" max="10001" width="9" style="3042" customWidth="1"/>
    <col min="10002" max="10002" width="9.125" style="3042" customWidth="1"/>
    <col min="10003" max="10003" width="9" style="3042" customWidth="1"/>
    <col min="10004" max="10004" width="23.5" style="3042" customWidth="1"/>
    <col min="10005" max="10240" width="8.75" style="3042"/>
    <col min="10241" max="10241" width="8.5" style="3042" customWidth="1"/>
    <col min="10242" max="10242" width="8.75" style="3042"/>
    <col min="10243" max="10245" width="11.625" style="3042" customWidth="1"/>
    <col min="10246" max="10246" width="42.75" style="3042" customWidth="1"/>
    <col min="10247" max="10247" width="11.75" style="3042" customWidth="1"/>
    <col min="10248" max="10249" width="8.75" style="3042"/>
    <col min="10250" max="10250" width="5.25" style="3042" customWidth="1"/>
    <col min="10251" max="10251" width="10.625" style="3042" customWidth="1"/>
    <col min="10252" max="10253" width="9.75" style="3042" customWidth="1"/>
    <col min="10254" max="10254" width="9" style="3042" customWidth="1"/>
    <col min="10255" max="10256" width="9.375" style="3042" bestFit="1" customWidth="1"/>
    <col min="10257" max="10257" width="9" style="3042" customWidth="1"/>
    <col min="10258" max="10258" width="9.125" style="3042" customWidth="1"/>
    <col min="10259" max="10259" width="9" style="3042" customWidth="1"/>
    <col min="10260" max="10260" width="23.5" style="3042" customWidth="1"/>
    <col min="10261" max="10496" width="8.75" style="3042"/>
    <col min="10497" max="10497" width="8.5" style="3042" customWidth="1"/>
    <col min="10498" max="10498" width="8.75" style="3042"/>
    <col min="10499" max="10501" width="11.625" style="3042" customWidth="1"/>
    <col min="10502" max="10502" width="42.75" style="3042" customWidth="1"/>
    <col min="10503" max="10503" width="11.75" style="3042" customWidth="1"/>
    <col min="10504" max="10505" width="8.75" style="3042"/>
    <col min="10506" max="10506" width="5.25" style="3042" customWidth="1"/>
    <col min="10507" max="10507" width="10.625" style="3042" customWidth="1"/>
    <col min="10508" max="10509" width="9.75" style="3042" customWidth="1"/>
    <col min="10510" max="10510" width="9" style="3042" customWidth="1"/>
    <col min="10511" max="10512" width="9.375" style="3042" bestFit="1" customWidth="1"/>
    <col min="10513" max="10513" width="9" style="3042" customWidth="1"/>
    <col min="10514" max="10514" width="9.125" style="3042" customWidth="1"/>
    <col min="10515" max="10515" width="9" style="3042" customWidth="1"/>
    <col min="10516" max="10516" width="23.5" style="3042" customWidth="1"/>
    <col min="10517" max="10752" width="8.75" style="3042"/>
    <col min="10753" max="10753" width="8.5" style="3042" customWidth="1"/>
    <col min="10754" max="10754" width="8.75" style="3042"/>
    <col min="10755" max="10757" width="11.625" style="3042" customWidth="1"/>
    <col min="10758" max="10758" width="42.75" style="3042" customWidth="1"/>
    <col min="10759" max="10759" width="11.75" style="3042" customWidth="1"/>
    <col min="10760" max="10761" width="8.75" style="3042"/>
    <col min="10762" max="10762" width="5.25" style="3042" customWidth="1"/>
    <col min="10763" max="10763" width="10.625" style="3042" customWidth="1"/>
    <col min="10764" max="10765" width="9.75" style="3042" customWidth="1"/>
    <col min="10766" max="10766" width="9" style="3042" customWidth="1"/>
    <col min="10767" max="10768" width="9.375" style="3042" bestFit="1" customWidth="1"/>
    <col min="10769" max="10769" width="9" style="3042" customWidth="1"/>
    <col min="10770" max="10770" width="9.125" style="3042" customWidth="1"/>
    <col min="10771" max="10771" width="9" style="3042" customWidth="1"/>
    <col min="10772" max="10772" width="23.5" style="3042" customWidth="1"/>
    <col min="10773" max="11008" width="8.75" style="3042"/>
    <col min="11009" max="11009" width="8.5" style="3042" customWidth="1"/>
    <col min="11010" max="11010" width="8.75" style="3042"/>
    <col min="11011" max="11013" width="11.625" style="3042" customWidth="1"/>
    <col min="11014" max="11014" width="42.75" style="3042" customWidth="1"/>
    <col min="11015" max="11015" width="11.75" style="3042" customWidth="1"/>
    <col min="11016" max="11017" width="8.75" style="3042"/>
    <col min="11018" max="11018" width="5.25" style="3042" customWidth="1"/>
    <col min="11019" max="11019" width="10.625" style="3042" customWidth="1"/>
    <col min="11020" max="11021" width="9.75" style="3042" customWidth="1"/>
    <col min="11022" max="11022" width="9" style="3042" customWidth="1"/>
    <col min="11023" max="11024" width="9.375" style="3042" bestFit="1" customWidth="1"/>
    <col min="11025" max="11025" width="9" style="3042" customWidth="1"/>
    <col min="11026" max="11026" width="9.125" style="3042" customWidth="1"/>
    <col min="11027" max="11027" width="9" style="3042" customWidth="1"/>
    <col min="11028" max="11028" width="23.5" style="3042" customWidth="1"/>
    <col min="11029" max="11264" width="8.75" style="3042"/>
    <col min="11265" max="11265" width="8.5" style="3042" customWidth="1"/>
    <col min="11266" max="11266" width="8.75" style="3042"/>
    <col min="11267" max="11269" width="11.625" style="3042" customWidth="1"/>
    <col min="11270" max="11270" width="42.75" style="3042" customWidth="1"/>
    <col min="11271" max="11271" width="11.75" style="3042" customWidth="1"/>
    <col min="11272" max="11273" width="8.75" style="3042"/>
    <col min="11274" max="11274" width="5.25" style="3042" customWidth="1"/>
    <col min="11275" max="11275" width="10.625" style="3042" customWidth="1"/>
    <col min="11276" max="11277" width="9.75" style="3042" customWidth="1"/>
    <col min="11278" max="11278" width="9" style="3042" customWidth="1"/>
    <col min="11279" max="11280" width="9.375" style="3042" bestFit="1" customWidth="1"/>
    <col min="11281" max="11281" width="9" style="3042" customWidth="1"/>
    <col min="11282" max="11282" width="9.125" style="3042" customWidth="1"/>
    <col min="11283" max="11283" width="9" style="3042" customWidth="1"/>
    <col min="11284" max="11284" width="23.5" style="3042" customWidth="1"/>
    <col min="11285" max="11520" width="8.75" style="3042"/>
    <col min="11521" max="11521" width="8.5" style="3042" customWidth="1"/>
    <col min="11522" max="11522" width="8.75" style="3042"/>
    <col min="11523" max="11525" width="11.625" style="3042" customWidth="1"/>
    <col min="11526" max="11526" width="42.75" style="3042" customWidth="1"/>
    <col min="11527" max="11527" width="11.75" style="3042" customWidth="1"/>
    <col min="11528" max="11529" width="8.75" style="3042"/>
    <col min="11530" max="11530" width="5.25" style="3042" customWidth="1"/>
    <col min="11531" max="11531" width="10.625" style="3042" customWidth="1"/>
    <col min="11532" max="11533" width="9.75" style="3042" customWidth="1"/>
    <col min="11534" max="11534" width="9" style="3042" customWidth="1"/>
    <col min="11535" max="11536" width="9.375" style="3042" bestFit="1" customWidth="1"/>
    <col min="11537" max="11537" width="9" style="3042" customWidth="1"/>
    <col min="11538" max="11538" width="9.125" style="3042" customWidth="1"/>
    <col min="11539" max="11539" width="9" style="3042" customWidth="1"/>
    <col min="11540" max="11540" width="23.5" style="3042" customWidth="1"/>
    <col min="11541" max="11776" width="8.75" style="3042"/>
    <col min="11777" max="11777" width="8.5" style="3042" customWidth="1"/>
    <col min="11778" max="11778" width="8.75" style="3042"/>
    <col min="11779" max="11781" width="11.625" style="3042" customWidth="1"/>
    <col min="11782" max="11782" width="42.75" style="3042" customWidth="1"/>
    <col min="11783" max="11783" width="11.75" style="3042" customWidth="1"/>
    <col min="11784" max="11785" width="8.75" style="3042"/>
    <col min="11786" max="11786" width="5.25" style="3042" customWidth="1"/>
    <col min="11787" max="11787" width="10.625" style="3042" customWidth="1"/>
    <col min="11788" max="11789" width="9.75" style="3042" customWidth="1"/>
    <col min="11790" max="11790" width="9" style="3042" customWidth="1"/>
    <col min="11791" max="11792" width="9.375" style="3042" bestFit="1" customWidth="1"/>
    <col min="11793" max="11793" width="9" style="3042" customWidth="1"/>
    <col min="11794" max="11794" width="9.125" style="3042" customWidth="1"/>
    <col min="11795" max="11795" width="9" style="3042" customWidth="1"/>
    <col min="11796" max="11796" width="23.5" style="3042" customWidth="1"/>
    <col min="11797" max="12032" width="8.75" style="3042"/>
    <col min="12033" max="12033" width="8.5" style="3042" customWidth="1"/>
    <col min="12034" max="12034" width="8.75" style="3042"/>
    <col min="12035" max="12037" width="11.625" style="3042" customWidth="1"/>
    <col min="12038" max="12038" width="42.75" style="3042" customWidth="1"/>
    <col min="12039" max="12039" width="11.75" style="3042" customWidth="1"/>
    <col min="12040" max="12041" width="8.75" style="3042"/>
    <col min="12042" max="12042" width="5.25" style="3042" customWidth="1"/>
    <col min="12043" max="12043" width="10.625" style="3042" customWidth="1"/>
    <col min="12044" max="12045" width="9.75" style="3042" customWidth="1"/>
    <col min="12046" max="12046" width="9" style="3042" customWidth="1"/>
    <col min="12047" max="12048" width="9.375" style="3042" bestFit="1" customWidth="1"/>
    <col min="12049" max="12049" width="9" style="3042" customWidth="1"/>
    <col min="12050" max="12050" width="9.125" style="3042" customWidth="1"/>
    <col min="12051" max="12051" width="9" style="3042" customWidth="1"/>
    <col min="12052" max="12052" width="23.5" style="3042" customWidth="1"/>
    <col min="12053" max="12288" width="8.75" style="3042"/>
    <col min="12289" max="12289" width="8.5" style="3042" customWidth="1"/>
    <col min="12290" max="12290" width="8.75" style="3042"/>
    <col min="12291" max="12293" width="11.625" style="3042" customWidth="1"/>
    <col min="12294" max="12294" width="42.75" style="3042" customWidth="1"/>
    <col min="12295" max="12295" width="11.75" style="3042" customWidth="1"/>
    <col min="12296" max="12297" width="8.75" style="3042"/>
    <col min="12298" max="12298" width="5.25" style="3042" customWidth="1"/>
    <col min="12299" max="12299" width="10.625" style="3042" customWidth="1"/>
    <col min="12300" max="12301" width="9.75" style="3042" customWidth="1"/>
    <col min="12302" max="12302" width="9" style="3042" customWidth="1"/>
    <col min="12303" max="12304" width="9.375" style="3042" bestFit="1" customWidth="1"/>
    <col min="12305" max="12305" width="9" style="3042" customWidth="1"/>
    <col min="12306" max="12306" width="9.125" style="3042" customWidth="1"/>
    <col min="12307" max="12307" width="9" style="3042" customWidth="1"/>
    <col min="12308" max="12308" width="23.5" style="3042" customWidth="1"/>
    <col min="12309" max="12544" width="8.75" style="3042"/>
    <col min="12545" max="12545" width="8.5" style="3042" customWidth="1"/>
    <col min="12546" max="12546" width="8.75" style="3042"/>
    <col min="12547" max="12549" width="11.625" style="3042" customWidth="1"/>
    <col min="12550" max="12550" width="42.75" style="3042" customWidth="1"/>
    <col min="12551" max="12551" width="11.75" style="3042" customWidth="1"/>
    <col min="12552" max="12553" width="8.75" style="3042"/>
    <col min="12554" max="12554" width="5.25" style="3042" customWidth="1"/>
    <col min="12555" max="12555" width="10.625" style="3042" customWidth="1"/>
    <col min="12556" max="12557" width="9.75" style="3042" customWidth="1"/>
    <col min="12558" max="12558" width="9" style="3042" customWidth="1"/>
    <col min="12559" max="12560" width="9.375" style="3042" bestFit="1" customWidth="1"/>
    <col min="12561" max="12561" width="9" style="3042" customWidth="1"/>
    <col min="12562" max="12562" width="9.125" style="3042" customWidth="1"/>
    <col min="12563" max="12563" width="9" style="3042" customWidth="1"/>
    <col min="12564" max="12564" width="23.5" style="3042" customWidth="1"/>
    <col min="12565" max="12800" width="8.75" style="3042"/>
    <col min="12801" max="12801" width="8.5" style="3042" customWidth="1"/>
    <col min="12802" max="12802" width="8.75" style="3042"/>
    <col min="12803" max="12805" width="11.625" style="3042" customWidth="1"/>
    <col min="12806" max="12806" width="42.75" style="3042" customWidth="1"/>
    <col min="12807" max="12807" width="11.75" style="3042" customWidth="1"/>
    <col min="12808" max="12809" width="8.75" style="3042"/>
    <col min="12810" max="12810" width="5.25" style="3042" customWidth="1"/>
    <col min="12811" max="12811" width="10.625" style="3042" customWidth="1"/>
    <col min="12812" max="12813" width="9.75" style="3042" customWidth="1"/>
    <col min="12814" max="12814" width="9" style="3042" customWidth="1"/>
    <col min="12815" max="12816" width="9.375" style="3042" bestFit="1" customWidth="1"/>
    <col min="12817" max="12817" width="9" style="3042" customWidth="1"/>
    <col min="12818" max="12818" width="9.125" style="3042" customWidth="1"/>
    <col min="12819" max="12819" width="9" style="3042" customWidth="1"/>
    <col min="12820" max="12820" width="23.5" style="3042" customWidth="1"/>
    <col min="12821" max="13056" width="8.75" style="3042"/>
    <col min="13057" max="13057" width="8.5" style="3042" customWidth="1"/>
    <col min="13058" max="13058" width="8.75" style="3042"/>
    <col min="13059" max="13061" width="11.625" style="3042" customWidth="1"/>
    <col min="13062" max="13062" width="42.75" style="3042" customWidth="1"/>
    <col min="13063" max="13063" width="11.75" style="3042" customWidth="1"/>
    <col min="13064" max="13065" width="8.75" style="3042"/>
    <col min="13066" max="13066" width="5.25" style="3042" customWidth="1"/>
    <col min="13067" max="13067" width="10.625" style="3042" customWidth="1"/>
    <col min="13068" max="13069" width="9.75" style="3042" customWidth="1"/>
    <col min="13070" max="13070" width="9" style="3042" customWidth="1"/>
    <col min="13071" max="13072" width="9.375" style="3042" bestFit="1" customWidth="1"/>
    <col min="13073" max="13073" width="9" style="3042" customWidth="1"/>
    <col min="13074" max="13074" width="9.125" style="3042" customWidth="1"/>
    <col min="13075" max="13075" width="9" style="3042" customWidth="1"/>
    <col min="13076" max="13076" width="23.5" style="3042" customWidth="1"/>
    <col min="13077" max="13312" width="8.75" style="3042"/>
    <col min="13313" max="13313" width="8.5" style="3042" customWidth="1"/>
    <col min="13314" max="13314" width="8.75" style="3042"/>
    <col min="13315" max="13317" width="11.625" style="3042" customWidth="1"/>
    <col min="13318" max="13318" width="42.75" style="3042" customWidth="1"/>
    <col min="13319" max="13319" width="11.75" style="3042" customWidth="1"/>
    <col min="13320" max="13321" width="8.75" style="3042"/>
    <col min="13322" max="13322" width="5.25" style="3042" customWidth="1"/>
    <col min="13323" max="13323" width="10.625" style="3042" customWidth="1"/>
    <col min="13324" max="13325" width="9.75" style="3042" customWidth="1"/>
    <col min="13326" max="13326" width="9" style="3042" customWidth="1"/>
    <col min="13327" max="13328" width="9.375" style="3042" bestFit="1" customWidth="1"/>
    <col min="13329" max="13329" width="9" style="3042" customWidth="1"/>
    <col min="13330" max="13330" width="9.125" style="3042" customWidth="1"/>
    <col min="13331" max="13331" width="9" style="3042" customWidth="1"/>
    <col min="13332" max="13332" width="23.5" style="3042" customWidth="1"/>
    <col min="13333" max="13568" width="8.75" style="3042"/>
    <col min="13569" max="13569" width="8.5" style="3042" customWidth="1"/>
    <col min="13570" max="13570" width="8.75" style="3042"/>
    <col min="13571" max="13573" width="11.625" style="3042" customWidth="1"/>
    <col min="13574" max="13574" width="42.75" style="3042" customWidth="1"/>
    <col min="13575" max="13575" width="11.75" style="3042" customWidth="1"/>
    <col min="13576" max="13577" width="8.75" style="3042"/>
    <col min="13578" max="13578" width="5.25" style="3042" customWidth="1"/>
    <col min="13579" max="13579" width="10.625" style="3042" customWidth="1"/>
    <col min="13580" max="13581" width="9.75" style="3042" customWidth="1"/>
    <col min="13582" max="13582" width="9" style="3042" customWidth="1"/>
    <col min="13583" max="13584" width="9.375" style="3042" bestFit="1" customWidth="1"/>
    <col min="13585" max="13585" width="9" style="3042" customWidth="1"/>
    <col min="13586" max="13586" width="9.125" style="3042" customWidth="1"/>
    <col min="13587" max="13587" width="9" style="3042" customWidth="1"/>
    <col min="13588" max="13588" width="23.5" style="3042" customWidth="1"/>
    <col min="13589" max="13824" width="8.75" style="3042"/>
    <col min="13825" max="13825" width="8.5" style="3042" customWidth="1"/>
    <col min="13826" max="13826" width="8.75" style="3042"/>
    <col min="13827" max="13829" width="11.625" style="3042" customWidth="1"/>
    <col min="13830" max="13830" width="42.75" style="3042" customWidth="1"/>
    <col min="13831" max="13831" width="11.75" style="3042" customWidth="1"/>
    <col min="13832" max="13833" width="8.75" style="3042"/>
    <col min="13834" max="13834" width="5.25" style="3042" customWidth="1"/>
    <col min="13835" max="13835" width="10.625" style="3042" customWidth="1"/>
    <col min="13836" max="13837" width="9.75" style="3042" customWidth="1"/>
    <col min="13838" max="13838" width="9" style="3042" customWidth="1"/>
    <col min="13839" max="13840" width="9.375" style="3042" bestFit="1" customWidth="1"/>
    <col min="13841" max="13841" width="9" style="3042" customWidth="1"/>
    <col min="13842" max="13842" width="9.125" style="3042" customWidth="1"/>
    <col min="13843" max="13843" width="9" style="3042" customWidth="1"/>
    <col min="13844" max="13844" width="23.5" style="3042" customWidth="1"/>
    <col min="13845" max="14080" width="8.75" style="3042"/>
    <col min="14081" max="14081" width="8.5" style="3042" customWidth="1"/>
    <col min="14082" max="14082" width="8.75" style="3042"/>
    <col min="14083" max="14085" width="11.625" style="3042" customWidth="1"/>
    <col min="14086" max="14086" width="42.75" style="3042" customWidth="1"/>
    <col min="14087" max="14087" width="11.75" style="3042" customWidth="1"/>
    <col min="14088" max="14089" width="8.75" style="3042"/>
    <col min="14090" max="14090" width="5.25" style="3042" customWidth="1"/>
    <col min="14091" max="14091" width="10.625" style="3042" customWidth="1"/>
    <col min="14092" max="14093" width="9.75" style="3042" customWidth="1"/>
    <col min="14094" max="14094" width="9" style="3042" customWidth="1"/>
    <col min="14095" max="14096" width="9.375" style="3042" bestFit="1" customWidth="1"/>
    <col min="14097" max="14097" width="9" style="3042" customWidth="1"/>
    <col min="14098" max="14098" width="9.125" style="3042" customWidth="1"/>
    <col min="14099" max="14099" width="9" style="3042" customWidth="1"/>
    <col min="14100" max="14100" width="23.5" style="3042" customWidth="1"/>
    <col min="14101" max="14336" width="8.75" style="3042"/>
    <col min="14337" max="14337" width="8.5" style="3042" customWidth="1"/>
    <col min="14338" max="14338" width="8.75" style="3042"/>
    <col min="14339" max="14341" width="11.625" style="3042" customWidth="1"/>
    <col min="14342" max="14342" width="42.75" style="3042" customWidth="1"/>
    <col min="14343" max="14343" width="11.75" style="3042" customWidth="1"/>
    <col min="14344" max="14345" width="8.75" style="3042"/>
    <col min="14346" max="14346" width="5.25" style="3042" customWidth="1"/>
    <col min="14347" max="14347" width="10.625" style="3042" customWidth="1"/>
    <col min="14348" max="14349" width="9.75" style="3042" customWidth="1"/>
    <col min="14350" max="14350" width="9" style="3042" customWidth="1"/>
    <col min="14351" max="14352" width="9.375" style="3042" bestFit="1" customWidth="1"/>
    <col min="14353" max="14353" width="9" style="3042" customWidth="1"/>
    <col min="14354" max="14354" width="9.125" style="3042" customWidth="1"/>
    <col min="14355" max="14355" width="9" style="3042" customWidth="1"/>
    <col min="14356" max="14356" width="23.5" style="3042" customWidth="1"/>
    <col min="14357" max="14592" width="8.75" style="3042"/>
    <col min="14593" max="14593" width="8.5" style="3042" customWidth="1"/>
    <col min="14594" max="14594" width="8.75" style="3042"/>
    <col min="14595" max="14597" width="11.625" style="3042" customWidth="1"/>
    <col min="14598" max="14598" width="42.75" style="3042" customWidth="1"/>
    <col min="14599" max="14599" width="11.75" style="3042" customWidth="1"/>
    <col min="14600" max="14601" width="8.75" style="3042"/>
    <col min="14602" max="14602" width="5.25" style="3042" customWidth="1"/>
    <col min="14603" max="14603" width="10.625" style="3042" customWidth="1"/>
    <col min="14604" max="14605" width="9.75" style="3042" customWidth="1"/>
    <col min="14606" max="14606" width="9" style="3042" customWidth="1"/>
    <col min="14607" max="14608" width="9.375" style="3042" bestFit="1" customWidth="1"/>
    <col min="14609" max="14609" width="9" style="3042" customWidth="1"/>
    <col min="14610" max="14610" width="9.125" style="3042" customWidth="1"/>
    <col min="14611" max="14611" width="9" style="3042" customWidth="1"/>
    <col min="14612" max="14612" width="23.5" style="3042" customWidth="1"/>
    <col min="14613" max="14848" width="8.75" style="3042"/>
    <col min="14849" max="14849" width="8.5" style="3042" customWidth="1"/>
    <col min="14850" max="14850" width="8.75" style="3042"/>
    <col min="14851" max="14853" width="11.625" style="3042" customWidth="1"/>
    <col min="14854" max="14854" width="42.75" style="3042" customWidth="1"/>
    <col min="14855" max="14855" width="11.75" style="3042" customWidth="1"/>
    <col min="14856" max="14857" width="8.75" style="3042"/>
    <col min="14858" max="14858" width="5.25" style="3042" customWidth="1"/>
    <col min="14859" max="14859" width="10.625" style="3042" customWidth="1"/>
    <col min="14860" max="14861" width="9.75" style="3042" customWidth="1"/>
    <col min="14862" max="14862" width="9" style="3042" customWidth="1"/>
    <col min="14863" max="14864" width="9.375" style="3042" bestFit="1" customWidth="1"/>
    <col min="14865" max="14865" width="9" style="3042" customWidth="1"/>
    <col min="14866" max="14866" width="9.125" style="3042" customWidth="1"/>
    <col min="14867" max="14867" width="9" style="3042" customWidth="1"/>
    <col min="14868" max="14868" width="23.5" style="3042" customWidth="1"/>
    <col min="14869" max="15104" width="8.75" style="3042"/>
    <col min="15105" max="15105" width="8.5" style="3042" customWidth="1"/>
    <col min="15106" max="15106" width="8.75" style="3042"/>
    <col min="15107" max="15109" width="11.625" style="3042" customWidth="1"/>
    <col min="15110" max="15110" width="42.75" style="3042" customWidth="1"/>
    <col min="15111" max="15111" width="11.75" style="3042" customWidth="1"/>
    <col min="15112" max="15113" width="8.75" style="3042"/>
    <col min="15114" max="15114" width="5.25" style="3042" customWidth="1"/>
    <col min="15115" max="15115" width="10.625" style="3042" customWidth="1"/>
    <col min="15116" max="15117" width="9.75" style="3042" customWidth="1"/>
    <col min="15118" max="15118" width="9" style="3042" customWidth="1"/>
    <col min="15119" max="15120" width="9.375" style="3042" bestFit="1" customWidth="1"/>
    <col min="15121" max="15121" width="9" style="3042" customWidth="1"/>
    <col min="15122" max="15122" width="9.125" style="3042" customWidth="1"/>
    <col min="15123" max="15123" width="9" style="3042" customWidth="1"/>
    <col min="15124" max="15124" width="23.5" style="3042" customWidth="1"/>
    <col min="15125" max="15360" width="8.75" style="3042"/>
    <col min="15361" max="15361" width="8.5" style="3042" customWidth="1"/>
    <col min="15362" max="15362" width="8.75" style="3042"/>
    <col min="15363" max="15365" width="11.625" style="3042" customWidth="1"/>
    <col min="15366" max="15366" width="42.75" style="3042" customWidth="1"/>
    <col min="15367" max="15367" width="11.75" style="3042" customWidth="1"/>
    <col min="15368" max="15369" width="8.75" style="3042"/>
    <col min="15370" max="15370" width="5.25" style="3042" customWidth="1"/>
    <col min="15371" max="15371" width="10.625" style="3042" customWidth="1"/>
    <col min="15372" max="15373" width="9.75" style="3042" customWidth="1"/>
    <col min="15374" max="15374" width="9" style="3042" customWidth="1"/>
    <col min="15375" max="15376" width="9.375" style="3042" bestFit="1" customWidth="1"/>
    <col min="15377" max="15377" width="9" style="3042" customWidth="1"/>
    <col min="15378" max="15378" width="9.125" style="3042" customWidth="1"/>
    <col min="15379" max="15379" width="9" style="3042" customWidth="1"/>
    <col min="15380" max="15380" width="23.5" style="3042" customWidth="1"/>
    <col min="15381" max="15616" width="8.75" style="3042"/>
    <col min="15617" max="15617" width="8.5" style="3042" customWidth="1"/>
    <col min="15618" max="15618" width="8.75" style="3042"/>
    <col min="15619" max="15621" width="11.625" style="3042" customWidth="1"/>
    <col min="15622" max="15622" width="42.75" style="3042" customWidth="1"/>
    <col min="15623" max="15623" width="11.75" style="3042" customWidth="1"/>
    <col min="15624" max="15625" width="8.75" style="3042"/>
    <col min="15626" max="15626" width="5.25" style="3042" customWidth="1"/>
    <col min="15627" max="15627" width="10.625" style="3042" customWidth="1"/>
    <col min="15628" max="15629" width="9.75" style="3042" customWidth="1"/>
    <col min="15630" max="15630" width="9" style="3042" customWidth="1"/>
    <col min="15631" max="15632" width="9.375" style="3042" bestFit="1" customWidth="1"/>
    <col min="15633" max="15633" width="9" style="3042" customWidth="1"/>
    <col min="15634" max="15634" width="9.125" style="3042" customWidth="1"/>
    <col min="15635" max="15635" width="9" style="3042" customWidth="1"/>
    <col min="15636" max="15636" width="23.5" style="3042" customWidth="1"/>
    <col min="15637" max="15872" width="8.75" style="3042"/>
    <col min="15873" max="15873" width="8.5" style="3042" customWidth="1"/>
    <col min="15874" max="15874" width="8.75" style="3042"/>
    <col min="15875" max="15877" width="11.625" style="3042" customWidth="1"/>
    <col min="15878" max="15878" width="42.75" style="3042" customWidth="1"/>
    <col min="15879" max="15879" width="11.75" style="3042" customWidth="1"/>
    <col min="15880" max="15881" width="8.75" style="3042"/>
    <col min="15882" max="15882" width="5.25" style="3042" customWidth="1"/>
    <col min="15883" max="15883" width="10.625" style="3042" customWidth="1"/>
    <col min="15884" max="15885" width="9.75" style="3042" customWidth="1"/>
    <col min="15886" max="15886" width="9" style="3042" customWidth="1"/>
    <col min="15887" max="15888" width="9.375" style="3042" bestFit="1" customWidth="1"/>
    <col min="15889" max="15889" width="9" style="3042" customWidth="1"/>
    <col min="15890" max="15890" width="9.125" style="3042" customWidth="1"/>
    <col min="15891" max="15891" width="9" style="3042" customWidth="1"/>
    <col min="15892" max="15892" width="23.5" style="3042" customWidth="1"/>
    <col min="15893" max="16128" width="8.75" style="3042"/>
    <col min="16129" max="16129" width="8.5" style="3042" customWidth="1"/>
    <col min="16130" max="16130" width="8.75" style="3042"/>
    <col min="16131" max="16133" width="11.625" style="3042" customWidth="1"/>
    <col min="16134" max="16134" width="42.75" style="3042" customWidth="1"/>
    <col min="16135" max="16135" width="11.75" style="3042" customWidth="1"/>
    <col min="16136" max="16137" width="8.75" style="3042"/>
    <col min="16138" max="16138" width="5.25" style="3042" customWidth="1"/>
    <col min="16139" max="16139" width="10.625" style="3042" customWidth="1"/>
    <col min="16140" max="16141" width="9.75" style="3042" customWidth="1"/>
    <col min="16142" max="16142" width="9" style="3042" customWidth="1"/>
    <col min="16143" max="16144" width="9.375" style="3042" bestFit="1" customWidth="1"/>
    <col min="16145" max="16145" width="9" style="3042" customWidth="1"/>
    <col min="16146" max="16146" width="9.125" style="3042" customWidth="1"/>
    <col min="16147" max="16147" width="9" style="3042" customWidth="1"/>
    <col min="16148" max="16148" width="23.5" style="3042" customWidth="1"/>
    <col min="16149" max="16384" width="8.75" style="3042"/>
  </cols>
  <sheetData>
    <row r="1" spans="1:22" ht="21" customHeight="1">
      <c r="A1" s="3031" t="s">
        <v>3147</v>
      </c>
      <c r="B1" s="3032"/>
      <c r="C1" s="3216"/>
      <c r="D1" s="3217" t="s">
        <v>70</v>
      </c>
      <c r="E1" s="3033" t="s">
        <v>3148</v>
      </c>
      <c r="F1" s="3218">
        <f>C36</f>
        <v>20.61</v>
      </c>
      <c r="G1" s="3219"/>
      <c r="J1" s="3220" t="s">
        <v>3149</v>
      </c>
      <c r="K1" s="3221"/>
      <c r="L1" s="3221"/>
      <c r="M1" s="3221"/>
      <c r="N1" s="3221"/>
      <c r="O1" s="3221"/>
      <c r="P1" s="3221"/>
      <c r="Q1" s="3221"/>
      <c r="R1" s="3222"/>
      <c r="S1" s="3223"/>
      <c r="T1" s="3223"/>
      <c r="U1" s="3223"/>
    </row>
    <row r="2" spans="1:22" s="3053" customFormat="1" ht="13.15" customHeight="1">
      <c r="A2" s="3224" t="s">
        <v>3150</v>
      </c>
      <c r="B2" s="3043">
        <f ca="1">C40</f>
        <v>775862</v>
      </c>
      <c r="C2" s="3044" t="s">
        <v>1421</v>
      </c>
      <c r="D2" s="3044"/>
      <c r="E2" s="3045"/>
      <c r="F2" s="3046"/>
      <c r="G2" s="3225"/>
      <c r="I2" s="3226"/>
      <c r="J2" s="3651" t="s">
        <v>3151</v>
      </c>
      <c r="K2" s="3652"/>
      <c r="L2" s="3227" t="s">
        <v>3152</v>
      </c>
      <c r="M2" s="3227" t="s">
        <v>3008</v>
      </c>
      <c r="N2" s="3227" t="s">
        <v>3009</v>
      </c>
      <c r="O2" s="3227" t="s">
        <v>3010</v>
      </c>
      <c r="P2" s="3227" t="s">
        <v>3011</v>
      </c>
      <c r="Q2" s="3228" t="s">
        <v>3153</v>
      </c>
      <c r="R2" s="3091" t="s">
        <v>3154</v>
      </c>
      <c r="S2" s="3223"/>
      <c r="T2" s="3223"/>
      <c r="U2" s="3223"/>
      <c r="V2" s="3226"/>
    </row>
    <row r="3" spans="1:22" s="3053" customFormat="1" ht="13.15" customHeight="1">
      <c r="A3" s="3229" t="s">
        <v>3155</v>
      </c>
      <c r="B3" s="3055">
        <f ca="1">ROUND(B2*10000/B4,0)</f>
        <v>76436</v>
      </c>
      <c r="C3" s="3044" t="s">
        <v>3156</v>
      </c>
      <c r="D3" s="3044"/>
      <c r="E3" s="3045"/>
      <c r="F3" s="3046"/>
      <c r="G3" s="3225"/>
      <c r="I3" s="3226"/>
      <c r="J3" s="3653" t="s">
        <v>3157</v>
      </c>
      <c r="K3" s="3551"/>
      <c r="L3" s="3230">
        <v>20000</v>
      </c>
      <c r="M3" s="3230">
        <v>500</v>
      </c>
      <c r="N3" s="3230">
        <v>500</v>
      </c>
      <c r="O3" s="3230">
        <v>10000</v>
      </c>
      <c r="P3" s="3230">
        <v>10000</v>
      </c>
      <c r="Q3" s="3231">
        <v>500</v>
      </c>
      <c r="R3" s="3232">
        <f>SUM(L3:Q3)</f>
        <v>41500</v>
      </c>
      <c r="S3" s="3223"/>
      <c r="T3" s="3223"/>
      <c r="U3" s="3223"/>
      <c r="V3" s="3226"/>
    </row>
    <row r="4" spans="1:22" s="3053" customFormat="1" ht="13.15" customHeight="1">
      <c r="A4" s="3059" t="s">
        <v>3017</v>
      </c>
      <c r="B4" s="3233">
        <f>'数据-汇总表'!E31</f>
        <v>101504.34</v>
      </c>
      <c r="C4" s="3044"/>
      <c r="D4" s="3044"/>
      <c r="E4" s="3045"/>
      <c r="F4" s="3046"/>
      <c r="G4" s="3225"/>
      <c r="I4" s="3226"/>
      <c r="J4" s="3653" t="s">
        <v>3158</v>
      </c>
      <c r="K4" s="3551"/>
      <c r="L4" s="3234">
        <v>6500</v>
      </c>
      <c r="M4" s="3234">
        <v>150</v>
      </c>
      <c r="N4" s="3234">
        <v>150</v>
      </c>
      <c r="O4" s="3234">
        <v>3500</v>
      </c>
      <c r="P4" s="3234">
        <v>3500</v>
      </c>
      <c r="Q4" s="3235">
        <v>150</v>
      </c>
      <c r="R4" s="3236">
        <f>SUM(L4:Q4)</f>
        <v>13950</v>
      </c>
      <c r="S4" s="3223"/>
      <c r="T4" s="3223"/>
      <c r="U4" s="3223"/>
      <c r="V4" s="3226"/>
    </row>
    <row r="5" spans="1:22" s="3053" customFormat="1" ht="13.15" customHeight="1" thickBot="1">
      <c r="A5" s="3237" t="s">
        <v>3159</v>
      </c>
      <c r="B5" s="3238">
        <f>'数据-汇总表'!D31</f>
        <v>25666.1</v>
      </c>
      <c r="C5" s="3044"/>
      <c r="D5" s="3066"/>
      <c r="E5" s="3046"/>
      <c r="F5" s="3046"/>
      <c r="G5" s="3225"/>
      <c r="I5" s="3226"/>
      <c r="J5" s="3239" t="s">
        <v>3160</v>
      </c>
      <c r="K5" s="3240"/>
      <c r="L5" s="3240"/>
      <c r="M5" s="3241"/>
      <c r="N5" s="3241"/>
      <c r="O5" s="3241"/>
      <c r="P5" s="3241"/>
      <c r="Q5" s="3241"/>
      <c r="R5" s="3091">
        <f>SUM(R14,R19,R24,R25,R27,R28)</f>
        <v>17965</v>
      </c>
      <c r="S5" s="3223"/>
      <c r="T5" s="3223" t="s">
        <v>3161</v>
      </c>
      <c r="U5" s="3223">
        <f>ROUND(R5*10000/365/R3,1)</f>
        <v>11.9</v>
      </c>
      <c r="V5" s="3226"/>
    </row>
    <row r="6" spans="1:22" s="3053" customFormat="1" ht="13.15" customHeight="1" thickBot="1">
      <c r="A6" s="3547" t="s">
        <v>3162</v>
      </c>
      <c r="B6" s="3548"/>
      <c r="C6" s="3549"/>
      <c r="D6" s="3242">
        <f>利润表!S1</f>
        <v>101314</v>
      </c>
      <c r="E6" s="3071"/>
      <c r="F6" s="3072"/>
      <c r="G6" s="3243">
        <f>D6*10000/365/B4</f>
        <v>27.345885184783825</v>
      </c>
      <c r="I6" s="3226"/>
      <c r="J6" s="3654">
        <v>1</v>
      </c>
      <c r="K6" s="3655" t="s">
        <v>3163</v>
      </c>
      <c r="L6" s="3244" t="s">
        <v>3164</v>
      </c>
      <c r="M6" s="3132" t="s">
        <v>3165</v>
      </c>
      <c r="N6" s="3132" t="s">
        <v>3166</v>
      </c>
      <c r="O6" s="3132" t="s">
        <v>3167</v>
      </c>
      <c r="P6" s="3132" t="s">
        <v>3168</v>
      </c>
      <c r="Q6" s="3132" t="s">
        <v>3169</v>
      </c>
      <c r="R6" s="3232" t="s">
        <v>3170</v>
      </c>
      <c r="S6" s="3223"/>
      <c r="T6" s="3223" t="s">
        <v>3171</v>
      </c>
      <c r="U6" s="3223"/>
      <c r="V6" s="3226"/>
    </row>
    <row r="7" spans="1:22" s="3053" customFormat="1" ht="13.15" customHeight="1">
      <c r="A7" s="3076" t="s">
        <v>3172</v>
      </c>
      <c r="B7" s="3077"/>
      <c r="C7" s="3078"/>
      <c r="D7" s="3079">
        <f ca="1">SUM(D9,D10,D11,D17,0)</f>
        <v>36380</v>
      </c>
      <c r="E7" s="3080">
        <f ca="1">E9+E10+E11+E17</f>
        <v>0.35908364095781431</v>
      </c>
      <c r="F7" s="3081"/>
      <c r="G7" s="3245"/>
      <c r="I7" s="3226"/>
      <c r="J7" s="3654"/>
      <c r="K7" s="3656"/>
      <c r="L7" s="3246" t="s">
        <v>3173</v>
      </c>
      <c r="M7" s="3247">
        <v>1</v>
      </c>
      <c r="N7" s="3233">
        <v>8000</v>
      </c>
      <c r="O7" s="3248">
        <v>0.5</v>
      </c>
      <c r="P7" s="3248">
        <v>0.6</v>
      </c>
      <c r="Q7" s="3249">
        <v>365</v>
      </c>
      <c r="R7" s="3250">
        <f>ROUND(M7*N7*O7*P7*Q7/10000,0)</f>
        <v>88</v>
      </c>
      <c r="S7" s="3223"/>
      <c r="T7" s="3223" t="s">
        <v>3174</v>
      </c>
      <c r="U7" s="3223"/>
      <c r="V7" s="3226"/>
    </row>
    <row r="8" spans="1:22" s="3053" customFormat="1" ht="13.15" customHeight="1">
      <c r="A8" s="3088" t="s">
        <v>3175</v>
      </c>
      <c r="B8" s="3550" t="s">
        <v>3176</v>
      </c>
      <c r="C8" s="3551"/>
      <c r="D8" s="3089" t="s">
        <v>3177</v>
      </c>
      <c r="E8" s="3090" t="s">
        <v>3178</v>
      </c>
      <c r="F8" s="3091" t="s">
        <v>3179</v>
      </c>
      <c r="G8" s="3251"/>
      <c r="I8" s="3226"/>
      <c r="J8" s="3654"/>
      <c r="K8" s="3656"/>
      <c r="L8" s="3246" t="s">
        <v>3180</v>
      </c>
      <c r="M8" s="3247">
        <v>12</v>
      </c>
      <c r="N8" s="3233">
        <v>3200</v>
      </c>
      <c r="O8" s="3248">
        <v>0.5</v>
      </c>
      <c r="P8" s="3248">
        <v>0.6</v>
      </c>
      <c r="Q8" s="3249">
        <v>365</v>
      </c>
      <c r="R8" s="3250">
        <f t="shared" ref="R8:R13" si="0">ROUND(M8*N8*O8*P8*Q8/10000,0)</f>
        <v>420</v>
      </c>
      <c r="S8" s="3223"/>
      <c r="T8" s="3223" t="s">
        <v>3181</v>
      </c>
      <c r="U8" s="3223"/>
      <c r="V8" s="3226"/>
    </row>
    <row r="9" spans="1:22" s="3053" customFormat="1" ht="13.15" customHeight="1">
      <c r="A9" s="3088">
        <v>1</v>
      </c>
      <c r="B9" s="3658" t="s">
        <v>3182</v>
      </c>
      <c r="C9" s="3659"/>
      <c r="D9" s="3089">
        <f>ROUND(D6*E9,0)</f>
        <v>0</v>
      </c>
      <c r="E9" s="3252">
        <v>0</v>
      </c>
      <c r="F9" s="3094" t="s">
        <v>3183</v>
      </c>
      <c r="G9" s="3243"/>
      <c r="I9" s="3226"/>
      <c r="J9" s="3654"/>
      <c r="K9" s="3656"/>
      <c r="L9" s="3246" t="s">
        <v>3184</v>
      </c>
      <c r="M9" s="3247">
        <v>45</v>
      </c>
      <c r="N9" s="3233">
        <v>2700</v>
      </c>
      <c r="O9" s="3248">
        <v>0.5</v>
      </c>
      <c r="P9" s="3248">
        <v>0.6</v>
      </c>
      <c r="Q9" s="3249">
        <v>365</v>
      </c>
      <c r="R9" s="3250">
        <f t="shared" si="0"/>
        <v>1330</v>
      </c>
      <c r="S9" s="3223"/>
      <c r="T9" s="3223"/>
      <c r="U9" s="3223"/>
      <c r="V9" s="3226"/>
    </row>
    <row r="10" spans="1:22" s="3053" customFormat="1" ht="13.15" customHeight="1">
      <c r="A10" s="3088">
        <v>2</v>
      </c>
      <c r="B10" s="3550" t="s">
        <v>3185</v>
      </c>
      <c r="C10" s="3551"/>
      <c r="D10" s="3089">
        <f>ROUND(D6*E10,0)</f>
        <v>20263</v>
      </c>
      <c r="E10" s="3252">
        <v>0.2</v>
      </c>
      <c r="F10" s="3094" t="s">
        <v>3186</v>
      </c>
      <c r="G10" s="3243"/>
      <c r="I10" s="3226"/>
      <c r="J10" s="3654"/>
      <c r="K10" s="3656"/>
      <c r="L10" s="3246" t="s">
        <v>3187</v>
      </c>
      <c r="M10" s="3247">
        <v>368</v>
      </c>
      <c r="N10" s="3233">
        <v>1500</v>
      </c>
      <c r="O10" s="3248">
        <v>0.5</v>
      </c>
      <c r="P10" s="3248">
        <v>0.6</v>
      </c>
      <c r="Q10" s="3249">
        <v>365</v>
      </c>
      <c r="R10" s="3250">
        <f t="shared" si="0"/>
        <v>6044</v>
      </c>
      <c r="S10" s="3223"/>
      <c r="T10" s="3223"/>
      <c r="U10" s="3223"/>
      <c r="V10" s="3226"/>
    </row>
    <row r="11" spans="1:22" s="3053" customFormat="1" ht="13.15" customHeight="1">
      <c r="A11" s="3088">
        <v>3</v>
      </c>
      <c r="B11" s="3550" t="s">
        <v>3188</v>
      </c>
      <c r="C11" s="3551"/>
      <c r="D11" s="3089">
        <f ca="1">D12+D14+D15+D16</f>
        <v>5986</v>
      </c>
      <c r="E11" s="3095">
        <f ca="1">D11/D6</f>
        <v>5.9083640957814321E-2</v>
      </c>
      <c r="F11" s="3091"/>
      <c r="G11" s="3251"/>
      <c r="I11" s="3226"/>
      <c r="J11" s="3654"/>
      <c r="K11" s="3656"/>
      <c r="L11" s="3246" t="s">
        <v>3189</v>
      </c>
      <c r="M11" s="3247">
        <v>50</v>
      </c>
      <c r="N11" s="3233">
        <v>2000</v>
      </c>
      <c r="O11" s="3248">
        <v>0.5</v>
      </c>
      <c r="P11" s="3248">
        <v>0.6</v>
      </c>
      <c r="Q11" s="3249">
        <v>365</v>
      </c>
      <c r="R11" s="3250">
        <f t="shared" si="0"/>
        <v>1095</v>
      </c>
      <c r="S11" s="3223"/>
      <c r="T11" s="3223"/>
      <c r="U11" s="3223"/>
      <c r="V11" s="3226"/>
    </row>
    <row r="12" spans="1:22" s="3053" customFormat="1" ht="13.15" customHeight="1">
      <c r="A12" s="3096" t="s">
        <v>3190</v>
      </c>
      <c r="B12" s="3660" t="s">
        <v>3191</v>
      </c>
      <c r="C12" s="3661"/>
      <c r="D12" s="3097">
        <f ca="1">ROUND(D13*1.2%*(1-30%),0)</f>
        <v>675</v>
      </c>
      <c r="E12" s="3098">
        <v>1.2E-2</v>
      </c>
      <c r="F12" s="3091" t="s">
        <v>3192</v>
      </c>
      <c r="G12" s="3251"/>
      <c r="I12" s="3226"/>
      <c r="J12" s="3654"/>
      <c r="K12" s="3656"/>
      <c r="L12" s="3246" t="s">
        <v>3193</v>
      </c>
      <c r="M12" s="3247">
        <v>36</v>
      </c>
      <c r="N12" s="3233">
        <v>2700</v>
      </c>
      <c r="O12" s="3248">
        <v>0.5</v>
      </c>
      <c r="P12" s="3248">
        <v>0.6</v>
      </c>
      <c r="Q12" s="3249">
        <v>365</v>
      </c>
      <c r="R12" s="3250">
        <f t="shared" si="0"/>
        <v>1064</v>
      </c>
      <c r="S12" s="3223"/>
      <c r="T12" s="3223"/>
      <c r="U12" s="3223"/>
      <c r="V12" s="3226"/>
    </row>
    <row r="13" spans="1:22" s="3053" customFormat="1" ht="13.15" customHeight="1">
      <c r="A13" s="3096"/>
      <c r="B13" s="3208"/>
      <c r="C13" s="3100" t="s">
        <v>3194</v>
      </c>
      <c r="D13" s="3253">
        <f ca="1">收益法!C29</f>
        <v>80394</v>
      </c>
      <c r="E13" s="3102"/>
      <c r="F13" s="3091"/>
      <c r="G13" s="3251"/>
      <c r="I13" s="3226"/>
      <c r="J13" s="3654"/>
      <c r="K13" s="3656"/>
      <c r="L13" s="3246" t="s">
        <v>3195</v>
      </c>
      <c r="M13" s="3247">
        <v>15</v>
      </c>
      <c r="N13" s="3233">
        <v>3200</v>
      </c>
      <c r="O13" s="3248">
        <v>0.5</v>
      </c>
      <c r="P13" s="3248">
        <v>0.6</v>
      </c>
      <c r="Q13" s="3249">
        <v>365</v>
      </c>
      <c r="R13" s="3250">
        <f t="shared" si="0"/>
        <v>526</v>
      </c>
      <c r="S13" s="3223"/>
      <c r="T13" s="3223"/>
      <c r="U13" s="3223"/>
      <c r="V13" s="3226"/>
    </row>
    <row r="14" spans="1:22" s="3053" customFormat="1" ht="13.15" customHeight="1">
      <c r="A14" s="3096" t="s">
        <v>3196</v>
      </c>
      <c r="B14" s="3543" t="s">
        <v>3197</v>
      </c>
      <c r="C14" s="3544"/>
      <c r="D14" s="3097">
        <f>ROUND(E14*B5/10000,0)</f>
        <v>4</v>
      </c>
      <c r="E14" s="3254">
        <f>'数据-取费表'!B59</f>
        <v>1.5</v>
      </c>
      <c r="F14" s="3091" t="s">
        <v>3198</v>
      </c>
      <c r="G14" s="3251"/>
      <c r="I14" s="3226"/>
      <c r="J14" s="3654"/>
      <c r="K14" s="3657"/>
      <c r="L14" s="3255" t="s">
        <v>3199</v>
      </c>
      <c r="M14" s="3256">
        <f>SUM(M7:M13)</f>
        <v>527</v>
      </c>
      <c r="N14" s="3256">
        <f>ROUND((N7*M7+N8*M8+N9*M9+N10*M10+N11*M11+N12*M12+N13*M13)/M14,0)</f>
        <v>1831</v>
      </c>
      <c r="O14" s="3257"/>
      <c r="P14" s="3257"/>
      <c r="Q14" s="3258"/>
      <c r="R14" s="3091">
        <f>SUM(R7:R13)</f>
        <v>10567</v>
      </c>
      <c r="S14" s="3223"/>
      <c r="T14" s="3223"/>
      <c r="U14" s="3223"/>
      <c r="V14" s="3226"/>
    </row>
    <row r="15" spans="1:22" s="3053" customFormat="1" ht="13.15" customHeight="1">
      <c r="A15" s="3096" t="s">
        <v>3200</v>
      </c>
      <c r="B15" s="3543" t="s">
        <v>3201</v>
      </c>
      <c r="C15" s="3544"/>
      <c r="D15" s="3259">
        <f>ROUND(D6*E15/(1+5%),0)</f>
        <v>5307</v>
      </c>
      <c r="E15" s="3098">
        <v>5.5E-2</v>
      </c>
      <c r="F15" s="3091" t="s">
        <v>3202</v>
      </c>
      <c r="G15" s="3243"/>
      <c r="I15" s="3226"/>
      <c r="J15" s="3654">
        <v>2</v>
      </c>
      <c r="K15" s="3655" t="s">
        <v>3203</v>
      </c>
      <c r="L15" s="3246" t="s">
        <v>3204</v>
      </c>
      <c r="M15" s="3247" t="s">
        <v>3205</v>
      </c>
      <c r="N15" s="3247" t="s">
        <v>3206</v>
      </c>
      <c r="O15" s="3248" t="s">
        <v>3207</v>
      </c>
      <c r="P15" s="3248" t="s">
        <v>3208</v>
      </c>
      <c r="Q15" s="3233" t="s">
        <v>3209</v>
      </c>
      <c r="R15" s="3260" t="s">
        <v>3210</v>
      </c>
      <c r="S15" s="3223"/>
      <c r="T15" s="3223"/>
      <c r="U15" s="3223"/>
      <c r="V15" s="3226"/>
    </row>
    <row r="16" spans="1:22" s="3053" customFormat="1" ht="13.15" customHeight="1">
      <c r="A16" s="3096" t="s">
        <v>3211</v>
      </c>
      <c r="B16" s="3543" t="s">
        <v>3212</v>
      </c>
      <c r="C16" s="3544"/>
      <c r="D16" s="3259">
        <f>D6*E16</f>
        <v>0</v>
      </c>
      <c r="E16" s="3261"/>
      <c r="F16" s="3094" t="s">
        <v>3213</v>
      </c>
      <c r="G16" s="3243"/>
      <c r="I16" s="3226"/>
      <c r="J16" s="3654"/>
      <c r="K16" s="3656"/>
      <c r="L16" s="3246" t="s">
        <v>3214</v>
      </c>
      <c r="M16" s="3247">
        <v>100</v>
      </c>
      <c r="N16" s="3247">
        <v>100</v>
      </c>
      <c r="O16" s="3248">
        <v>1.2</v>
      </c>
      <c r="P16" s="3249">
        <v>365</v>
      </c>
      <c r="Q16" s="3233"/>
      <c r="R16" s="3260">
        <f>ROUND(M16*N16*O16*P16/10000,0)</f>
        <v>438</v>
      </c>
      <c r="S16" s="3223"/>
      <c r="T16" s="3223"/>
      <c r="U16" s="3223"/>
      <c r="V16" s="3226"/>
    </row>
    <row r="17" spans="1:22" s="3053" customFormat="1" ht="13.15" customHeight="1" thickBot="1">
      <c r="A17" s="3110">
        <v>4</v>
      </c>
      <c r="B17" s="3545" t="s">
        <v>3215</v>
      </c>
      <c r="C17" s="3546"/>
      <c r="D17" s="3111">
        <f>ROUND(D6*E17,0)</f>
        <v>10131</v>
      </c>
      <c r="E17" s="3262">
        <v>0.1</v>
      </c>
      <c r="F17" s="3113" t="s">
        <v>3216</v>
      </c>
      <c r="G17" s="3243"/>
      <c r="I17" s="3226"/>
      <c r="J17" s="3654"/>
      <c r="K17" s="3656"/>
      <c r="L17" s="3246" t="s">
        <v>3217</v>
      </c>
      <c r="M17" s="3247">
        <v>200</v>
      </c>
      <c r="N17" s="3247">
        <v>200</v>
      </c>
      <c r="O17" s="3248">
        <v>2</v>
      </c>
      <c r="P17" s="3249">
        <v>365</v>
      </c>
      <c r="Q17" s="3233"/>
      <c r="R17" s="3260">
        <f>ROUND(M17*N17*O17*P17/10000,0)</f>
        <v>2920</v>
      </c>
      <c r="S17" s="3223"/>
      <c r="T17" s="3223"/>
      <c r="U17" s="3223"/>
      <c r="V17" s="3226"/>
    </row>
    <row r="18" spans="1:22" s="3053" customFormat="1" ht="13.15" customHeight="1" thickBot="1">
      <c r="A18" s="3076" t="s">
        <v>3218</v>
      </c>
      <c r="B18" s="3077"/>
      <c r="C18" s="3077"/>
      <c r="D18" s="3114">
        <f>ROUND(D6*E18,0)</f>
        <v>15197</v>
      </c>
      <c r="E18" s="3263">
        <v>0.15</v>
      </c>
      <c r="F18" s="3116" t="s">
        <v>3219</v>
      </c>
      <c r="G18" s="3243"/>
      <c r="I18" s="3226"/>
      <c r="J18" s="3654"/>
      <c r="K18" s="3656"/>
      <c r="L18" s="3246" t="s">
        <v>3220</v>
      </c>
      <c r="M18" s="3247"/>
      <c r="N18" s="3247"/>
      <c r="O18" s="3248"/>
      <c r="P18" s="3249">
        <v>365</v>
      </c>
      <c r="Q18" s="3233"/>
      <c r="R18" s="3260">
        <f>ROUND(M18*N18*O18*P18/10000,0)</f>
        <v>0</v>
      </c>
      <c r="S18" s="3223"/>
      <c r="T18" s="3223"/>
      <c r="U18" s="3223"/>
      <c r="V18" s="3226"/>
    </row>
    <row r="19" spans="1:22" s="3053" customFormat="1" ht="13.15" customHeight="1" thickBot="1">
      <c r="A19" s="3117" t="s">
        <v>3221</v>
      </c>
      <c r="B19" s="3071"/>
      <c r="C19" s="3071"/>
      <c r="D19" s="3071"/>
      <c r="E19" s="3071"/>
      <c r="F19" s="3072"/>
      <c r="G19" s="3251"/>
      <c r="I19" s="3226"/>
      <c r="J19" s="3654"/>
      <c r="K19" s="3657"/>
      <c r="L19" s="3255" t="s">
        <v>3199</v>
      </c>
      <c r="M19" s="3256"/>
      <c r="N19" s="3256">
        <f>SUM(N16:N18)</f>
        <v>300</v>
      </c>
      <c r="O19" s="3257"/>
      <c r="P19" s="3264" t="s">
        <v>3222</v>
      </c>
      <c r="Q19" s="3248">
        <v>0.5</v>
      </c>
      <c r="R19" s="3265">
        <f>ROUND(IF(P19="按比例",R14*Q19,SUM(R16:R18)),0)</f>
        <v>5284</v>
      </c>
      <c r="S19" s="3223"/>
      <c r="T19" s="3223"/>
      <c r="U19" s="3223"/>
      <c r="V19" s="3226"/>
    </row>
    <row r="20" spans="1:22" s="3053" customFormat="1" ht="13.15" customHeight="1">
      <c r="A20" s="3076"/>
      <c r="B20" s="3077"/>
      <c r="C20" s="3077"/>
      <c r="D20" s="3077"/>
      <c r="E20" s="3077"/>
      <c r="F20" s="3120"/>
      <c r="G20" s="3251"/>
      <c r="I20" s="3226"/>
      <c r="J20" s="3654">
        <v>3</v>
      </c>
      <c r="K20" s="3655" t="s">
        <v>3223</v>
      </c>
      <c r="L20" s="3246" t="s">
        <v>3224</v>
      </c>
      <c r="M20" s="3247" t="s">
        <v>3225</v>
      </c>
      <c r="N20" s="3266" t="s">
        <v>3226</v>
      </c>
      <c r="O20" s="3248" t="s">
        <v>3227</v>
      </c>
      <c r="P20" s="3249" t="s">
        <v>3228</v>
      </c>
      <c r="Q20" s="3233" t="s">
        <v>3229</v>
      </c>
      <c r="R20" s="3260" t="s">
        <v>3230</v>
      </c>
      <c r="S20" s="3267"/>
      <c r="T20" s="3267"/>
      <c r="U20" s="3267"/>
      <c r="V20" s="3226"/>
    </row>
    <row r="21" spans="1:22" s="3053" customFormat="1" ht="13.15" customHeight="1">
      <c r="A21" s="3076"/>
      <c r="B21" s="3077"/>
      <c r="C21" s="3206" t="s">
        <v>3231</v>
      </c>
      <c r="D21" s="3124" t="s">
        <v>3232</v>
      </c>
      <c r="E21" s="3207" t="s">
        <v>3233</v>
      </c>
      <c r="F21" s="3120"/>
      <c r="G21" s="3251"/>
      <c r="I21" s="3226"/>
      <c r="J21" s="3654"/>
      <c r="K21" s="3656"/>
      <c r="L21" s="3246" t="s">
        <v>3234</v>
      </c>
      <c r="M21" s="3247">
        <v>2</v>
      </c>
      <c r="N21" s="3247">
        <v>3000</v>
      </c>
      <c r="O21" s="3248">
        <v>0.3</v>
      </c>
      <c r="P21" s="3249">
        <v>365</v>
      </c>
      <c r="Q21" s="3233"/>
      <c r="R21" s="3268">
        <f>ROUND(M21*N21*O21*P21/10000,0)</f>
        <v>66</v>
      </c>
      <c r="S21" s="3267"/>
      <c r="T21" s="3267"/>
      <c r="U21" s="3267"/>
      <c r="V21" s="3226"/>
    </row>
    <row r="22" spans="1:22" s="3053" customFormat="1" ht="13.15" customHeight="1">
      <c r="A22" s="3076"/>
      <c r="B22" s="3077"/>
      <c r="C22" s="3269" t="s">
        <v>3235</v>
      </c>
      <c r="D22" s="3270" t="s">
        <v>3236</v>
      </c>
      <c r="E22" s="3271" t="s">
        <v>3237</v>
      </c>
      <c r="F22" s="3120"/>
      <c r="G22" s="3272"/>
      <c r="I22" s="3226"/>
      <c r="J22" s="3654"/>
      <c r="K22" s="3656"/>
      <c r="L22" s="3246" t="s">
        <v>3238</v>
      </c>
      <c r="M22" s="3247">
        <v>5</v>
      </c>
      <c r="N22" s="3247">
        <v>1500</v>
      </c>
      <c r="O22" s="3248">
        <v>0.5</v>
      </c>
      <c r="P22" s="3249">
        <v>365</v>
      </c>
      <c r="Q22" s="3233"/>
      <c r="R22" s="3268">
        <f>ROUND(M22*N22*O22*P22/10000,0)</f>
        <v>137</v>
      </c>
      <c r="S22" s="3267"/>
      <c r="T22" s="3267"/>
      <c r="U22" s="3267"/>
      <c r="V22" s="3226"/>
    </row>
    <row r="23" spans="1:22" s="3053" customFormat="1" ht="13.15" customHeight="1">
      <c r="A23" s="3131">
        <v>1</v>
      </c>
      <c r="B23" s="3132" t="s">
        <v>3239</v>
      </c>
      <c r="C23" s="3133">
        <f>D6</f>
        <v>101314</v>
      </c>
      <c r="D23" s="3134">
        <f>C23*(1+D24)</f>
        <v>101314</v>
      </c>
      <c r="E23" s="3135">
        <f>D23*(1+E24)</f>
        <v>101314</v>
      </c>
      <c r="F23" s="3136"/>
      <c r="G23" s="3273"/>
      <c r="I23" s="3226"/>
      <c r="J23" s="3654"/>
      <c r="K23" s="3656"/>
      <c r="L23" s="3246" t="s">
        <v>3240</v>
      </c>
      <c r="M23" s="3247">
        <v>8</v>
      </c>
      <c r="N23" s="3247">
        <v>1000</v>
      </c>
      <c r="O23" s="3248">
        <v>0.6</v>
      </c>
      <c r="P23" s="3249">
        <v>365</v>
      </c>
      <c r="Q23" s="3233"/>
      <c r="R23" s="3268">
        <f>ROUND(M23*N23*O23*P23/10000,0)</f>
        <v>175</v>
      </c>
      <c r="S23" s="3223"/>
      <c r="T23" s="3223"/>
      <c r="U23" s="3223"/>
      <c r="V23" s="3226"/>
    </row>
    <row r="24" spans="1:22" s="3053" customFormat="1" ht="13.15" customHeight="1">
      <c r="A24" s="3138"/>
      <c r="B24" s="3139" t="s">
        <v>3241</v>
      </c>
      <c r="C24" s="3140"/>
      <c r="D24" s="3274"/>
      <c r="E24" s="3275"/>
      <c r="F24" s="3143"/>
      <c r="G24" s="3273"/>
      <c r="I24" s="3226"/>
      <c r="J24" s="3654"/>
      <c r="K24" s="3657"/>
      <c r="L24" s="3255" t="s">
        <v>3199</v>
      </c>
      <c r="M24" s="3256">
        <f>SUM(M21:M23)</f>
        <v>15</v>
      </c>
      <c r="N24" s="3256"/>
      <c r="O24" s="3257"/>
      <c r="P24" s="3264" t="s">
        <v>3222</v>
      </c>
      <c r="Q24" s="3248">
        <v>0.1</v>
      </c>
      <c r="R24" s="3265">
        <f>ROUND(IF(P24="按比例",R14*Q24,SUM(R21:R23)),0)</f>
        <v>1057</v>
      </c>
      <c r="S24" s="3223"/>
      <c r="T24" s="3223"/>
      <c r="U24" s="3223"/>
      <c r="V24" s="3226"/>
    </row>
    <row r="25" spans="1:22" s="3150" customFormat="1" ht="13.15" customHeight="1">
      <c r="A25" s="3138"/>
      <c r="B25" s="3139"/>
      <c r="C25" s="3140"/>
      <c r="D25" s="3274"/>
      <c r="E25" s="3275"/>
      <c r="F25" s="3143"/>
      <c r="G25" s="3272"/>
      <c r="H25" s="3053"/>
      <c r="I25" s="3226"/>
      <c r="J25" s="3276">
        <v>4</v>
      </c>
      <c r="K25" s="3277" t="s">
        <v>3242</v>
      </c>
      <c r="L25" s="3278"/>
      <c r="M25" s="3278"/>
      <c r="N25" s="3278"/>
      <c r="O25" s="3278"/>
      <c r="P25" s="3279"/>
      <c r="Q25" s="3280">
        <v>0.1</v>
      </c>
      <c r="R25" s="3265">
        <f>ROUND(R14*Q25,0)</f>
        <v>1057</v>
      </c>
      <c r="S25" s="3223"/>
      <c r="T25" s="3223"/>
      <c r="U25" s="3223"/>
      <c r="V25" s="3281"/>
    </row>
    <row r="26" spans="1:22" s="3150" customFormat="1" ht="13.15" customHeight="1">
      <c r="A26" s="3131">
        <v>2</v>
      </c>
      <c r="B26" s="3132" t="s">
        <v>3243</v>
      </c>
      <c r="C26" s="3133">
        <f ca="1">D7</f>
        <v>36380</v>
      </c>
      <c r="D26" s="3134">
        <f>D23*D27</f>
        <v>0</v>
      </c>
      <c r="E26" s="3135">
        <f>E23*E27</f>
        <v>0</v>
      </c>
      <c r="F26" s="3136"/>
      <c r="G26" s="3273"/>
      <c r="H26" s="3053"/>
      <c r="I26" s="3226"/>
      <c r="J26" s="3662">
        <v>5</v>
      </c>
      <c r="K26" s="3282" t="s">
        <v>3244</v>
      </c>
      <c r="L26" s="3283"/>
      <c r="M26" s="3284"/>
      <c r="N26" s="3285" t="s">
        <v>3245</v>
      </c>
      <c r="O26" s="3285" t="s">
        <v>3246</v>
      </c>
      <c r="P26" s="3286" t="s">
        <v>3247</v>
      </c>
      <c r="Q26" s="3286" t="s">
        <v>3248</v>
      </c>
      <c r="R26" s="3232" t="s">
        <v>3210</v>
      </c>
      <c r="S26" s="3287"/>
      <c r="T26" s="3287"/>
      <c r="U26" s="3287"/>
      <c r="V26" s="3281"/>
    </row>
    <row r="27" spans="1:22" s="3053" customFormat="1" ht="13.15" customHeight="1">
      <c r="A27" s="3138"/>
      <c r="B27" s="3139" t="s">
        <v>3249</v>
      </c>
      <c r="C27" s="3157">
        <f ca="1">E7</f>
        <v>0.35908364095781431</v>
      </c>
      <c r="D27" s="3274"/>
      <c r="E27" s="3275"/>
      <c r="F27" s="3143"/>
      <c r="G27" s="3273"/>
      <c r="H27" s="3150"/>
      <c r="I27" s="3281"/>
      <c r="J27" s="3663"/>
      <c r="K27" s="3288"/>
      <c r="L27" s="3289"/>
      <c r="M27" s="3290"/>
      <c r="N27" s="3291"/>
      <c r="O27" s="3291"/>
      <c r="P27" s="3291"/>
      <c r="Q27" s="3292"/>
      <c r="R27" s="3265">
        <f>ROUND(O27*N27*P27*(1-Q27)/10000,0)</f>
        <v>0</v>
      </c>
      <c r="S27" s="3223"/>
      <c r="T27" s="3223"/>
      <c r="U27" s="3223"/>
      <c r="V27" s="3226"/>
    </row>
    <row r="28" spans="1:22" s="3150" customFormat="1" ht="13.15" customHeight="1" thickBot="1">
      <c r="A28" s="3138"/>
      <c r="B28" s="3139"/>
      <c r="C28" s="3157"/>
      <c r="D28" s="3274"/>
      <c r="E28" s="3275" t="s">
        <v>3250</v>
      </c>
      <c r="F28" s="3143"/>
      <c r="G28" s="3272"/>
      <c r="I28" s="3281"/>
      <c r="J28" s="3293">
        <v>6</v>
      </c>
      <c r="K28" s="3294" t="s">
        <v>3251</v>
      </c>
      <c r="L28" s="3295" t="s">
        <v>3252</v>
      </c>
      <c r="M28" s="3296"/>
      <c r="N28" s="3295" t="s">
        <v>3253</v>
      </c>
      <c r="O28" s="3297" t="s">
        <v>3254</v>
      </c>
      <c r="P28" s="3295" t="s">
        <v>3255</v>
      </c>
      <c r="Q28" s="3298">
        <v>1.4999999999999999E-2</v>
      </c>
      <c r="R28" s="3299"/>
      <c r="S28" s="3267"/>
      <c r="T28" s="3267"/>
      <c r="U28" s="3267"/>
      <c r="V28" s="3281"/>
    </row>
    <row r="29" spans="1:22" s="3150" customFormat="1" ht="13.15" customHeight="1">
      <c r="A29" s="3131">
        <v>3</v>
      </c>
      <c r="B29" s="3132" t="s">
        <v>3256</v>
      </c>
      <c r="C29" s="3133">
        <f>C23*C30</f>
        <v>15197.099999999999</v>
      </c>
      <c r="D29" s="3134">
        <f>D23*C30</f>
        <v>15197.099999999999</v>
      </c>
      <c r="E29" s="3135">
        <f>E23*C30</f>
        <v>15197.099999999999</v>
      </c>
      <c r="F29" s="3136"/>
      <c r="G29" s="3273"/>
      <c r="H29" s="3053"/>
      <c r="I29" s="3226"/>
      <c r="J29" s="3267"/>
      <c r="K29" s="3267"/>
      <c r="L29" s="3267"/>
      <c r="M29" s="3267"/>
      <c r="N29" s="3267"/>
      <c r="O29" s="3267"/>
      <c r="P29" s="3267"/>
      <c r="Q29" s="3267"/>
      <c r="R29" s="3267"/>
      <c r="S29" s="3267"/>
      <c r="T29" s="3267"/>
      <c r="U29" s="3267"/>
      <c r="V29" s="3281"/>
    </row>
    <row r="30" spans="1:22" s="3053" customFormat="1" ht="13.15" customHeight="1" thickBot="1">
      <c r="A30" s="3138"/>
      <c r="B30" s="3139" t="s">
        <v>3249</v>
      </c>
      <c r="C30" s="3157">
        <f>E18</f>
        <v>0.15</v>
      </c>
      <c r="D30" s="3171"/>
      <c r="E30" s="3102"/>
      <c r="F30" s="3143"/>
      <c r="G30" s="3273"/>
      <c r="H30" s="3150"/>
      <c r="I30" s="3281"/>
      <c r="J30" s="3267"/>
      <c r="K30" s="3267"/>
      <c r="L30" s="3267"/>
      <c r="M30" s="3267"/>
      <c r="N30" s="3267"/>
      <c r="O30" s="3267"/>
      <c r="P30" s="3267"/>
      <c r="Q30" s="3267"/>
      <c r="R30" s="3267"/>
      <c r="S30" s="3267"/>
      <c r="T30" s="3267"/>
      <c r="U30" s="3223"/>
      <c r="V30" s="3226"/>
    </row>
    <row r="31" spans="1:22" s="3150" customFormat="1" ht="13.15" customHeight="1">
      <c r="A31" s="3138"/>
      <c r="B31" s="3139"/>
      <c r="C31" s="3300"/>
      <c r="D31" s="3171"/>
      <c r="E31" s="3102"/>
      <c r="F31" s="3143"/>
      <c r="G31" s="3272"/>
      <c r="I31" s="3281"/>
      <c r="J31" s="3220" t="s">
        <v>3257</v>
      </c>
      <c r="K31" s="3221"/>
      <c r="L31" s="3221"/>
      <c r="M31" s="3221"/>
      <c r="N31" s="3221"/>
      <c r="O31" s="3221"/>
      <c r="P31" s="3221"/>
      <c r="Q31" s="3221"/>
      <c r="R31" s="3222"/>
      <c r="S31" s="3267"/>
      <c r="T31" s="3223"/>
      <c r="U31" s="3223"/>
      <c r="V31" s="3281"/>
    </row>
    <row r="32" spans="1:22" s="3150" customFormat="1" ht="13.15" customHeight="1">
      <c r="A32" s="3131">
        <v>4</v>
      </c>
      <c r="B32" s="3132" t="s">
        <v>3258</v>
      </c>
      <c r="C32" s="3133">
        <f ca="1">C23-C26-C29</f>
        <v>49736.9</v>
      </c>
      <c r="D32" s="3134">
        <f>D23-D26-D29</f>
        <v>86116.9</v>
      </c>
      <c r="E32" s="3135">
        <f>E23-E26-E29</f>
        <v>86116.9</v>
      </c>
      <c r="F32" s="3136"/>
      <c r="G32" s="3272"/>
      <c r="H32" s="3053"/>
      <c r="I32" s="3226"/>
      <c r="J32" s="3651" t="s">
        <v>3259</v>
      </c>
      <c r="K32" s="3652"/>
      <c r="L32" s="3227" t="s">
        <v>3260</v>
      </c>
      <c r="M32" s="3227" t="s">
        <v>3008</v>
      </c>
      <c r="N32" s="3227" t="s">
        <v>3009</v>
      </c>
      <c r="O32" s="3227" t="s">
        <v>3010</v>
      </c>
      <c r="P32" s="3227" t="s">
        <v>3011</v>
      </c>
      <c r="Q32" s="3228" t="s">
        <v>3153</v>
      </c>
      <c r="R32" s="3090" t="s">
        <v>3154</v>
      </c>
      <c r="S32" s="3267"/>
      <c r="T32" s="3223"/>
      <c r="U32" s="3223"/>
      <c r="V32" s="3281"/>
    </row>
    <row r="33" spans="1:23" s="3053" customFormat="1" ht="13.15" customHeight="1">
      <c r="A33" s="3131"/>
      <c r="B33" s="3132"/>
      <c r="C33" s="3133"/>
      <c r="D33" s="3174"/>
      <c r="E33" s="3209"/>
      <c r="F33" s="3136"/>
      <c r="G33" s="3272"/>
      <c r="H33" s="3150"/>
      <c r="I33" s="3281"/>
      <c r="J33" s="3653" t="s">
        <v>3157</v>
      </c>
      <c r="K33" s="3551"/>
      <c r="L33" s="3230">
        <v>20000</v>
      </c>
      <c r="M33" s="3230">
        <v>500</v>
      </c>
      <c r="N33" s="3230">
        <v>500</v>
      </c>
      <c r="O33" s="3230">
        <v>10000</v>
      </c>
      <c r="P33" s="3230">
        <v>10000</v>
      </c>
      <c r="Q33" s="3231">
        <v>500</v>
      </c>
      <c r="R33" s="3301">
        <f>SUM(L33:Q33)</f>
        <v>41500</v>
      </c>
      <c r="S33" s="3267"/>
      <c r="T33" s="3223"/>
      <c r="U33" s="3223"/>
      <c r="V33" s="3226"/>
    </row>
    <row r="34" spans="1:23" s="3053" customFormat="1" ht="13.15" customHeight="1">
      <c r="A34" s="3131">
        <v>5</v>
      </c>
      <c r="B34" s="3132" t="s">
        <v>3261</v>
      </c>
      <c r="C34" s="3302">
        <f>'数据-取费表'!I6</f>
        <v>5.5E-2</v>
      </c>
      <c r="D34" s="3303"/>
      <c r="E34" s="3304"/>
      <c r="F34" s="3136"/>
      <c r="G34" s="3272"/>
      <c r="H34" s="3150"/>
      <c r="I34" s="3281"/>
      <c r="J34" s="3653" t="s">
        <v>3262</v>
      </c>
      <c r="K34" s="3551"/>
      <c r="L34" s="3234">
        <v>6500</v>
      </c>
      <c r="M34" s="3234">
        <v>150</v>
      </c>
      <c r="N34" s="3234">
        <v>150</v>
      </c>
      <c r="O34" s="3234">
        <v>3500</v>
      </c>
      <c r="P34" s="3234">
        <v>3500</v>
      </c>
      <c r="Q34" s="3235">
        <v>150</v>
      </c>
      <c r="R34" s="3305">
        <f>SUM(L34:Q34)</f>
        <v>13950</v>
      </c>
      <c r="S34" s="3267"/>
      <c r="T34" s="3223"/>
      <c r="U34" s="3223">
        <f>ROUND(R35*10000/365/R33,1)</f>
        <v>7.3</v>
      </c>
      <c r="V34" s="3226"/>
    </row>
    <row r="35" spans="1:23" s="3053" customFormat="1" ht="13.15" customHeight="1">
      <c r="A35" s="3131">
        <v>6</v>
      </c>
      <c r="B35" s="3132" t="s">
        <v>3263</v>
      </c>
      <c r="C35" s="3306">
        <f>'数据-取费表'!V6</f>
        <v>0.03</v>
      </c>
      <c r="D35" s="3307"/>
      <c r="E35" s="3308"/>
      <c r="F35" s="3136"/>
      <c r="G35" s="3309"/>
      <c r="I35" s="3281"/>
      <c r="J35" s="3239" t="s">
        <v>3160</v>
      </c>
      <c r="K35" s="3240"/>
      <c r="L35" s="3240"/>
      <c r="M35" s="3241"/>
      <c r="N35" s="3241"/>
      <c r="O35" s="3241"/>
      <c r="P35" s="3241"/>
      <c r="Q35" s="3241"/>
      <c r="R35" s="3206">
        <f>R40+R41+R43</f>
        <v>11078</v>
      </c>
      <c r="S35" s="3267"/>
      <c r="T35" s="3223" t="s">
        <v>3161</v>
      </c>
      <c r="U35" s="3223"/>
      <c r="V35" s="3226"/>
    </row>
    <row r="36" spans="1:23" s="3053" customFormat="1" ht="13.15" customHeight="1" thickBot="1">
      <c r="A36" s="3131">
        <v>7</v>
      </c>
      <c r="B36" s="3186" t="s">
        <v>3264</v>
      </c>
      <c r="C36" s="3310">
        <f>项目基本情况!E15</f>
        <v>20.61</v>
      </c>
      <c r="D36" s="3311"/>
      <c r="E36" s="3312"/>
      <c r="F36" s="3190">
        <f>C36+D36+E36</f>
        <v>20.61</v>
      </c>
      <c r="G36" s="3272"/>
      <c r="I36" s="3226"/>
      <c r="J36" s="3654">
        <v>1</v>
      </c>
      <c r="K36" s="3655" t="s">
        <v>3265</v>
      </c>
      <c r="L36" s="3244"/>
      <c r="M36" s="3132"/>
      <c r="N36" s="3132"/>
      <c r="O36" s="3132"/>
      <c r="P36" s="3132"/>
      <c r="Q36" s="3132"/>
      <c r="R36" s="3232" t="s">
        <v>3170</v>
      </c>
      <c r="S36" s="3267"/>
      <c r="T36" s="3223" t="s">
        <v>3171</v>
      </c>
      <c r="U36" s="3223"/>
      <c r="V36" s="3226"/>
    </row>
    <row r="37" spans="1:23" s="3053" customFormat="1" ht="13.15" customHeight="1">
      <c r="A37" s="3131"/>
      <c r="B37" s="3132"/>
      <c r="C37" s="3132"/>
      <c r="D37" s="3132"/>
      <c r="E37" s="3132"/>
      <c r="F37" s="3136"/>
      <c r="G37" s="3272"/>
      <c r="I37" s="3226"/>
      <c r="J37" s="3654"/>
      <c r="K37" s="3656"/>
      <c r="L37" s="3246"/>
      <c r="M37" s="3247"/>
      <c r="N37" s="3233"/>
      <c r="O37" s="3248"/>
      <c r="P37" s="3248"/>
      <c r="Q37" s="3249"/>
      <c r="R37" s="3250">
        <v>10000</v>
      </c>
      <c r="S37" s="3267"/>
      <c r="T37" s="3223" t="s">
        <v>3266</v>
      </c>
      <c r="U37" s="3223"/>
      <c r="V37" s="3226"/>
    </row>
    <row r="38" spans="1:23" s="3053" customFormat="1" ht="13.15" customHeight="1">
      <c r="A38" s="3131">
        <v>8</v>
      </c>
      <c r="B38" s="3132"/>
      <c r="C38" s="3089">
        <f ca="1">ROUND(C32*(1-((1+C35)/(1+C34))^C36)/(C34-C35),0)</f>
        <v>775862</v>
      </c>
      <c r="D38" s="3089" t="e">
        <f>ROUND(D32*(1-((1+D35)/(1+D34))^D36)/(D34-D35),0)</f>
        <v>#DIV/0!</v>
      </c>
      <c r="E38" s="3089" t="e">
        <f>ROUND(E32*(1-((1+E35)/(1+E34))^E36)/(E34-E35),0)</f>
        <v>#DIV/0!</v>
      </c>
      <c r="F38" s="3136"/>
      <c r="G38" s="3272"/>
      <c r="I38" s="3226"/>
      <c r="J38" s="3654"/>
      <c r="K38" s="3656"/>
      <c r="L38" s="3246"/>
      <c r="M38" s="3247"/>
      <c r="N38" s="3233"/>
      <c r="O38" s="3248"/>
      <c r="P38" s="3248"/>
      <c r="Q38" s="3249"/>
      <c r="R38" s="3250"/>
      <c r="S38" s="3267"/>
      <c r="T38" s="3223" t="s">
        <v>3267</v>
      </c>
      <c r="U38" s="3223"/>
      <c r="V38" s="3226"/>
    </row>
    <row r="39" spans="1:23" s="3053" customFormat="1" ht="13.15" customHeight="1">
      <c r="A39" s="3131">
        <v>9</v>
      </c>
      <c r="B39" s="3132" t="s">
        <v>3268</v>
      </c>
      <c r="C39" s="3097">
        <f ca="1">C38</f>
        <v>775862</v>
      </c>
      <c r="D39" s="3132">
        <v>0</v>
      </c>
      <c r="E39" s="3132">
        <v>0</v>
      </c>
      <c r="F39" s="3136"/>
      <c r="G39" s="3313"/>
      <c r="I39" s="3226"/>
      <c r="J39" s="3654"/>
      <c r="K39" s="3656"/>
      <c r="L39" s="3246"/>
      <c r="M39" s="3247"/>
      <c r="N39" s="3233"/>
      <c r="O39" s="3248"/>
      <c r="P39" s="3248"/>
      <c r="Q39" s="3249"/>
      <c r="R39" s="3250"/>
      <c r="S39" s="3267"/>
      <c r="T39" s="3223"/>
      <c r="U39" s="3223"/>
      <c r="V39" s="3226"/>
    </row>
    <row r="40" spans="1:23" s="3053" customFormat="1" ht="13.15" customHeight="1">
      <c r="A40" s="3192">
        <v>10</v>
      </c>
      <c r="B40" s="3132" t="s">
        <v>3269</v>
      </c>
      <c r="C40" s="3193">
        <f ca="1">C39+D39+E39</f>
        <v>775862</v>
      </c>
      <c r="D40" s="3194"/>
      <c r="E40" s="3194"/>
      <c r="F40" s="3195"/>
      <c r="G40" s="3272"/>
      <c r="I40" s="3226"/>
      <c r="J40" s="3654"/>
      <c r="K40" s="3657"/>
      <c r="L40" s="3255" t="s">
        <v>3270</v>
      </c>
      <c r="M40" s="3256"/>
      <c r="N40" s="3256"/>
      <c r="O40" s="3257"/>
      <c r="P40" s="3257"/>
      <c r="Q40" s="3258"/>
      <c r="R40" s="3091">
        <f>SUM(R37:R39)</f>
        <v>10000</v>
      </c>
      <c r="S40" s="3267"/>
      <c r="T40" s="3223"/>
      <c r="U40" s="3223"/>
      <c r="V40" s="3226"/>
    </row>
    <row r="41" spans="1:23" s="3053" customFormat="1" ht="13.15" customHeight="1" thickBot="1">
      <c r="A41" s="3196">
        <v>11</v>
      </c>
      <c r="B41" s="3197" t="s">
        <v>3271</v>
      </c>
      <c r="C41" s="3197">
        <f ca="1">ROUND(C40*10000/B4,0)</f>
        <v>76436</v>
      </c>
      <c r="D41" s="3198"/>
      <c r="E41" s="3198"/>
      <c r="F41" s="3199"/>
      <c r="G41" s="3314"/>
      <c r="I41" s="3226"/>
      <c r="J41" s="3276">
        <v>2</v>
      </c>
      <c r="K41" s="3277" t="s">
        <v>3272</v>
      </c>
      <c r="L41" s="3278"/>
      <c r="M41" s="3278"/>
      <c r="N41" s="3278"/>
      <c r="O41" s="3278"/>
      <c r="P41" s="3279"/>
      <c r="Q41" s="3280">
        <v>0.1</v>
      </c>
      <c r="R41" s="3265">
        <f>ROUND(R40*Q41,0)</f>
        <v>1000</v>
      </c>
      <c r="S41" s="3267"/>
      <c r="T41" s="3223"/>
      <c r="U41" s="3287"/>
      <c r="V41" s="3226"/>
    </row>
    <row r="42" spans="1:23" s="3053" customFormat="1" ht="13.15" customHeight="1">
      <c r="G42" s="3314"/>
      <c r="I42" s="3226"/>
      <c r="J42" s="3662">
        <v>3</v>
      </c>
      <c r="K42" s="3282" t="s">
        <v>3273</v>
      </c>
      <c r="L42" s="3283"/>
      <c r="M42" s="3284"/>
      <c r="N42" s="3285" t="s">
        <v>3274</v>
      </c>
      <c r="O42" s="3285" t="s">
        <v>3275</v>
      </c>
      <c r="P42" s="3286" t="s">
        <v>3276</v>
      </c>
      <c r="Q42" s="3286" t="s">
        <v>3277</v>
      </c>
      <c r="R42" s="3232" t="s">
        <v>3278</v>
      </c>
      <c r="S42" s="3287"/>
      <c r="T42" s="3287"/>
      <c r="U42" s="3223"/>
      <c r="V42" s="3226"/>
    </row>
    <row r="43" spans="1:23" ht="13.15" customHeight="1">
      <c r="A43" s="3053"/>
      <c r="B43" s="3053"/>
      <c r="C43" s="3053"/>
      <c r="D43" s="3053"/>
      <c r="E43" s="3053"/>
      <c r="F43" s="3053"/>
      <c r="I43" s="3042"/>
      <c r="J43" s="3663"/>
      <c r="K43" s="3288"/>
      <c r="L43" s="3289"/>
      <c r="M43" s="3290"/>
      <c r="N43" s="3247">
        <f>Q33</f>
        <v>500</v>
      </c>
      <c r="O43" s="3247">
        <v>5</v>
      </c>
      <c r="P43" s="3247">
        <v>365</v>
      </c>
      <c r="Q43" s="3280">
        <v>0.15</v>
      </c>
      <c r="R43" s="3265">
        <f>ROUND(O43*N43*P43*(1-Q43)/10000,0)</f>
        <v>78</v>
      </c>
      <c r="S43" s="3267"/>
      <c r="T43" s="3223"/>
      <c r="V43" s="3316"/>
      <c r="W43" s="3203"/>
    </row>
    <row r="44" spans="1:23" ht="13.15" customHeight="1" thickBot="1">
      <c r="J44" s="3293">
        <v>6</v>
      </c>
      <c r="K44" s="3294" t="s">
        <v>3279</v>
      </c>
      <c r="L44" s="3317" t="s">
        <v>3280</v>
      </c>
      <c r="M44" s="3296"/>
      <c r="N44" s="3317" t="s">
        <v>3281</v>
      </c>
      <c r="O44" s="3296" t="s">
        <v>3282</v>
      </c>
      <c r="P44" s="3317" t="s">
        <v>3283</v>
      </c>
      <c r="Q44" s="3298">
        <v>1.4999999999999999E-2</v>
      </c>
      <c r="R44" s="3299"/>
    </row>
    <row r="51" spans="3:3" ht="13.15" customHeight="1">
      <c r="C51" s="3318"/>
    </row>
  </sheetData>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664" t="s">
        <v>183</v>
      </c>
      <c r="B18" s="821" t="s">
        <v>560</v>
      </c>
      <c r="C18" s="822" t="s">
        <v>561</v>
      </c>
      <c r="D18" s="823"/>
      <c r="E18" s="821">
        <v>1</v>
      </c>
      <c r="F18" s="824" t="s">
        <v>562</v>
      </c>
      <c r="G18" s="825"/>
      <c r="H18" s="817"/>
      <c r="I18" s="817"/>
    </row>
    <row r="19" spans="1:9" s="826" customFormat="1" ht="19.5" customHeight="1">
      <c r="A19" s="3664"/>
      <c r="B19" s="3664" t="s">
        <v>563</v>
      </c>
      <c r="C19" s="822" t="s">
        <v>564</v>
      </c>
      <c r="D19" s="823"/>
      <c r="E19" s="821">
        <v>0.9</v>
      </c>
      <c r="F19" s="824" t="s">
        <v>565</v>
      </c>
      <c r="G19" s="825"/>
      <c r="H19" s="817"/>
      <c r="I19" s="817"/>
    </row>
    <row r="20" spans="1:9" s="826" customFormat="1" ht="19.5" customHeight="1">
      <c r="A20" s="3664"/>
      <c r="B20" s="3664"/>
      <c r="C20" s="822" t="s">
        <v>566</v>
      </c>
      <c r="D20" s="823"/>
      <c r="E20" s="821">
        <v>1.1000000000000001</v>
      </c>
      <c r="F20" s="824" t="s">
        <v>567</v>
      </c>
      <c r="G20" s="825"/>
      <c r="H20" s="817"/>
      <c r="I20" s="817"/>
    </row>
    <row r="21" spans="1:9" s="826" customFormat="1" ht="19.5" customHeight="1">
      <c r="A21" s="3664"/>
      <c r="B21" s="3664"/>
      <c r="C21" s="822" t="s">
        <v>568</v>
      </c>
      <c r="D21" s="823"/>
      <c r="E21" s="821">
        <v>0.8</v>
      </c>
      <c r="F21" s="824" t="s">
        <v>569</v>
      </c>
      <c r="G21" s="825"/>
      <c r="H21" s="817"/>
      <c r="I21" s="817"/>
    </row>
    <row r="22" spans="1:9" s="826" customFormat="1" ht="19.5" customHeight="1">
      <c r="A22" s="3664"/>
      <c r="B22" s="3664"/>
      <c r="C22" s="822" t="s">
        <v>570</v>
      </c>
      <c r="D22" s="823"/>
      <c r="E22" s="821">
        <v>0.5</v>
      </c>
      <c r="F22" s="824"/>
      <c r="G22" s="825"/>
      <c r="H22" s="817"/>
      <c r="I22" s="817"/>
    </row>
    <row r="23" spans="1:9" s="826" customFormat="1" ht="19.5" customHeight="1">
      <c r="A23" s="3664" t="s">
        <v>184</v>
      </c>
      <c r="B23" s="821" t="s">
        <v>560</v>
      </c>
      <c r="C23" s="822" t="s">
        <v>571</v>
      </c>
      <c r="D23" s="823"/>
      <c r="E23" s="821">
        <v>1</v>
      </c>
      <c r="F23" s="824" t="s">
        <v>572</v>
      </c>
      <c r="G23" s="825"/>
      <c r="H23" s="817"/>
      <c r="I23" s="817"/>
    </row>
    <row r="24" spans="1:9" s="826" customFormat="1" ht="19.5" customHeight="1">
      <c r="A24" s="3664"/>
      <c r="B24" s="3664" t="s">
        <v>563</v>
      </c>
      <c r="C24" s="822" t="s">
        <v>573</v>
      </c>
      <c r="D24" s="823"/>
      <c r="E24" s="821">
        <v>0.5</v>
      </c>
      <c r="F24" s="824"/>
      <c r="G24" s="825"/>
      <c r="H24" s="817"/>
      <c r="I24" s="817"/>
    </row>
    <row r="25" spans="1:9" s="826" customFormat="1" ht="19.5" customHeight="1">
      <c r="A25" s="3664"/>
      <c r="B25" s="3664"/>
      <c r="C25" s="822" t="s">
        <v>574</v>
      </c>
      <c r="D25" s="823"/>
      <c r="E25" s="821">
        <v>1.1000000000000001</v>
      </c>
      <c r="F25" s="824"/>
      <c r="G25" s="825"/>
      <c r="H25" s="817"/>
      <c r="I25" s="817"/>
    </row>
    <row r="26" spans="1:9" s="826" customFormat="1" ht="19.5" customHeight="1">
      <c r="A26" s="3664"/>
      <c r="B26" s="3664"/>
      <c r="C26" s="822" t="s">
        <v>575</v>
      </c>
      <c r="D26" s="823"/>
      <c r="E26" s="821">
        <v>1.1000000000000001</v>
      </c>
      <c r="F26" s="824"/>
      <c r="G26" s="825"/>
      <c r="H26" s="817"/>
      <c r="I26" s="817"/>
    </row>
    <row r="27" spans="1:9" s="826" customFormat="1" ht="19.5" customHeight="1">
      <c r="A27" s="3664"/>
      <c r="B27" s="3664"/>
      <c r="C27" s="822" t="s">
        <v>576</v>
      </c>
      <c r="D27" s="823"/>
      <c r="E27" s="821">
        <v>0.9</v>
      </c>
      <c r="F27" s="824" t="s">
        <v>577</v>
      </c>
      <c r="G27" s="825"/>
      <c r="H27" s="817"/>
      <c r="I27" s="817"/>
    </row>
    <row r="28" spans="1:9" s="826" customFormat="1" ht="19.5" customHeight="1">
      <c r="A28" s="3664"/>
      <c r="B28" s="3664"/>
      <c r="C28" s="822" t="s">
        <v>578</v>
      </c>
      <c r="D28" s="823"/>
      <c r="E28" s="821">
        <v>0.9</v>
      </c>
      <c r="F28" s="824" t="s">
        <v>579</v>
      </c>
      <c r="G28" s="825"/>
      <c r="H28" s="817"/>
      <c r="I28" s="817"/>
    </row>
    <row r="29" spans="1:9" s="826" customFormat="1" ht="19.5" customHeight="1">
      <c r="A29" s="3664"/>
      <c r="B29" s="3664"/>
      <c r="C29" s="822" t="s">
        <v>580</v>
      </c>
      <c r="D29" s="823"/>
      <c r="E29" s="821">
        <v>0.9</v>
      </c>
      <c r="F29" s="824" t="s">
        <v>581</v>
      </c>
      <c r="G29" s="825"/>
      <c r="H29" s="817"/>
      <c r="I29" s="817"/>
    </row>
    <row r="30" spans="1:9" s="826" customFormat="1" ht="19.5" customHeight="1">
      <c r="A30" s="3664"/>
      <c r="B30" s="3664"/>
      <c r="C30" s="822" t="s">
        <v>582</v>
      </c>
      <c r="D30" s="823"/>
      <c r="E30" s="821">
        <v>0.9</v>
      </c>
      <c r="F30" s="824" t="s">
        <v>583</v>
      </c>
      <c r="G30" s="825"/>
      <c r="H30" s="817"/>
      <c r="I30" s="817"/>
    </row>
    <row r="31" spans="1:9" s="826" customFormat="1" ht="19.5" customHeight="1">
      <c r="A31" s="3664"/>
      <c r="B31" s="3664"/>
      <c r="C31" s="822" t="s">
        <v>584</v>
      </c>
      <c r="D31" s="823"/>
      <c r="E31" s="821">
        <v>0.8</v>
      </c>
      <c r="F31" s="824" t="s">
        <v>585</v>
      </c>
      <c r="G31" s="825"/>
      <c r="H31" s="817"/>
      <c r="I31" s="817"/>
    </row>
    <row r="32" spans="1:9" s="826" customFormat="1" ht="19.5" customHeight="1">
      <c r="A32" s="3664"/>
      <c r="B32" s="3664"/>
      <c r="C32" s="822" t="s">
        <v>586</v>
      </c>
      <c r="D32" s="823"/>
      <c r="E32" s="821">
        <v>0.8</v>
      </c>
      <c r="F32" s="824" t="s">
        <v>587</v>
      </c>
      <c r="G32" s="825"/>
      <c r="H32" s="817"/>
      <c r="I32" s="817"/>
    </row>
    <row r="33" spans="1:9" s="826" customFormat="1" ht="19.5" customHeight="1">
      <c r="A33" s="3664" t="s">
        <v>185</v>
      </c>
      <c r="B33" s="821" t="s">
        <v>560</v>
      </c>
      <c r="C33" s="822" t="s">
        <v>588</v>
      </c>
      <c r="D33" s="823"/>
      <c r="E33" s="821">
        <v>1</v>
      </c>
      <c r="F33" s="824" t="s">
        <v>589</v>
      </c>
      <c r="G33" s="825"/>
      <c r="H33" s="817"/>
      <c r="I33" s="817"/>
    </row>
    <row r="34" spans="1:9" s="826" customFormat="1" ht="19.5" customHeight="1">
      <c r="A34" s="3664"/>
      <c r="B34" s="821" t="s">
        <v>563</v>
      </c>
      <c r="C34" s="822" t="s">
        <v>590</v>
      </c>
      <c r="D34" s="823"/>
      <c r="E34" s="821">
        <v>1.5</v>
      </c>
      <c r="F34" s="824" t="s">
        <v>591</v>
      </c>
      <c r="G34" s="825"/>
      <c r="H34" s="817"/>
      <c r="I34" s="817"/>
    </row>
    <row r="35" spans="1:9" s="826" customFormat="1" ht="19.5" customHeight="1">
      <c r="A35" s="3664" t="s">
        <v>186</v>
      </c>
      <c r="B35" s="821" t="s">
        <v>560</v>
      </c>
      <c r="C35" s="822" t="s">
        <v>592</v>
      </c>
      <c r="D35" s="823"/>
      <c r="E35" s="821">
        <v>1</v>
      </c>
      <c r="F35" s="824" t="s">
        <v>593</v>
      </c>
      <c r="G35" s="825"/>
      <c r="H35" s="817"/>
      <c r="I35" s="817"/>
    </row>
    <row r="36" spans="1:9" s="826" customFormat="1" ht="19.5" customHeight="1">
      <c r="A36" s="3664"/>
      <c r="B36" s="3664" t="s">
        <v>563</v>
      </c>
      <c r="C36" s="822" t="s">
        <v>594</v>
      </c>
      <c r="D36" s="823"/>
      <c r="E36" s="821">
        <v>1</v>
      </c>
      <c r="F36" s="824" t="s">
        <v>595</v>
      </c>
      <c r="G36" s="825"/>
      <c r="H36" s="817"/>
      <c r="I36" s="817"/>
    </row>
    <row r="37" spans="1:9" s="826" customFormat="1" ht="19.5" customHeight="1">
      <c r="A37" s="3664"/>
      <c r="B37" s="3664"/>
      <c r="C37" s="822" t="s">
        <v>596</v>
      </c>
      <c r="D37" s="823"/>
      <c r="E37" s="821">
        <v>1.5</v>
      </c>
      <c r="F37" s="824" t="s">
        <v>597</v>
      </c>
      <c r="G37" s="825"/>
      <c r="H37" s="817"/>
      <c r="I37" s="817"/>
    </row>
    <row r="38" spans="1:9" s="826" customFormat="1" ht="19.5" customHeight="1">
      <c r="A38" s="3664"/>
      <c r="B38" s="3664"/>
      <c r="C38" s="822" t="s">
        <v>598</v>
      </c>
      <c r="D38" s="823"/>
      <c r="E38" s="821">
        <v>1</v>
      </c>
      <c r="F38" s="824" t="s">
        <v>599</v>
      </c>
      <c r="G38" s="825"/>
      <c r="H38" s="817"/>
      <c r="I38" s="817"/>
    </row>
    <row r="39" spans="1:9" s="826" customFormat="1" ht="19.5" customHeight="1">
      <c r="A39" s="3664"/>
      <c r="B39" s="366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664" t="s">
        <v>614</v>
      </c>
      <c r="C61" s="757" t="s">
        <v>615</v>
      </c>
      <c r="D61" s="757" t="s">
        <v>616</v>
      </c>
      <c r="E61" s="834">
        <v>0.5</v>
      </c>
      <c r="F61" s="821">
        <v>80</v>
      </c>
    </row>
    <row r="62" spans="1:8" s="817" customFormat="1" ht="24">
      <c r="A62" s="821">
        <v>2</v>
      </c>
      <c r="B62" s="3664"/>
      <c r="C62" s="757" t="s">
        <v>617</v>
      </c>
      <c r="D62" s="757" t="s">
        <v>618</v>
      </c>
      <c r="E62" s="834">
        <v>0.5</v>
      </c>
      <c r="F62" s="821">
        <v>80</v>
      </c>
    </row>
    <row r="63" spans="1:8" s="817" customFormat="1" ht="36">
      <c r="A63" s="821">
        <v>3</v>
      </c>
      <c r="B63" s="3664"/>
      <c r="C63" s="757" t="s">
        <v>619</v>
      </c>
      <c r="D63" s="757" t="s">
        <v>620</v>
      </c>
      <c r="E63" s="834">
        <v>0.5</v>
      </c>
      <c r="F63" s="821">
        <v>80</v>
      </c>
    </row>
    <row r="64" spans="1:8" s="817" customFormat="1" ht="36">
      <c r="A64" s="821">
        <v>4</v>
      </c>
      <c r="B64" s="3664"/>
      <c r="C64" s="757" t="s">
        <v>621</v>
      </c>
      <c r="D64" s="757" t="s">
        <v>622</v>
      </c>
      <c r="E64" s="834">
        <v>0.4</v>
      </c>
      <c r="F64" s="821">
        <v>60</v>
      </c>
    </row>
    <row r="65" spans="1:6" s="817" customFormat="1" ht="36">
      <c r="A65" s="821">
        <v>5</v>
      </c>
      <c r="B65" s="3664"/>
      <c r="C65" s="757" t="s">
        <v>623</v>
      </c>
      <c r="D65" s="757" t="s">
        <v>624</v>
      </c>
      <c r="E65" s="834">
        <v>0.2</v>
      </c>
      <c r="F65" s="821">
        <v>30</v>
      </c>
    </row>
    <row r="66" spans="1:6" s="817" customFormat="1" ht="36">
      <c r="A66" s="821">
        <v>6</v>
      </c>
      <c r="B66" s="3664"/>
      <c r="C66" s="757" t="s">
        <v>625</v>
      </c>
      <c r="D66" s="757" t="s">
        <v>626</v>
      </c>
      <c r="E66" s="834">
        <v>0.3</v>
      </c>
      <c r="F66" s="821">
        <v>50</v>
      </c>
    </row>
    <row r="67" spans="1:6" s="817" customFormat="1" ht="36">
      <c r="A67" s="821">
        <v>7</v>
      </c>
      <c r="B67" s="3664"/>
      <c r="C67" s="757" t="s">
        <v>627</v>
      </c>
      <c r="D67" s="757" t="s">
        <v>628</v>
      </c>
      <c r="E67" s="834">
        <v>0.2</v>
      </c>
      <c r="F67" s="821">
        <v>30</v>
      </c>
    </row>
    <row r="68" spans="1:6" s="817" customFormat="1" ht="36">
      <c r="A68" s="821">
        <v>8</v>
      </c>
      <c r="B68" s="3664"/>
      <c r="C68" s="757" t="s">
        <v>629</v>
      </c>
      <c r="D68" s="757" t="s">
        <v>630</v>
      </c>
      <c r="E68" s="834">
        <v>0.2</v>
      </c>
      <c r="F68" s="821">
        <v>30</v>
      </c>
    </row>
    <row r="69" spans="1:6" s="817" customFormat="1" ht="36">
      <c r="A69" s="821">
        <v>9</v>
      </c>
      <c r="B69" s="3664"/>
      <c r="C69" s="757" t="s">
        <v>631</v>
      </c>
      <c r="D69" s="757" t="s">
        <v>632</v>
      </c>
      <c r="E69" s="834">
        <v>0.2</v>
      </c>
      <c r="F69" s="821">
        <v>30</v>
      </c>
    </row>
    <row r="70" spans="1:6" s="817" customFormat="1" ht="48">
      <c r="A70" s="821">
        <v>10</v>
      </c>
      <c r="B70" s="3664"/>
      <c r="C70" s="757" t="s">
        <v>633</v>
      </c>
      <c r="D70" s="757" t="s">
        <v>634</v>
      </c>
      <c r="E70" s="834">
        <v>0.2</v>
      </c>
      <c r="F70" s="821">
        <v>30</v>
      </c>
    </row>
    <row r="71" spans="1:6" s="817" customFormat="1" ht="48">
      <c r="A71" s="821">
        <v>11</v>
      </c>
      <c r="B71" s="3664"/>
      <c r="C71" s="757" t="s">
        <v>635</v>
      </c>
      <c r="D71" s="757" t="s">
        <v>636</v>
      </c>
      <c r="E71" s="834">
        <v>0.2</v>
      </c>
      <c r="F71" s="821">
        <v>30</v>
      </c>
    </row>
    <row r="72" spans="1:6" s="817" customFormat="1" ht="36">
      <c r="A72" s="821">
        <v>12</v>
      </c>
      <c r="B72" s="3664"/>
      <c r="C72" s="757" t="s">
        <v>637</v>
      </c>
      <c r="D72" s="757" t="s">
        <v>638</v>
      </c>
      <c r="E72" s="834">
        <v>0.5</v>
      </c>
      <c r="F72" s="821">
        <v>80</v>
      </c>
    </row>
    <row r="73" spans="1:6" s="817" customFormat="1" ht="24">
      <c r="A73" s="821">
        <v>13</v>
      </c>
      <c r="B73" s="3664"/>
      <c r="C73" s="757" t="s">
        <v>639</v>
      </c>
      <c r="D73" s="757" t="s">
        <v>640</v>
      </c>
      <c r="E73" s="834">
        <v>0.4</v>
      </c>
      <c r="F73" s="821">
        <v>60</v>
      </c>
    </row>
    <row r="74" spans="1:6" s="817" customFormat="1" ht="24">
      <c r="A74" s="821">
        <v>14</v>
      </c>
      <c r="B74" s="3664"/>
      <c r="C74" s="757" t="s">
        <v>641</v>
      </c>
      <c r="D74" s="757" t="s">
        <v>642</v>
      </c>
      <c r="E74" s="834">
        <v>0.2</v>
      </c>
      <c r="F74" s="821">
        <v>30</v>
      </c>
    </row>
    <row r="75" spans="1:6" s="817" customFormat="1" ht="24">
      <c r="A75" s="821">
        <v>15</v>
      </c>
      <c r="B75" s="3664"/>
      <c r="C75" s="757" t="s">
        <v>643</v>
      </c>
      <c r="D75" s="757" t="s">
        <v>644</v>
      </c>
      <c r="E75" s="834">
        <v>0.2</v>
      </c>
      <c r="F75" s="821">
        <v>30</v>
      </c>
    </row>
    <row r="76" spans="1:6" s="817" customFormat="1" ht="24">
      <c r="A76" s="821">
        <v>16</v>
      </c>
      <c r="B76" s="3664" t="s">
        <v>645</v>
      </c>
      <c r="C76" s="757" t="s">
        <v>646</v>
      </c>
      <c r="D76" s="757" t="s">
        <v>647</v>
      </c>
      <c r="E76" s="834">
        <v>0.5</v>
      </c>
      <c r="F76" s="821">
        <v>80</v>
      </c>
    </row>
    <row r="77" spans="1:6" s="817" customFormat="1" ht="24">
      <c r="A77" s="821">
        <v>17</v>
      </c>
      <c r="B77" s="3664"/>
      <c r="C77" s="757" t="s">
        <v>648</v>
      </c>
      <c r="D77" s="757" t="s">
        <v>649</v>
      </c>
      <c r="E77" s="834">
        <v>0.5</v>
      </c>
      <c r="F77" s="821">
        <v>80</v>
      </c>
    </row>
    <row r="78" spans="1:6" s="817" customFormat="1" ht="24">
      <c r="A78" s="821">
        <v>18</v>
      </c>
      <c r="B78" s="3664"/>
      <c r="C78" s="757" t="s">
        <v>650</v>
      </c>
      <c r="D78" s="757" t="s">
        <v>651</v>
      </c>
      <c r="E78" s="834">
        <v>0.2</v>
      </c>
      <c r="F78" s="821">
        <v>30</v>
      </c>
    </row>
    <row r="79" spans="1:6" s="817" customFormat="1" ht="24">
      <c r="A79" s="821">
        <v>19</v>
      </c>
      <c r="B79" s="3664"/>
      <c r="C79" s="757" t="s">
        <v>652</v>
      </c>
      <c r="D79" s="757" t="s">
        <v>653</v>
      </c>
      <c r="E79" s="834">
        <v>0.5</v>
      </c>
      <c r="F79" s="821">
        <v>80</v>
      </c>
    </row>
    <row r="80" spans="1:6" s="817" customFormat="1" ht="36">
      <c r="A80" s="821">
        <v>20</v>
      </c>
      <c r="B80" s="3664"/>
      <c r="C80" s="757" t="s">
        <v>654</v>
      </c>
      <c r="D80" s="757" t="s">
        <v>655</v>
      </c>
      <c r="E80" s="834">
        <v>0.2</v>
      </c>
      <c r="F80" s="821">
        <v>30</v>
      </c>
    </row>
    <row r="81" spans="1:6" s="817" customFormat="1" ht="36">
      <c r="A81" s="821">
        <v>21</v>
      </c>
      <c r="B81" s="3664"/>
      <c r="C81" s="757" t="s">
        <v>656</v>
      </c>
      <c r="D81" s="757" t="s">
        <v>657</v>
      </c>
      <c r="E81" s="834">
        <v>0.2</v>
      </c>
      <c r="F81" s="821">
        <v>30</v>
      </c>
    </row>
    <row r="82" spans="1:6" s="817" customFormat="1" ht="48">
      <c r="A82" s="821">
        <v>22</v>
      </c>
      <c r="B82" s="3664"/>
      <c r="C82" s="757" t="s">
        <v>658</v>
      </c>
      <c r="D82" s="757" t="s">
        <v>659</v>
      </c>
      <c r="E82" s="834">
        <v>0.2</v>
      </c>
      <c r="F82" s="821">
        <v>30</v>
      </c>
    </row>
    <row r="83" spans="1:6" s="817" customFormat="1" ht="48">
      <c r="A83" s="821">
        <v>23</v>
      </c>
      <c r="B83" s="3664"/>
      <c r="C83" s="757" t="s">
        <v>660</v>
      </c>
      <c r="D83" s="757" t="s">
        <v>661</v>
      </c>
      <c r="E83" s="834">
        <v>0.2</v>
      </c>
      <c r="F83" s="821">
        <v>30</v>
      </c>
    </row>
    <row r="84" spans="1:6" s="817" customFormat="1" ht="36">
      <c r="A84" s="821">
        <v>24</v>
      </c>
      <c r="B84" s="3664"/>
      <c r="C84" s="757" t="s">
        <v>662</v>
      </c>
      <c r="D84" s="757" t="s">
        <v>663</v>
      </c>
      <c r="E84" s="834">
        <v>0.2</v>
      </c>
      <c r="F84" s="821">
        <v>30</v>
      </c>
    </row>
    <row r="85" spans="1:6" s="817" customFormat="1" ht="36">
      <c r="A85" s="821">
        <v>25</v>
      </c>
      <c r="B85" s="3664"/>
      <c r="C85" s="757" t="s">
        <v>664</v>
      </c>
      <c r="D85" s="757" t="s">
        <v>665</v>
      </c>
      <c r="E85" s="834">
        <v>0.5</v>
      </c>
      <c r="F85" s="821">
        <v>80</v>
      </c>
    </row>
    <row r="86" spans="1:6" s="817" customFormat="1" ht="36">
      <c r="A86" s="821">
        <v>26</v>
      </c>
      <c r="B86" s="3664"/>
      <c r="C86" s="757" t="s">
        <v>666</v>
      </c>
      <c r="D86" s="757" t="s">
        <v>667</v>
      </c>
      <c r="E86" s="834">
        <v>0.2</v>
      </c>
      <c r="F86" s="821">
        <v>30</v>
      </c>
    </row>
    <row r="87" spans="1:6" s="817" customFormat="1" ht="36">
      <c r="A87" s="821">
        <v>27</v>
      </c>
      <c r="B87" s="3664"/>
      <c r="C87" s="757" t="s">
        <v>668</v>
      </c>
      <c r="D87" s="757" t="s">
        <v>669</v>
      </c>
      <c r="E87" s="834">
        <v>0.2</v>
      </c>
      <c r="F87" s="821">
        <v>30</v>
      </c>
    </row>
    <row r="88" spans="1:6" s="817" customFormat="1" ht="36">
      <c r="A88" s="821">
        <v>28</v>
      </c>
      <c r="B88" s="3664"/>
      <c r="C88" s="757" t="s">
        <v>670</v>
      </c>
      <c r="D88" s="757" t="s">
        <v>671</v>
      </c>
      <c r="E88" s="834">
        <v>0.2</v>
      </c>
      <c r="F88" s="821">
        <v>30</v>
      </c>
    </row>
    <row r="89" spans="1:6" s="817" customFormat="1" ht="24">
      <c r="A89" s="821">
        <v>29</v>
      </c>
      <c r="B89" s="3664"/>
      <c r="C89" s="757" t="s">
        <v>672</v>
      </c>
      <c r="D89" s="757" t="s">
        <v>673</v>
      </c>
      <c r="E89" s="834">
        <v>0.2</v>
      </c>
      <c r="F89" s="821">
        <v>30</v>
      </c>
    </row>
    <row r="90" spans="1:6" s="817" customFormat="1" ht="24">
      <c r="A90" s="821">
        <v>30</v>
      </c>
      <c r="B90" s="3664"/>
      <c r="C90" s="757" t="s">
        <v>674</v>
      </c>
      <c r="D90" s="757" t="s">
        <v>675</v>
      </c>
      <c r="E90" s="834">
        <v>0.2</v>
      </c>
      <c r="F90" s="821">
        <v>30</v>
      </c>
    </row>
    <row r="91" spans="1:6" s="817" customFormat="1" ht="36">
      <c r="A91" s="821">
        <v>31</v>
      </c>
      <c r="B91" s="3664"/>
      <c r="C91" s="757" t="s">
        <v>676</v>
      </c>
      <c r="D91" s="757" t="s">
        <v>677</v>
      </c>
      <c r="E91" s="834">
        <v>0.2</v>
      </c>
      <c r="F91" s="821">
        <v>30</v>
      </c>
    </row>
    <row r="92" spans="1:6" s="817" customFormat="1" ht="24">
      <c r="A92" s="821">
        <v>32</v>
      </c>
      <c r="B92" s="3664" t="s">
        <v>678</v>
      </c>
      <c r="C92" s="821" t="s">
        <v>679</v>
      </c>
      <c r="D92" s="757" t="s">
        <v>680</v>
      </c>
      <c r="E92" s="834">
        <v>0.2</v>
      </c>
      <c r="F92" s="821">
        <v>30</v>
      </c>
    </row>
    <row r="93" spans="1:6" s="817" customFormat="1" ht="36">
      <c r="A93" s="821">
        <v>33</v>
      </c>
      <c r="B93" s="3664"/>
      <c r="C93" s="821" t="s">
        <v>681</v>
      </c>
      <c r="D93" s="757" t="s">
        <v>682</v>
      </c>
      <c r="E93" s="834">
        <v>0.2</v>
      </c>
      <c r="F93" s="821">
        <v>30</v>
      </c>
    </row>
    <row r="94" spans="1:6" s="817" customFormat="1" ht="48">
      <c r="A94" s="821">
        <v>34</v>
      </c>
      <c r="B94" s="3664"/>
      <c r="C94" s="821" t="s">
        <v>683</v>
      </c>
      <c r="D94" s="757" t="s">
        <v>684</v>
      </c>
      <c r="E94" s="834">
        <v>0.2</v>
      </c>
      <c r="F94" s="821">
        <v>30</v>
      </c>
    </row>
    <row r="95" spans="1:6" s="817" customFormat="1" ht="36">
      <c r="A95" s="821">
        <v>35</v>
      </c>
      <c r="B95" s="3664"/>
      <c r="C95" s="821" t="s">
        <v>685</v>
      </c>
      <c r="D95" s="757" t="s">
        <v>686</v>
      </c>
      <c r="E95" s="834">
        <v>0.2</v>
      </c>
      <c r="F95" s="821">
        <v>30</v>
      </c>
    </row>
    <row r="96" spans="1:6" s="817" customFormat="1" ht="48">
      <c r="A96" s="821">
        <v>36</v>
      </c>
      <c r="B96" s="3664"/>
      <c r="C96" s="757" t="s">
        <v>687</v>
      </c>
      <c r="D96" s="757" t="s">
        <v>688</v>
      </c>
      <c r="E96" s="834">
        <v>0.2</v>
      </c>
      <c r="F96" s="821">
        <v>30</v>
      </c>
    </row>
    <row r="97" spans="1:6" s="817" customFormat="1" ht="36">
      <c r="A97" s="821">
        <v>37</v>
      </c>
      <c r="B97" s="3664"/>
      <c r="C97" s="821" t="s">
        <v>689</v>
      </c>
      <c r="D97" s="757" t="s">
        <v>690</v>
      </c>
      <c r="E97" s="834">
        <v>0.2</v>
      </c>
      <c r="F97" s="821">
        <v>30</v>
      </c>
    </row>
    <row r="98" spans="1:6" s="817" customFormat="1" ht="36">
      <c r="A98" s="821">
        <v>38</v>
      </c>
      <c r="B98" s="3664"/>
      <c r="C98" s="821" t="s">
        <v>691</v>
      </c>
      <c r="D98" s="757" t="s">
        <v>692</v>
      </c>
      <c r="E98" s="834">
        <v>0.2</v>
      </c>
      <c r="F98" s="821">
        <v>30</v>
      </c>
    </row>
    <row r="99" spans="1:6" s="817" customFormat="1" ht="36">
      <c r="A99" s="821">
        <v>39</v>
      </c>
      <c r="B99" s="3664" t="s">
        <v>693</v>
      </c>
      <c r="C99" s="821" t="s">
        <v>694</v>
      </c>
      <c r="D99" s="757" t="s">
        <v>695</v>
      </c>
      <c r="E99" s="834">
        <v>0.3</v>
      </c>
      <c r="F99" s="821">
        <v>50</v>
      </c>
    </row>
    <row r="100" spans="1:6" s="817" customFormat="1" ht="24">
      <c r="A100" s="821">
        <v>40</v>
      </c>
      <c r="B100" s="3664"/>
      <c r="C100" s="821" t="s">
        <v>696</v>
      </c>
      <c r="D100" s="757" t="s">
        <v>697</v>
      </c>
      <c r="E100" s="834">
        <v>0.2</v>
      </c>
      <c r="F100" s="821">
        <v>30</v>
      </c>
    </row>
    <row r="101" spans="1:6" s="817" customFormat="1" ht="36">
      <c r="A101" s="821">
        <v>41</v>
      </c>
      <c r="B101" s="366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664" t="s">
        <v>708</v>
      </c>
      <c r="C105" s="821" t="s">
        <v>709</v>
      </c>
      <c r="D105" s="757" t="s">
        <v>710</v>
      </c>
      <c r="E105" s="834">
        <v>0.2</v>
      </c>
      <c r="F105" s="821">
        <v>30</v>
      </c>
    </row>
    <row r="106" spans="1:6" s="817" customFormat="1" ht="36">
      <c r="A106" s="821">
        <v>46</v>
      </c>
      <c r="B106" s="3664"/>
      <c r="C106" s="821" t="s">
        <v>711</v>
      </c>
      <c r="D106" s="757" t="s">
        <v>712</v>
      </c>
      <c r="E106" s="834">
        <v>0.2</v>
      </c>
      <c r="F106" s="821">
        <v>30</v>
      </c>
    </row>
    <row r="107" spans="1:6" s="817" customFormat="1" ht="36">
      <c r="A107" s="821">
        <v>47</v>
      </c>
      <c r="B107" s="3664" t="s">
        <v>713</v>
      </c>
      <c r="C107" s="821" t="s">
        <v>714</v>
      </c>
      <c r="D107" s="757" t="s">
        <v>715</v>
      </c>
      <c r="E107" s="834">
        <v>0.3</v>
      </c>
      <c r="F107" s="821">
        <v>50</v>
      </c>
    </row>
    <row r="108" spans="1:6" s="817" customFormat="1" ht="36">
      <c r="A108" s="821">
        <v>48</v>
      </c>
      <c r="B108" s="366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664" t="s">
        <v>724</v>
      </c>
      <c r="C111" s="821" t="s">
        <v>725</v>
      </c>
      <c r="D111" s="757" t="s">
        <v>726</v>
      </c>
      <c r="E111" s="834">
        <v>0.2</v>
      </c>
      <c r="F111" s="821">
        <v>30</v>
      </c>
    </row>
    <row r="112" spans="1:6" s="817" customFormat="1" ht="24">
      <c r="A112" s="821">
        <v>52</v>
      </c>
      <c r="B112" s="3664"/>
      <c r="C112" s="821" t="s">
        <v>727</v>
      </c>
      <c r="D112" s="757" t="s">
        <v>728</v>
      </c>
      <c r="E112" s="834">
        <v>0.2</v>
      </c>
      <c r="F112" s="821">
        <v>30</v>
      </c>
    </row>
    <row r="113" spans="1:6" s="817" customFormat="1" ht="24">
      <c r="A113" s="821">
        <v>53</v>
      </c>
      <c r="B113" s="366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664" t="s">
        <v>737</v>
      </c>
      <c r="C116" s="821" t="s">
        <v>738</v>
      </c>
      <c r="D116" s="757" t="s">
        <v>739</v>
      </c>
      <c r="E116" s="834">
        <v>0.2</v>
      </c>
      <c r="F116" s="821">
        <v>30</v>
      </c>
    </row>
    <row r="117" spans="1:6" ht="36">
      <c r="A117" s="821">
        <v>57</v>
      </c>
      <c r="B117" s="366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1.0271999999999999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2761</v>
      </c>
      <c r="B1" s="2332"/>
      <c r="C1" s="2332"/>
      <c r="D1" s="2332"/>
      <c r="E1" s="2332"/>
      <c r="F1" s="2993"/>
      <c r="G1" s="2993"/>
      <c r="H1" s="2993"/>
      <c r="I1" s="2993"/>
      <c r="J1" s="2993"/>
      <c r="K1" s="2993"/>
      <c r="L1" s="2993"/>
      <c r="M1" s="2993"/>
      <c r="N1" s="2993"/>
      <c r="O1" s="2993"/>
      <c r="P1" s="2993"/>
    </row>
    <row r="2" spans="1:16" ht="15.75">
      <c r="A2" s="2330" t="s">
        <v>2753</v>
      </c>
      <c r="B2" s="2797">
        <f ca="1">SUMIF(B6:B13,"&lt;&gt;#ref!",B6:B13)</f>
        <v>88588</v>
      </c>
      <c r="C2" s="2330" t="s">
        <v>2754</v>
      </c>
      <c r="D2" s="2330" t="s">
        <v>2755</v>
      </c>
      <c r="E2" s="2807">
        <f ca="1">SUMIF(E6:E13,"&lt;&gt;#ref!",E6:E13)</f>
        <v>39704.18</v>
      </c>
      <c r="F2" s="2993"/>
      <c r="G2" s="2993"/>
      <c r="H2" s="2993"/>
      <c r="I2" s="2993"/>
      <c r="J2" s="2993"/>
      <c r="K2" s="2993"/>
      <c r="L2" s="2993"/>
      <c r="M2" s="2993"/>
      <c r="N2" s="2993"/>
      <c r="O2" s="2993"/>
      <c r="P2" s="2993"/>
    </row>
    <row r="3" spans="1:16" ht="15.75">
      <c r="A3" s="2330" t="s">
        <v>2756</v>
      </c>
      <c r="B3" s="2797">
        <f ca="1">ROUND(B2*10000/E2,0)</f>
        <v>22312</v>
      </c>
      <c r="C3" s="2330" t="s">
        <v>2762</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2757</v>
      </c>
      <c r="B5" s="2805" t="s">
        <v>2758</v>
      </c>
      <c r="C5" s="2331"/>
      <c r="D5" s="2993"/>
      <c r="E5" s="2806" t="s">
        <v>2759</v>
      </c>
      <c r="F5" s="2993"/>
      <c r="G5" s="2993"/>
      <c r="H5" s="2993"/>
      <c r="I5" s="2993"/>
      <c r="J5" s="2993"/>
      <c r="K5" s="2993"/>
      <c r="L5" s="2993"/>
      <c r="M5" s="2993"/>
      <c r="N5" s="2993"/>
      <c r="O5" s="2993"/>
      <c r="P5" s="2993"/>
    </row>
    <row r="6" spans="1:16" ht="15.75">
      <c r="A6" s="2804" t="s">
        <v>2760</v>
      </c>
      <c r="B6" s="2797">
        <f ca="1">SUMIF(INDIRECT("'"&amp;A6&amp;"'"&amp;"!A:A"),"总价",INDIRECT("'"&amp;A6&amp;"'"&amp;"!B:B"))</f>
        <v>88588</v>
      </c>
      <c r="C6" s="2330" t="s">
        <v>2754</v>
      </c>
      <c r="D6" s="2993"/>
      <c r="E6" s="2807">
        <f ca="1">SUMIF(INDIRECT("'"&amp;A6&amp;"'"&amp;"!C:C"),"建筑面积",INDIRECT("'"&amp;A6&amp;"'"&amp;"!D:D"))</f>
        <v>39704.18</v>
      </c>
      <c r="F6" s="2993"/>
      <c r="G6" s="2993"/>
      <c r="H6" s="2993"/>
      <c r="I6" s="2993"/>
      <c r="J6" s="2993"/>
      <c r="K6" s="2993"/>
      <c r="L6" s="2993"/>
      <c r="M6" s="2993"/>
      <c r="N6" s="2993"/>
      <c r="O6" s="2993"/>
      <c r="P6" s="2993"/>
    </row>
    <row r="7" spans="1:16" ht="15.75">
      <c r="A7" s="2804"/>
      <c r="B7" s="2797" t="e">
        <f ca="1">SUMIF(INDIRECT("'"&amp;A7&amp;"'"&amp;"!A:A"),"总价",INDIRECT("'"&amp;A7&amp;"'"&amp;"!B:B"))</f>
        <v>#REF!</v>
      </c>
      <c r="C7" s="2330" t="s">
        <v>2754</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2754</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2754</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2754</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2754</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2754</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2754</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H3" sqref="H3"/>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670" t="s">
        <v>1058</v>
      </c>
      <c r="C1" s="3670"/>
      <c r="D1" s="3670"/>
      <c r="E1" s="3670"/>
      <c r="F1" s="3670"/>
      <c r="G1" s="3669" t="s">
        <v>1059</v>
      </c>
      <c r="H1" s="3669"/>
      <c r="I1" s="3669"/>
      <c r="J1" s="3669"/>
      <c r="K1" s="3669"/>
      <c r="L1" s="3669"/>
      <c r="N1" s="3669" t="s">
        <v>1060</v>
      </c>
      <c r="O1" s="3669"/>
      <c r="P1" s="3669"/>
      <c r="Q1" s="3669"/>
      <c r="S1" s="3669" t="s">
        <v>1061</v>
      </c>
      <c r="T1" s="3669"/>
      <c r="U1" s="3669"/>
      <c r="V1" s="3669"/>
      <c r="X1" s="3668" t="s">
        <v>1062</v>
      </c>
      <c r="Y1" s="3669"/>
      <c r="Z1" s="3669"/>
      <c r="AA1" s="3669"/>
      <c r="AB1" s="3669"/>
      <c r="AD1" s="3668" t="s">
        <v>1063</v>
      </c>
      <c r="AE1" s="3669"/>
      <c r="AF1" s="3669"/>
      <c r="AG1" s="3669"/>
      <c r="AH1" s="3669"/>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2794</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3126</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2795</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3125</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5">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3002</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3001</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3000</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2998</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2997</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2811</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2809</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2808</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2807</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2805</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2803</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2806</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666">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2801</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666"/>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2800</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666"/>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2793</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675"/>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2791</v>
      </c>
      <c r="B22" s="2407">
        <v>439</v>
      </c>
      <c r="C22" s="2407">
        <v>327</v>
      </c>
      <c r="D22" s="2407">
        <f>C22</f>
        <v>327</v>
      </c>
      <c r="E22" s="2407">
        <v>627</v>
      </c>
      <c r="F22" s="2408">
        <v>283</v>
      </c>
      <c r="G22" s="3671">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2792</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666"/>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666"/>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675"/>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671">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666"/>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666"/>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667"/>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665">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666"/>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666"/>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667"/>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665">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666"/>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666"/>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667"/>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672">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673"/>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673"/>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674"/>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665">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666"/>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666"/>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667"/>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665">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666">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666">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667">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665">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666">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666">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667">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665">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666">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666">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667">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665">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666">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666">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667">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665">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666">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666">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667">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665">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666">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666">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667">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665">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666">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666">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667">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665">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666">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666">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667">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665">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666">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666">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667">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665">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666">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666">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667">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679" t="s">
        <v>2764</v>
      </c>
      <c r="D1" s="3680"/>
      <c r="E1" s="3680"/>
      <c r="F1" s="3680"/>
      <c r="G1" s="3680"/>
      <c r="H1" s="3680"/>
      <c r="I1" s="3680"/>
      <c r="J1" s="3680"/>
      <c r="K1" s="3680"/>
      <c r="L1" s="3680"/>
      <c r="M1" s="3680"/>
      <c r="N1" s="3680"/>
      <c r="O1" s="3680"/>
      <c r="P1" s="3680"/>
      <c r="Q1" s="3680"/>
      <c r="R1" s="3680"/>
      <c r="S1" s="3681"/>
      <c r="T1" s="1114" t="s">
        <v>2765</v>
      </c>
    </row>
    <row r="2" spans="1:45" s="663" customFormat="1">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2767</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2768</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2769</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2773</v>
      </c>
      <c r="B17" s="2334"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2775</v>
      </c>
      <c r="E19" s="1493"/>
      <c r="F19" s="1493"/>
      <c r="G19" s="1493"/>
      <c r="H19" s="1190"/>
      <c r="I19" s="164"/>
      <c r="J19" s="164"/>
      <c r="K19" s="164"/>
      <c r="L19" s="164"/>
      <c r="M19" s="164"/>
      <c r="N19" s="164"/>
      <c r="O19" s="164"/>
      <c r="P19" s="164"/>
      <c r="Q19" s="164"/>
      <c r="R19" s="727"/>
      <c r="S19" s="134"/>
    </row>
    <row r="20" spans="1:45" ht="16.5" thickBot="1">
      <c r="A20" s="671" t="s">
        <v>2776</v>
      </c>
      <c r="B20" s="300" t="e">
        <f ca="1">IF(D20="——",S22,S22-F20)</f>
        <v>#REF!</v>
      </c>
      <c r="C20" s="164"/>
      <c r="D20" s="2336"/>
      <c r="E20" s="1494"/>
      <c r="F20" s="1114" t="e">
        <f ca="1">SUMIF(INDIRECT("'"&amp;H20&amp;"'"&amp;"!A:A"),"承租人权益价值",INDIRECT("'"&amp;H20&amp;"'"&amp;"!c:c"))</f>
        <v>#REF!</v>
      </c>
      <c r="G20" s="1114" t="s">
        <v>2777</v>
      </c>
      <c r="H20" s="2337"/>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676" t="s">
        <v>33</v>
      </c>
      <c r="D22" s="3677"/>
      <c r="E22" s="3677"/>
      <c r="F22" s="3677"/>
      <c r="G22" s="3677"/>
      <c r="H22" s="3677"/>
      <c r="I22" s="3677"/>
      <c r="J22" s="3677"/>
      <c r="K22" s="3677"/>
      <c r="L22" s="3677"/>
      <c r="M22" s="3677"/>
      <c r="N22" s="3677"/>
      <c r="O22" s="3677"/>
      <c r="P22" s="3677"/>
      <c r="Q22" s="3678"/>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3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spans="1:5" ht="18">
      <c r="A3" s="3342" t="str">
        <f>IF(项目基本情况!B9="房地产市场价值","估价结果一览表（市场价值不需“结果表-1”）","估价结果一览表")</f>
        <v>估价结果一览表</v>
      </c>
      <c r="B3" s="3342"/>
      <c r="C3" s="3342"/>
      <c r="D3" s="3342"/>
      <c r="E3" s="3342"/>
    </row>
    <row r="4" spans="1:5" ht="19.5" thickBot="1">
      <c r="A4" s="1647"/>
      <c r="B4" s="3340" t="s">
        <v>1535</v>
      </c>
      <c r="C4" s="3340"/>
      <c r="D4" s="3340"/>
      <c r="E4" s="1647"/>
    </row>
    <row r="5" spans="1:5" ht="16.5" thickTop="1">
      <c r="A5" s="1645"/>
      <c r="B5" s="3338" t="s">
        <v>1527</v>
      </c>
      <c r="C5" s="1648" t="s">
        <v>1528</v>
      </c>
      <c r="D5" s="959" t="e">
        <f ca="1">结果表!H101</f>
        <v>#REF!</v>
      </c>
      <c r="E5" s="1645"/>
    </row>
    <row r="6" spans="1:5" ht="15.75">
      <c r="A6" s="1645"/>
      <c r="B6" s="3338"/>
      <c r="C6" s="1648" t="s">
        <v>1529</v>
      </c>
      <c r="D6" s="959" t="e">
        <f ca="1">NUMBERSTRING(INT(D5*10000),2)&amp;"元整"</f>
        <v>#REF!</v>
      </c>
      <c r="E6" s="1645"/>
    </row>
    <row r="7" spans="1:5" ht="15.75">
      <c r="A7" s="1645"/>
      <c r="B7" s="3343"/>
      <c r="C7" s="1649" t="s">
        <v>1530</v>
      </c>
      <c r="D7" s="960" t="e">
        <f ca="1">结果表!H102</f>
        <v>#REF!</v>
      </c>
      <c r="E7" s="1645"/>
    </row>
    <row r="8" spans="1:5" ht="15.75">
      <c r="A8" s="1645"/>
      <c r="B8" s="3344" t="str">
        <f>结果表!E103</f>
        <v>2.估价师知悉的法定优先受偿款</v>
      </c>
      <c r="C8" s="1650" t="s">
        <v>1531</v>
      </c>
      <c r="D8" s="960">
        <f>结果表!H103</f>
        <v>0</v>
      </c>
      <c r="E8" s="1645"/>
    </row>
    <row r="9" spans="1:5" ht="15.75">
      <c r="A9" s="1645"/>
      <c r="B9" s="3346"/>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337" t="str">
        <f>结果表!E107</f>
        <v>3.房地产抵押价值</v>
      </c>
      <c r="C13" s="1653" t="s">
        <v>1528</v>
      </c>
      <c r="D13" s="962" t="e">
        <f ca="1">结果表!H107</f>
        <v>#REF!</v>
      </c>
      <c r="E13" s="1645"/>
    </row>
    <row r="14" spans="1:5" ht="15.75">
      <c r="A14" s="1645"/>
      <c r="B14" s="3338"/>
      <c r="C14" s="1648" t="s">
        <v>1529</v>
      </c>
      <c r="D14" s="959" t="e">
        <f ca="1">NUMBERSTRING(INT(D13*10000),2)&amp;"元整"</f>
        <v>#REF!</v>
      </c>
      <c r="E14" s="1645"/>
    </row>
    <row r="15" spans="1:5" ht="15">
      <c r="A15" s="1645"/>
      <c r="B15" s="3343"/>
      <c r="C15" s="1649" t="s">
        <v>1539</v>
      </c>
      <c r="D15" s="968" t="e">
        <f ca="1">结果表!H108</f>
        <v>#REF!</v>
      </c>
      <c r="E15" s="1645"/>
    </row>
    <row r="16" spans="1:5" ht="15">
      <c r="A16" s="1645"/>
      <c r="B16" s="3344" t="str">
        <f>结果表!E109</f>
        <v>——</v>
      </c>
      <c r="C16" s="1653" t="s">
        <v>1540</v>
      </c>
      <c r="D16" s="1654" t="str">
        <f>结果表!H109</f>
        <v>——</v>
      </c>
      <c r="E16" s="1645"/>
    </row>
    <row r="17" spans="1:5" ht="15.75">
      <c r="A17" s="1645"/>
      <c r="B17" s="3345"/>
      <c r="C17" s="1648" t="s">
        <v>1541</v>
      </c>
      <c r="D17" s="959" t="e">
        <f>NUMBERSTRING(INT(D16*10000),2)&amp;"元整"</f>
        <v>#VALUE!</v>
      </c>
      <c r="E17" s="1645"/>
    </row>
    <row r="18" spans="1:5" ht="15">
      <c r="A18" s="1645"/>
      <c r="B18" s="3346"/>
      <c r="C18" s="1649" t="s">
        <v>1530</v>
      </c>
      <c r="D18" s="968" t="str">
        <f>结果表!H110</f>
        <v>——</v>
      </c>
      <c r="E18" s="1645"/>
    </row>
    <row r="19" spans="1:5" ht="15.75">
      <c r="A19" s="1645"/>
      <c r="B19" s="3337" t="str">
        <f>结果表!E111</f>
        <v>——</v>
      </c>
      <c r="C19" s="1653" t="s">
        <v>1528</v>
      </c>
      <c r="D19" s="960" t="str">
        <f>结果表!H111</f>
        <v>——</v>
      </c>
      <c r="E19" s="1645"/>
    </row>
    <row r="20" spans="1:5" ht="15.75">
      <c r="A20" s="1645"/>
      <c r="B20" s="3338"/>
      <c r="C20" s="1648" t="s">
        <v>1541</v>
      </c>
      <c r="D20" s="959" t="e">
        <f>NUMBERSTRING(INT(D19*10000),2)&amp;"元整"</f>
        <v>#VALUE!</v>
      </c>
      <c r="E20" s="1645"/>
    </row>
    <row r="21" spans="1:5" ht="15.75" thickBot="1">
      <c r="A21" s="1645"/>
      <c r="B21" s="3339"/>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107361</v>
      </c>
      <c r="C2" s="2" t="s">
        <v>133</v>
      </c>
      <c r="D2" s="205"/>
      <c r="E2" s="205"/>
      <c r="F2" s="205"/>
      <c r="G2" s="205"/>
    </row>
    <row r="3" spans="1:7" s="206" customFormat="1" ht="18" customHeight="1" thickBot="1">
      <c r="A3" s="209" t="s">
        <v>85</v>
      </c>
      <c r="B3" s="210">
        <f ca="1">ROUND(B2*10000/'数据-汇总表'!E3,0)</f>
        <v>10577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2030</v>
      </c>
      <c r="D10" s="954">
        <f>'数据-汇总表'!E6</f>
        <v>101504.34</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2030</v>
      </c>
      <c r="D19" s="958">
        <f>'数据-汇总表'!E3</f>
        <v>101504.34</v>
      </c>
      <c r="E19" s="217">
        <f>'数据-取费表'!B31</f>
        <v>200</v>
      </c>
      <c r="F19" s="237"/>
      <c r="G19" s="1" t="s">
        <v>1042</v>
      </c>
    </row>
    <row r="20" spans="1:7" s="220" customFormat="1" ht="13.5" customHeight="1">
      <c r="A20" s="885" t="s">
        <v>1025</v>
      </c>
      <c r="B20" s="216" t="s">
        <v>104</v>
      </c>
      <c r="C20" s="238">
        <f>ROUND((C5+C19)*F20,0)</f>
        <v>679</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36">
        <f ca="1">ROUND(SUM(C23:C25),0)</f>
        <v>3130</v>
      </c>
      <c r="D22" s="241">
        <f ca="1">C26</f>
        <v>2E-3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2808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277</v>
      </c>
      <c r="D24" s="244"/>
      <c r="E24" s="244"/>
      <c r="F24" s="245"/>
      <c r="G24" s="246" t="s">
        <v>109</v>
      </c>
    </row>
    <row r="25" spans="1:7" s="220" customFormat="1" ht="24">
      <c r="A25" s="888" t="s">
        <v>793</v>
      </c>
      <c r="B25" s="221" t="s">
        <v>1026</v>
      </c>
      <c r="C25" s="1237">
        <f ca="1">ROUND(IF('数据-取费表'!B22&lt;=1,C20*F22*'数据-取费表'!B23/2,C20*(POWER((1+F22),'数据-取费表'!B23/2)-1)),0)</f>
        <v>45</v>
      </c>
      <c r="D25" s="244"/>
      <c r="E25" s="247"/>
      <c r="F25" s="245"/>
      <c r="G25" s="248" t="s">
        <v>110</v>
      </c>
    </row>
    <row r="26" spans="1:7" s="220" customFormat="1">
      <c r="A26" s="888" t="s">
        <v>795</v>
      </c>
      <c r="B26" s="221" t="s">
        <v>1028</v>
      </c>
      <c r="C26" s="244">
        <f ca="1">ROUND(IF('数据-取费表'!B22&lt;=1,F21*F22*'数据-取费表'!B23/2,F21*(POWER((1+F22),'数据-取费表'!B23/2)-1)),4)</f>
        <v>2E-3</v>
      </c>
      <c r="D26" s="244"/>
      <c r="E26" s="247"/>
      <c r="F26" s="245"/>
      <c r="G26" s="249"/>
    </row>
    <row r="27" spans="1:7" s="220" customFormat="1" ht="24.75">
      <c r="A27" s="885" t="s">
        <v>787</v>
      </c>
      <c r="B27" s="250" t="s">
        <v>112</v>
      </c>
      <c r="C27" s="251">
        <f>C28</f>
        <v>4664</v>
      </c>
      <c r="D27" s="241">
        <f>C29</f>
        <v>6.0000000000000001E-3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4664</v>
      </c>
      <c r="D28" s="241"/>
      <c r="E28" s="242"/>
      <c r="F28" s="252"/>
      <c r="G28" s="253"/>
    </row>
    <row r="29" spans="1:7" s="220" customFormat="1" ht="13.5" customHeight="1">
      <c r="A29" s="888" t="s">
        <v>792</v>
      </c>
      <c r="B29" s="254" t="s">
        <v>1031</v>
      </c>
      <c r="C29" s="244">
        <f>ROUND(C21*F27*'数据-取费表'!B21/'数据-取费表'!B20,4)</f>
        <v>6.0000000000000001E-3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34204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56081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50752</v>
      </c>
      <c r="D34" s="223"/>
      <c r="E34" s="226"/>
      <c r="F34" s="263">
        <f>IF('数据-取费表'!B24=0,1,'数据-取费表'!N16)</f>
        <v>1</v>
      </c>
      <c r="G34" s="225" t="s">
        <v>116</v>
      </c>
    </row>
    <row r="35" spans="1:7" ht="13.5" customHeight="1">
      <c r="A35" s="888" t="s">
        <v>796</v>
      </c>
      <c r="B35" s="221" t="s">
        <v>60</v>
      </c>
      <c r="C35" s="226">
        <f>ROUND(C34*F35,0)</f>
        <v>2538</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2030</v>
      </c>
      <c r="D37" s="223">
        <f>'数据-汇总表'!E3</f>
        <v>101504.34</v>
      </c>
      <c r="E37" s="255">
        <f>'数据-取费表'!B35</f>
        <v>200</v>
      </c>
      <c r="F37" s="265"/>
      <c r="G37" s="267" t="s">
        <v>119</v>
      </c>
    </row>
    <row r="38" spans="1:7" ht="13.5" customHeight="1">
      <c r="A38" s="888" t="s">
        <v>799</v>
      </c>
      <c r="B38" s="221" t="s">
        <v>63</v>
      </c>
      <c r="C38" s="226">
        <f>ROUND(C34*F38,0)</f>
        <v>761</v>
      </c>
      <c r="D38" s="226"/>
      <c r="E38" s="226"/>
      <c r="F38" s="265">
        <f>'数据-取费表'!B36</f>
        <v>1.4999999999999999E-2</v>
      </c>
      <c r="G38" s="225" t="s">
        <v>117</v>
      </c>
    </row>
    <row r="39" spans="1:7" s="220" customFormat="1" ht="13.5" customHeight="1">
      <c r="A39" s="885" t="s">
        <v>783</v>
      </c>
      <c r="B39" s="216" t="s">
        <v>104</v>
      </c>
      <c r="C39" s="238">
        <f>ROUND(C33*F20,0)</f>
        <v>1682</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3810</v>
      </c>
      <c r="D41" s="241">
        <f ca="1">C44</f>
        <v>2E-3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3699</v>
      </c>
      <c r="D42" s="244"/>
      <c r="E42" s="244"/>
      <c r="F42" s="245"/>
      <c r="G42" s="3525" t="s">
        <v>121</v>
      </c>
    </row>
    <row r="43" spans="1:7" ht="13.5" customHeight="1">
      <c r="A43" s="888" t="s">
        <v>792</v>
      </c>
      <c r="B43" s="221" t="s">
        <v>1032</v>
      </c>
      <c r="C43" s="244">
        <f ca="1">ROUND(IF('数据-取费表'!B22&lt;=1,C39*F22*'数据-取费表'!B21/2,C39*(POWER((1+F22),'数据-取费表'!B21/2)-1)),0)</f>
        <v>111</v>
      </c>
      <c r="D43" s="244"/>
      <c r="E43" s="244"/>
      <c r="F43" s="245"/>
      <c r="G43" s="3526"/>
    </row>
    <row r="44" spans="1:7" ht="13.5" customHeight="1">
      <c r="A44" s="888" t="s">
        <v>793</v>
      </c>
      <c r="B44" s="221" t="s">
        <v>1034</v>
      </c>
      <c r="C44" s="244">
        <f ca="1">ROUND(IF('数据-取费表'!B22&lt;=1,C40*F22*'数据-取费表'!B21/2,C40*(POWER((1+F22),'数据-取费表'!B21/2)-1)),4)</f>
        <v>2E-3</v>
      </c>
      <c r="D44" s="244"/>
      <c r="E44" s="244"/>
      <c r="F44" s="245"/>
      <c r="G44" s="3527"/>
    </row>
    <row r="45" spans="1:7" s="220" customFormat="1" ht="13.5" customHeight="1">
      <c r="A45" s="885" t="s">
        <v>786</v>
      </c>
      <c r="B45" s="250" t="s">
        <v>112</v>
      </c>
      <c r="C45" s="251">
        <f>C46</f>
        <v>11553</v>
      </c>
      <c r="D45" s="241">
        <f>C47</f>
        <v>6.0000000000000001E-3</v>
      </c>
      <c r="E45" s="242" t="s">
        <v>129</v>
      </c>
      <c r="F45" s="252"/>
      <c r="G45" s="253" t="s">
        <v>1040</v>
      </c>
    </row>
    <row r="46" spans="1:7" s="220" customFormat="1" ht="13.5" customHeight="1">
      <c r="A46" s="888" t="s">
        <v>794</v>
      </c>
      <c r="B46" s="254" t="s">
        <v>1033</v>
      </c>
      <c r="C46" s="255">
        <f>ROUND((C33+C39)*F27,0)</f>
        <v>11553</v>
      </c>
      <c r="D46" s="269"/>
      <c r="E46" s="242"/>
      <c r="F46" s="252"/>
      <c r="G46" s="253"/>
    </row>
    <row r="47" spans="1:7" s="220" customFormat="1" ht="13.5" customHeight="1">
      <c r="A47" s="888" t="s">
        <v>792</v>
      </c>
      <c r="B47" s="254" t="s">
        <v>1035</v>
      </c>
      <c r="C47" s="244">
        <f>ROUND(C40*F27,4)</f>
        <v>6.0000000000000001E-3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80392</v>
      </c>
      <c r="D49" s="238"/>
      <c r="E49" s="238"/>
      <c r="F49" s="270"/>
      <c r="G49" s="240" t="s">
        <v>1041</v>
      </c>
    </row>
    <row r="50" spans="1:7" s="264" customFormat="1" ht="24">
      <c r="A50" s="885" t="s">
        <v>789</v>
      </c>
      <c r="B50" s="216" t="s">
        <v>124</v>
      </c>
      <c r="C50" s="238"/>
      <c r="D50" s="238"/>
      <c r="E50" s="238"/>
      <c r="F50" s="270">
        <f>IF('数据-取费表'!B24=0,'数据-取费表'!N16,1)</f>
        <v>0.91</v>
      </c>
      <c r="G50" s="253" t="s">
        <v>125</v>
      </c>
    </row>
    <row r="51" spans="1:7" ht="16.5" customHeight="1">
      <c r="A51" s="885" t="s">
        <v>790</v>
      </c>
      <c r="B51" s="216" t="s">
        <v>132</v>
      </c>
      <c r="C51" s="238">
        <f ca="1">ROUND(C49*F50,0)</f>
        <v>73157</v>
      </c>
      <c r="D51" s="238"/>
      <c r="E51" s="238"/>
      <c r="F51" s="270"/>
      <c r="G51" s="240" t="s">
        <v>64</v>
      </c>
    </row>
    <row r="52" spans="1:7" s="214" customFormat="1" ht="16.5" thickBot="1">
      <c r="A52" s="271" t="s">
        <v>65</v>
      </c>
      <c r="B52" s="272"/>
      <c r="C52" s="273">
        <f ca="1">C31+C51</f>
        <v>107361</v>
      </c>
      <c r="D52" s="272"/>
      <c r="E52" s="272"/>
      <c r="F52" s="272"/>
      <c r="G52" s="274"/>
    </row>
    <row r="55" spans="1:7" ht="15">
      <c r="B55" s="276" t="s">
        <v>66</v>
      </c>
      <c r="C55" s="277"/>
    </row>
    <row r="56" spans="1:7">
      <c r="B56" s="279" t="s">
        <v>67</v>
      </c>
      <c r="C56" s="280">
        <f ca="1">ROUND(C51/C52,3)</f>
        <v>0.68100000000000005</v>
      </c>
    </row>
    <row r="57" spans="1:7">
      <c r="B57" s="279" t="s">
        <v>68</v>
      </c>
      <c r="C57" s="281">
        <f ca="1">1-C56</f>
        <v>0.31899999999999995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82" t="s">
        <v>156</v>
      </c>
      <c r="B1" s="3682"/>
      <c r="C1" s="3682"/>
      <c r="D1" s="3682"/>
      <c r="E1" s="3682"/>
      <c r="F1" s="368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83" t="s">
        <v>169</v>
      </c>
      <c r="B2" s="3683"/>
      <c r="C2" s="3683"/>
      <c r="D2" s="3683"/>
      <c r="E2" s="3683"/>
      <c r="F2" s="368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8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8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82" t="s">
        <v>839</v>
      </c>
      <c r="B1" s="368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K25" sqref="K25"/>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44567</v>
      </c>
      <c r="D1" s="1441" t="s">
        <v>1209</v>
      </c>
      <c r="E1" s="1436">
        <f>'数据-取费表'!B22</f>
        <v>3</v>
      </c>
      <c r="F1" s="1441" t="s">
        <v>1210</v>
      </c>
      <c r="G1" s="1437">
        <f ca="1">INDIRECT("d"&amp;$K$1)/100</f>
        <v>3.85E-2</v>
      </c>
      <c r="H1" s="1441" t="s">
        <v>1240</v>
      </c>
      <c r="I1" s="1437">
        <f ca="1">F4/100</f>
        <v>1.4999999999999999E-2</v>
      </c>
      <c r="J1" s="1442">
        <f>IF(C1&gt;C13,0,MATCH(C1,C$13:C$105,-1))+IF(SUMIF(C13:C105,C1,D13:D105)=0,13,12)</f>
        <v>13</v>
      </c>
      <c r="K1" s="1442">
        <f ca="1">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3.85</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3.85</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3.85</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3.85</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4.6500000000000004</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1">
        <v>43941</v>
      </c>
      <c r="D13" s="3022">
        <v>3.85</v>
      </c>
      <c r="E13" s="3022">
        <v>3.85</v>
      </c>
      <c r="F13" s="3022">
        <v>3.85</v>
      </c>
      <c r="G13" s="3022">
        <v>3.85</v>
      </c>
      <c r="H13" s="3022">
        <v>4.6500000000000004</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7"/>
      <c r="C14" s="3018">
        <v>43881</v>
      </c>
      <c r="D14" s="3017">
        <v>4.05</v>
      </c>
      <c r="E14" s="3017">
        <v>4.05</v>
      </c>
      <c r="F14" s="3017">
        <v>4.05</v>
      </c>
      <c r="G14" s="3017">
        <v>4.05</v>
      </c>
      <c r="H14" s="3017">
        <v>4.75</v>
      </c>
      <c r="I14" s="3017"/>
      <c r="J14" s="3017"/>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7"/>
      <c r="C15" s="3018">
        <v>43789</v>
      </c>
      <c r="D15" s="3017">
        <v>4.1500000000000004</v>
      </c>
      <c r="E15" s="3017">
        <v>4.1500000000000004</v>
      </c>
      <c r="F15" s="3017">
        <v>4.1500000000000004</v>
      </c>
      <c r="G15" s="3017">
        <v>4.1500000000000004</v>
      </c>
      <c r="H15" s="3017">
        <v>4.8</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7"/>
      <c r="C16" s="3018">
        <v>43728</v>
      </c>
      <c r="D16" s="3017">
        <v>4.2</v>
      </c>
      <c r="E16" s="3017">
        <v>4.2</v>
      </c>
      <c r="F16" s="3017">
        <v>4.2</v>
      </c>
      <c r="G16" s="3017">
        <v>4.2</v>
      </c>
      <c r="H16" s="3017">
        <v>4.8499999999999996</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6" t="s">
        <v>2999</v>
      </c>
      <c r="C17" s="3019">
        <v>43697</v>
      </c>
      <c r="D17" s="3020">
        <v>4.25</v>
      </c>
      <c r="E17" s="3020">
        <v>4.25</v>
      </c>
      <c r="F17" s="3020">
        <v>4.25</v>
      </c>
      <c r="G17" s="3020">
        <v>4.25</v>
      </c>
      <c r="H17" s="3020">
        <v>4.8499999999999996</v>
      </c>
      <c r="I17" s="3020"/>
      <c r="J17" s="3020"/>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s="3028" customFormat="1" ht="15">
      <c r="A18" s="3023"/>
      <c r="B18" s="3024"/>
      <c r="C18" s="3025">
        <v>42301</v>
      </c>
      <c r="D18" s="3026">
        <v>4.3499999999999996</v>
      </c>
      <c r="E18" s="3026">
        <v>4.3499999999999996</v>
      </c>
      <c r="F18" s="3026">
        <v>4.75</v>
      </c>
      <c r="G18" s="3026">
        <v>4.75</v>
      </c>
      <c r="H18" s="3026">
        <v>4.9000000000000004</v>
      </c>
      <c r="I18" s="3026"/>
      <c r="J18" s="3026"/>
      <c r="K18" s="14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c r="AA18" s="1422"/>
      <c r="AB18" s="1422"/>
      <c r="AC18" s="1422"/>
      <c r="AD18" s="1422"/>
      <c r="AE18" s="1422"/>
      <c r="AF18" s="1422"/>
      <c r="AG18" s="1422"/>
      <c r="AH18" s="1422"/>
      <c r="AI18" s="1422"/>
      <c r="AJ18" s="1422"/>
      <c r="AK18" s="1422"/>
      <c r="AL18" s="1422"/>
      <c r="AM18" s="1422"/>
      <c r="AN18" s="1422"/>
      <c r="AO18" s="1422"/>
      <c r="AP18" s="1422"/>
      <c r="AQ18" s="1422"/>
      <c r="AR18" s="1422"/>
      <c r="AS18" s="1422"/>
      <c r="AT18" s="1422"/>
      <c r="AU18" s="1422"/>
      <c r="AV18" s="1422"/>
      <c r="AW18" s="1422"/>
      <c r="AX18" s="1422"/>
      <c r="AY18" s="1422"/>
      <c r="AZ18" s="1422"/>
      <c r="BA18" s="1422"/>
      <c r="BB18" s="1422"/>
      <c r="BC18" s="1422"/>
      <c r="BD18" s="1422"/>
      <c r="BE18" s="1422"/>
      <c r="BF18" s="1422"/>
      <c r="BG18" s="1422"/>
      <c r="BH18" s="1422"/>
      <c r="BI18" s="1422"/>
      <c r="BJ18" s="1422"/>
      <c r="BK18" s="1422"/>
      <c r="BL18" s="1422"/>
      <c r="BM18" s="1422"/>
      <c r="BN18" s="1422"/>
      <c r="BO18" s="1422"/>
      <c r="BP18" s="1422"/>
      <c r="BQ18" s="1422"/>
      <c r="BR18" s="1422"/>
      <c r="BS18" s="1422"/>
      <c r="BT18" s="1422"/>
      <c r="BU18" s="1422"/>
      <c r="BV18" s="1422"/>
      <c r="BW18" s="1422"/>
      <c r="BX18" s="1422"/>
      <c r="BY18" s="1422"/>
      <c r="BZ18" s="1422"/>
      <c r="CA18" s="1422"/>
      <c r="CB18" s="1422"/>
      <c r="CC18" s="1422"/>
      <c r="CD18" s="1422"/>
      <c r="CE18" s="1422"/>
      <c r="CF18" s="1422"/>
      <c r="CG18" s="1422"/>
      <c r="CH18" s="1422"/>
      <c r="CI18" s="1422"/>
      <c r="CJ18" s="1422"/>
      <c r="CK18" s="1422"/>
      <c r="CL18" s="1422"/>
      <c r="CM18" s="1422"/>
      <c r="CN18" s="1422"/>
      <c r="CO18" s="1422"/>
      <c r="CP18" s="1422"/>
      <c r="CQ18" s="1422"/>
      <c r="CR18" s="1422"/>
      <c r="CS18" s="1422"/>
      <c r="CT18" s="1422"/>
      <c r="CU18" s="1422"/>
      <c r="CV18" s="1422"/>
      <c r="CW18" s="1422"/>
      <c r="CX18" s="1422"/>
      <c r="CY18" s="1422"/>
      <c r="CZ18" s="1422"/>
      <c r="DA18" s="1422"/>
      <c r="DB18" s="1422"/>
      <c r="DC18" s="1422"/>
      <c r="DD18" s="1422"/>
      <c r="DE18" s="1422"/>
      <c r="DF18" s="1422"/>
      <c r="DG18" s="1422"/>
      <c r="DH18" s="1422"/>
      <c r="DI18" s="1422"/>
      <c r="DJ18" s="1422"/>
      <c r="DK18" s="1422"/>
      <c r="DL18" s="1422"/>
      <c r="DM18" s="1422"/>
      <c r="DN18" s="1422"/>
      <c r="DO18" s="1422"/>
      <c r="DP18" s="1422"/>
      <c r="DQ18" s="1422"/>
      <c r="DR18" s="1422"/>
      <c r="DS18" s="1422"/>
      <c r="DT18" s="1422"/>
      <c r="DU18" s="1422"/>
      <c r="DV18" s="1422"/>
      <c r="DW18" s="1422"/>
      <c r="DX18" s="1422"/>
      <c r="DY18" s="1422"/>
      <c r="DZ18" s="1422"/>
      <c r="EA18" s="1422"/>
      <c r="EB18" s="1422"/>
      <c r="EC18" s="1422"/>
      <c r="ED18" s="1422"/>
      <c r="EE18" s="1422"/>
      <c r="EF18" s="1422"/>
      <c r="EG18" s="1422"/>
      <c r="EH18" s="1422"/>
      <c r="EI18" s="1422"/>
      <c r="EJ18" s="1422"/>
      <c r="EK18" s="1422"/>
      <c r="EL18" s="1422"/>
      <c r="EM18" s="1422"/>
      <c r="EN18" s="1422"/>
      <c r="EO18" s="1422"/>
      <c r="EP18" s="1422"/>
      <c r="EQ18" s="1422"/>
      <c r="ER18" s="1422"/>
      <c r="ES18" s="1422"/>
      <c r="ET18" s="1422"/>
      <c r="EU18" s="1422"/>
      <c r="EV18" s="1422"/>
      <c r="EW18" s="1422"/>
      <c r="EX18" s="1422"/>
      <c r="EY18" s="1422"/>
      <c r="EZ18" s="1422"/>
      <c r="FA18" s="1422"/>
      <c r="FB18" s="1422"/>
      <c r="FC18" s="1422"/>
      <c r="FD18" s="1422"/>
      <c r="FE18" s="1422"/>
      <c r="FF18" s="1422"/>
      <c r="FG18" s="1422"/>
      <c r="FH18" s="1422"/>
      <c r="FI18" s="1422"/>
      <c r="FJ18" s="1422"/>
      <c r="FK18" s="1422"/>
      <c r="FL18" s="1422"/>
      <c r="FM18" s="1422"/>
      <c r="FN18" s="1422"/>
      <c r="FO18" s="1422"/>
      <c r="FP18" s="1422"/>
      <c r="FQ18" s="1422"/>
      <c r="FR18" s="1422"/>
      <c r="FS18" s="1422"/>
      <c r="FT18" s="1422"/>
      <c r="FU18" s="1422"/>
      <c r="FV18" s="1422"/>
      <c r="FW18" s="1422"/>
      <c r="FX18" s="1422"/>
      <c r="FY18" s="1422"/>
      <c r="FZ18" s="1422"/>
      <c r="GA18" s="1422"/>
      <c r="GB18" s="1422"/>
      <c r="GC18" s="1422"/>
      <c r="GD18" s="1422"/>
      <c r="GE18" s="1422"/>
      <c r="GF18" s="1422"/>
      <c r="GG18" s="1422"/>
      <c r="GH18" s="1422"/>
      <c r="GI18" s="1422"/>
      <c r="GJ18" s="1422"/>
      <c r="GK18" s="1422"/>
      <c r="GL18" s="1422"/>
      <c r="GM18" s="1422"/>
      <c r="GN18" s="1422"/>
      <c r="GO18" s="1422"/>
      <c r="GP18" s="1422"/>
      <c r="GQ18" s="1422"/>
      <c r="GR18" s="1422"/>
      <c r="GS18" s="1422"/>
      <c r="GT18" s="1422"/>
      <c r="GU18" s="1422"/>
      <c r="GV18" s="1422"/>
      <c r="GW18" s="1422"/>
      <c r="GX18" s="1422"/>
      <c r="GY18" s="1422"/>
      <c r="GZ18" s="1422"/>
      <c r="HA18" s="1422"/>
      <c r="HB18" s="1422"/>
      <c r="HC18" s="1422"/>
      <c r="HD18" s="1422"/>
      <c r="HE18" s="1422"/>
      <c r="HF18" s="1422"/>
      <c r="HG18" s="1422"/>
      <c r="HH18" s="1422"/>
      <c r="HI18" s="1422"/>
      <c r="HJ18" s="1422"/>
      <c r="HK18" s="1422"/>
      <c r="HL18" s="1422"/>
      <c r="HM18" s="1422"/>
      <c r="HN18" s="1422"/>
      <c r="HO18" s="1422"/>
      <c r="HP18" s="1422"/>
      <c r="HQ18" s="1422"/>
      <c r="HR18" s="1422"/>
      <c r="HS18" s="1422"/>
      <c r="HT18" s="1422"/>
      <c r="HU18" s="1422"/>
      <c r="HV18" s="1422"/>
      <c r="HW18" s="1422"/>
      <c r="HX18" s="1422"/>
      <c r="HY18" s="1422"/>
      <c r="HZ18" s="1422"/>
      <c r="IA18" s="1422"/>
      <c r="IB18" s="1422"/>
      <c r="IC18" s="1422"/>
      <c r="ID18" s="1422"/>
      <c r="IE18" s="1422"/>
      <c r="IF18" s="1422"/>
      <c r="IG18" s="1422"/>
      <c r="IH18" s="1422"/>
      <c r="II18" s="1422"/>
      <c r="IJ18" s="1422"/>
      <c r="IK18" s="1422"/>
      <c r="IL18" s="1422"/>
      <c r="IM18" s="1422"/>
      <c r="IN18" s="1422"/>
      <c r="IO18" s="1422"/>
      <c r="IP18" s="1422"/>
      <c r="IQ18" s="1422"/>
      <c r="IR18" s="1422"/>
      <c r="IS18" s="1422"/>
      <c r="IT18" s="1422"/>
      <c r="IU18" s="1422"/>
      <c r="IV18" s="1422"/>
    </row>
    <row r="19" spans="1:256">
      <c r="B19" s="1429"/>
      <c r="C19" s="1430">
        <v>42242</v>
      </c>
      <c r="D19" s="1429">
        <v>4.5999999999999996</v>
      </c>
      <c r="E19" s="1429">
        <v>4.5999999999999996</v>
      </c>
      <c r="F19" s="1429">
        <v>5</v>
      </c>
      <c r="G19" s="1429">
        <v>5</v>
      </c>
      <c r="H19" s="1429">
        <v>5.15</v>
      </c>
      <c r="I19" s="1429">
        <v>2.75</v>
      </c>
      <c r="J19" s="1429">
        <v>3.25</v>
      </c>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row>
    <row r="20" spans="1:256">
      <c r="B20" s="1429"/>
      <c r="C20" s="1430">
        <v>42183</v>
      </c>
      <c r="D20" s="1429">
        <v>4.8499999999999996</v>
      </c>
      <c r="E20" s="1429">
        <v>4.8499999999999996</v>
      </c>
      <c r="F20" s="1429">
        <v>5.25</v>
      </c>
      <c r="G20" s="1429">
        <v>5.25</v>
      </c>
      <c r="H20" s="1429">
        <v>5.4</v>
      </c>
      <c r="I20" s="1429">
        <v>3</v>
      </c>
      <c r="J20" s="1429">
        <v>3.5</v>
      </c>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42135</v>
      </c>
      <c r="D21" s="1429">
        <v>5.0999999999999996</v>
      </c>
      <c r="E21" s="1429">
        <v>5.0999999999999996</v>
      </c>
      <c r="F21" s="1429">
        <v>5.5</v>
      </c>
      <c r="G21" s="1429">
        <v>5.5</v>
      </c>
      <c r="H21" s="1429">
        <v>5.65</v>
      </c>
      <c r="I21" s="1429">
        <v>3.25</v>
      </c>
      <c r="J21" s="1429">
        <v>3.75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42064</v>
      </c>
      <c r="D22" s="1429">
        <v>5.35</v>
      </c>
      <c r="E22" s="1429">
        <v>5.35</v>
      </c>
      <c r="F22" s="1429">
        <v>5.75</v>
      </c>
      <c r="G22" s="1429">
        <v>5.75</v>
      </c>
      <c r="H22" s="1429">
        <v>5.9</v>
      </c>
      <c r="I22" s="1429"/>
      <c r="J22" s="1429"/>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41965</v>
      </c>
      <c r="D23" s="1429">
        <v>5.6</v>
      </c>
      <c r="E23" s="1429">
        <v>5.6</v>
      </c>
      <c r="F23" s="1429">
        <v>6</v>
      </c>
      <c r="G23" s="1429">
        <v>6</v>
      </c>
      <c r="H23" s="1429">
        <v>6.15</v>
      </c>
      <c r="I23" s="1429"/>
      <c r="J23" s="1429"/>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41096</v>
      </c>
      <c r="D24" s="1429">
        <v>5.6</v>
      </c>
      <c r="E24" s="1429">
        <v>6</v>
      </c>
      <c r="F24" s="1429">
        <v>6.15</v>
      </c>
      <c r="G24" s="1429">
        <v>6.4</v>
      </c>
      <c r="H24" s="1429">
        <v>6.55</v>
      </c>
      <c r="I24" s="1429">
        <v>4</v>
      </c>
      <c r="J24" s="1429">
        <v>4.5</v>
      </c>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41068</v>
      </c>
      <c r="D25" s="1429">
        <v>5.85</v>
      </c>
      <c r="E25" s="1429">
        <v>6.31</v>
      </c>
      <c r="F25" s="1429">
        <v>6.4</v>
      </c>
      <c r="G25" s="1429">
        <v>6.65</v>
      </c>
      <c r="H25" s="1429">
        <v>6.8</v>
      </c>
      <c r="I25" s="1429">
        <v>4.2</v>
      </c>
      <c r="J25" s="1429">
        <v>4.7</v>
      </c>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40731</v>
      </c>
      <c r="D26" s="1429">
        <v>6.1</v>
      </c>
      <c r="E26" s="1429">
        <v>6.56</v>
      </c>
      <c r="F26" s="1429">
        <v>6.65</v>
      </c>
      <c r="G26" s="1429">
        <v>6.9</v>
      </c>
      <c r="H26" s="1429">
        <v>7.05</v>
      </c>
      <c r="I26" s="1429">
        <v>4.45</v>
      </c>
      <c r="J26" s="1429">
        <v>4.9000000000000004</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40639</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40583</v>
      </c>
      <c r="D28" s="1429">
        <v>5.6</v>
      </c>
      <c r="E28" s="1429">
        <v>6.06</v>
      </c>
      <c r="F28" s="1429">
        <v>6.1</v>
      </c>
      <c r="G28" s="1429">
        <v>6.45</v>
      </c>
      <c r="H28" s="1429">
        <v>6.6</v>
      </c>
      <c r="I28" s="1429">
        <v>4</v>
      </c>
      <c r="J28" s="1429">
        <v>4.5</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40538</v>
      </c>
      <c r="D29" s="1429">
        <v>5.35</v>
      </c>
      <c r="E29" s="1429">
        <v>5.81</v>
      </c>
      <c r="F29" s="1429">
        <v>5.85</v>
      </c>
      <c r="G29" s="1429">
        <v>6.22</v>
      </c>
      <c r="H29" s="1429">
        <v>6.4</v>
      </c>
      <c r="I29" s="1429">
        <v>3.75</v>
      </c>
      <c r="J29" s="1429">
        <v>4.3</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40471</v>
      </c>
      <c r="D30" s="1429">
        <v>5.0999999999999996</v>
      </c>
      <c r="E30" s="1429">
        <v>5.56</v>
      </c>
      <c r="F30" s="1429">
        <v>5.6</v>
      </c>
      <c r="G30" s="1429">
        <v>5.96</v>
      </c>
      <c r="H30" s="1429">
        <v>6.14</v>
      </c>
      <c r="I30" s="1429">
        <v>3.5</v>
      </c>
      <c r="J30" s="1429">
        <v>4.05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39805</v>
      </c>
      <c r="D31" s="1429">
        <v>4.8600000000000003</v>
      </c>
      <c r="E31" s="1429">
        <v>5.31</v>
      </c>
      <c r="F31" s="1429">
        <v>5.4</v>
      </c>
      <c r="G31" s="1429">
        <v>5.76</v>
      </c>
      <c r="H31" s="1429">
        <v>5.94</v>
      </c>
      <c r="I31" s="1429">
        <v>3.33</v>
      </c>
      <c r="J31" s="1429">
        <v>3.87</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39779</v>
      </c>
      <c r="D32" s="1429">
        <v>5.04</v>
      </c>
      <c r="E32" s="1429">
        <v>5.58</v>
      </c>
      <c r="F32" s="1429">
        <v>5.67</v>
      </c>
      <c r="G32" s="1429">
        <v>5.94</v>
      </c>
      <c r="H32" s="1429">
        <v>6.12</v>
      </c>
      <c r="I32" s="1429">
        <v>3.51</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39751</v>
      </c>
      <c r="D33" s="1429">
        <v>6.03</v>
      </c>
      <c r="E33" s="1429">
        <v>6.66</v>
      </c>
      <c r="F33" s="1429">
        <v>6.75</v>
      </c>
      <c r="G33" s="1429">
        <v>7.02</v>
      </c>
      <c r="H33" s="1429">
        <v>7.2</v>
      </c>
      <c r="I33" s="1429">
        <v>4.05</v>
      </c>
      <c r="J33" s="1429">
        <v>4.59</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1">
        <v>39748</v>
      </c>
      <c r="D34" s="1429">
        <v>6.12</v>
      </c>
      <c r="E34" s="1429">
        <v>6.93</v>
      </c>
      <c r="F34" s="1429">
        <v>7.02</v>
      </c>
      <c r="G34" s="1429">
        <v>7.29</v>
      </c>
      <c r="H34" s="1429">
        <v>7.47</v>
      </c>
      <c r="I34" s="1429">
        <v>4.05</v>
      </c>
      <c r="J34" s="1429">
        <v>4.59</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39730</v>
      </c>
      <c r="D35" s="1429">
        <v>6.12</v>
      </c>
      <c r="E35" s="1429">
        <v>6.93</v>
      </c>
      <c r="F35" s="1429">
        <v>7.02</v>
      </c>
      <c r="G35" s="1429">
        <v>7.29</v>
      </c>
      <c r="H35" s="1429">
        <v>7.47</v>
      </c>
      <c r="I35" s="1429">
        <v>4.32</v>
      </c>
      <c r="J35" s="1429">
        <v>4.8600000000000003</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0">
        <v>39707</v>
      </c>
      <c r="D36" s="1429">
        <v>6.21</v>
      </c>
      <c r="E36" s="1429">
        <v>7.2</v>
      </c>
      <c r="F36" s="1429">
        <v>7.29</v>
      </c>
      <c r="G36" s="1429">
        <v>7.56</v>
      </c>
      <c r="H36" s="1429">
        <v>7.74</v>
      </c>
      <c r="I36" s="1429">
        <v>4.59</v>
      </c>
      <c r="J36" s="1429">
        <v>5.13</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39437</v>
      </c>
      <c r="D37" s="1429">
        <v>6.57</v>
      </c>
      <c r="E37" s="1429">
        <v>7.47</v>
      </c>
      <c r="F37" s="1429">
        <v>7.56</v>
      </c>
      <c r="G37" s="1429">
        <v>7.74</v>
      </c>
      <c r="H37" s="1429">
        <v>7.83</v>
      </c>
      <c r="I37" s="1429">
        <v>4.7699999999999996</v>
      </c>
      <c r="J37" s="1429">
        <v>5.22</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39340</v>
      </c>
      <c r="D38" s="1429">
        <v>6.48</v>
      </c>
      <c r="E38" s="1429">
        <v>7.29</v>
      </c>
      <c r="F38" s="1429">
        <v>7.47</v>
      </c>
      <c r="G38" s="1429">
        <v>7.65</v>
      </c>
      <c r="H38" s="1429">
        <v>7.83</v>
      </c>
      <c r="I38" s="1429">
        <v>4.7699999999999996</v>
      </c>
      <c r="J38" s="1429">
        <v>5.22</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39316</v>
      </c>
      <c r="D39" s="1429">
        <v>6.21</v>
      </c>
      <c r="E39" s="1429">
        <v>7.02</v>
      </c>
      <c r="F39" s="1429">
        <v>7.2</v>
      </c>
      <c r="G39" s="1429">
        <v>7.38</v>
      </c>
      <c r="H39" s="1429">
        <v>7.56</v>
      </c>
      <c r="I39" s="1429">
        <v>4.59</v>
      </c>
      <c r="J39" s="1429">
        <v>5.04</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39284</v>
      </c>
      <c r="D40" s="1429">
        <v>6.03</v>
      </c>
      <c r="E40" s="1429">
        <v>6.84</v>
      </c>
      <c r="F40" s="1429">
        <v>7.02</v>
      </c>
      <c r="G40" s="1429">
        <v>7.2</v>
      </c>
      <c r="H40" s="1429">
        <v>7.38</v>
      </c>
      <c r="I40" s="1429">
        <v>4.5</v>
      </c>
      <c r="J40" s="1429">
        <v>4.95</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39221</v>
      </c>
      <c r="D41" s="1429">
        <v>5.85</v>
      </c>
      <c r="E41" s="1429">
        <v>6.57</v>
      </c>
      <c r="F41" s="1429">
        <v>6.75</v>
      </c>
      <c r="G41" s="1429">
        <v>6.93</v>
      </c>
      <c r="H41" s="1429">
        <v>7.2</v>
      </c>
      <c r="I41" s="1429">
        <v>4.41</v>
      </c>
      <c r="J41" s="1429">
        <v>4.8600000000000003</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39159</v>
      </c>
      <c r="D42" s="1429">
        <v>5.67</v>
      </c>
      <c r="E42" s="1429">
        <v>6.39</v>
      </c>
      <c r="F42" s="1429">
        <v>6.57</v>
      </c>
      <c r="G42" s="1429">
        <v>6.75</v>
      </c>
      <c r="H42" s="1429">
        <v>7.11</v>
      </c>
      <c r="I42" s="1429">
        <v>4.32</v>
      </c>
      <c r="J42" s="1429">
        <v>4.7699999999999996</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38948</v>
      </c>
      <c r="D43" s="1429">
        <v>5.58</v>
      </c>
      <c r="E43" s="1429">
        <v>6.12</v>
      </c>
      <c r="F43" s="1429">
        <v>6.3</v>
      </c>
      <c r="G43" s="1429">
        <v>6.48</v>
      </c>
      <c r="H43" s="1429">
        <v>6.84</v>
      </c>
      <c r="I43" s="1429">
        <v>4.1399999999999997</v>
      </c>
      <c r="J43" s="1429">
        <v>4.59</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38835</v>
      </c>
      <c r="D44" s="1429">
        <v>5.4</v>
      </c>
      <c r="E44" s="1429">
        <v>5.85</v>
      </c>
      <c r="F44" s="1429">
        <v>6.03</v>
      </c>
      <c r="G44" s="1429">
        <v>6.12</v>
      </c>
      <c r="H44" s="1429">
        <v>6.39</v>
      </c>
      <c r="I44" s="1429">
        <v>4.1399999999999997</v>
      </c>
      <c r="J44" s="1429">
        <v>4.59</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38428</v>
      </c>
      <c r="D45" s="1429">
        <v>5.22</v>
      </c>
      <c r="E45" s="1429">
        <v>5.58</v>
      </c>
      <c r="F45" s="1429">
        <v>5.76</v>
      </c>
      <c r="G45" s="1429">
        <v>5.85</v>
      </c>
      <c r="H45" s="1429">
        <v>6.12</v>
      </c>
      <c r="I45" s="1429">
        <v>3.96</v>
      </c>
      <c r="J45" s="1429">
        <v>4.41</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38289</v>
      </c>
      <c r="D46" s="1429">
        <v>5.22</v>
      </c>
      <c r="E46" s="1429">
        <v>5.58</v>
      </c>
      <c r="F46" s="1429">
        <v>5.76</v>
      </c>
      <c r="G46" s="1429">
        <v>5.85</v>
      </c>
      <c r="H46" s="1429">
        <v>6.12</v>
      </c>
      <c r="I46" s="1429">
        <v>3.78</v>
      </c>
      <c r="J46" s="1429">
        <v>4.2300000000000004</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37308</v>
      </c>
      <c r="D47" s="1429">
        <v>5.04</v>
      </c>
      <c r="E47" s="1429">
        <v>5.31</v>
      </c>
      <c r="F47" s="1429">
        <v>5.49</v>
      </c>
      <c r="G47" s="1429">
        <v>5.58</v>
      </c>
      <c r="H47" s="1429">
        <v>5.76</v>
      </c>
      <c r="I47" s="1429">
        <v>3.6</v>
      </c>
      <c r="J47" s="1429">
        <v>4.05</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36321</v>
      </c>
      <c r="D48" s="1429">
        <v>5.58</v>
      </c>
      <c r="E48" s="1429">
        <v>5.85</v>
      </c>
      <c r="F48" s="1429">
        <v>5.94</v>
      </c>
      <c r="G48" s="1429">
        <v>6.03</v>
      </c>
      <c r="H48" s="1429">
        <v>6.21</v>
      </c>
      <c r="I48" s="1429">
        <v>4.1399999999999997</v>
      </c>
      <c r="J48" s="1429">
        <v>4.59</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36136</v>
      </c>
      <c r="D49" s="1429">
        <v>6.12</v>
      </c>
      <c r="E49" s="1429">
        <v>6.39</v>
      </c>
      <c r="F49" s="1429">
        <v>6.66</v>
      </c>
      <c r="G49" s="1429">
        <v>7.2</v>
      </c>
      <c r="H49" s="1429">
        <v>7.56</v>
      </c>
      <c r="I49" s="1429">
        <v>0</v>
      </c>
      <c r="J49" s="1429">
        <v>0</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35977</v>
      </c>
      <c r="D50" s="1429">
        <v>6.57</v>
      </c>
      <c r="E50" s="1429">
        <v>6.93</v>
      </c>
      <c r="F50" s="1429">
        <v>7.11</v>
      </c>
      <c r="G50" s="1429">
        <v>7.65</v>
      </c>
      <c r="H50" s="1429">
        <v>8.01</v>
      </c>
      <c r="I50" s="1429">
        <v>0</v>
      </c>
      <c r="J50" s="1429">
        <v>0</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35879</v>
      </c>
      <c r="D51" s="1429">
        <v>7.02</v>
      </c>
      <c r="E51" s="1429">
        <v>7.92</v>
      </c>
      <c r="F51" s="1429">
        <v>9</v>
      </c>
      <c r="G51" s="1429">
        <v>9.7200000000000006</v>
      </c>
      <c r="H51" s="1429">
        <v>10.35</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35726</v>
      </c>
      <c r="D52" s="1429">
        <v>7.65</v>
      </c>
      <c r="E52" s="1429">
        <v>8.64</v>
      </c>
      <c r="F52" s="1429">
        <v>9.36</v>
      </c>
      <c r="G52" s="1429">
        <v>9.9</v>
      </c>
      <c r="H52" s="1429">
        <v>10.53</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35300</v>
      </c>
      <c r="D53" s="1429">
        <v>9.18</v>
      </c>
      <c r="E53" s="1429">
        <v>10.08</v>
      </c>
      <c r="F53" s="1429">
        <v>10.98</v>
      </c>
      <c r="G53" s="1429">
        <v>11.7</v>
      </c>
      <c r="H53" s="1429">
        <v>12.42</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35186</v>
      </c>
      <c r="D54" s="1429">
        <v>9.7200000000000006</v>
      </c>
      <c r="E54" s="1429">
        <v>10.98</v>
      </c>
      <c r="F54" s="1429">
        <v>13.14</v>
      </c>
      <c r="G54" s="1429">
        <v>14.94</v>
      </c>
      <c r="H54" s="1429">
        <v>15.12</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34881</v>
      </c>
      <c r="D55" s="1429">
        <v>10.08</v>
      </c>
      <c r="E55" s="1429">
        <v>12.06</v>
      </c>
      <c r="F55" s="1429">
        <v>13.5</v>
      </c>
      <c r="G55" s="1429">
        <v>15.12</v>
      </c>
      <c r="H55" s="1429">
        <v>15.3</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34700</v>
      </c>
      <c r="D56" s="1429">
        <v>9</v>
      </c>
      <c r="E56" s="1429">
        <v>10.98</v>
      </c>
      <c r="F56" s="1429">
        <v>12.96</v>
      </c>
      <c r="G56" s="1429">
        <v>14.58</v>
      </c>
      <c r="H56" s="1429">
        <v>14.76</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34161</v>
      </c>
      <c r="D57" s="1429">
        <v>9</v>
      </c>
      <c r="E57" s="1429">
        <v>10.98</v>
      </c>
      <c r="F57" s="1429">
        <v>12.24</v>
      </c>
      <c r="G57" s="1429">
        <v>13.86</v>
      </c>
      <c r="H57" s="1429">
        <v>14.04</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34104</v>
      </c>
      <c r="D58" s="1429">
        <v>8.82</v>
      </c>
      <c r="E58" s="1429">
        <v>9.36</v>
      </c>
      <c r="F58" s="1429">
        <v>10.8</v>
      </c>
      <c r="G58" s="1429">
        <v>12.06</v>
      </c>
      <c r="H58" s="1429">
        <v>12.24</v>
      </c>
      <c r="I58" s="1429">
        <v>0</v>
      </c>
      <c r="J58" s="1429">
        <v>0</v>
      </c>
    </row>
    <row r="59" spans="2:26">
      <c r="B59" s="1429"/>
      <c r="C59" s="1430">
        <v>33349</v>
      </c>
      <c r="D59" s="1429">
        <v>8.1</v>
      </c>
      <c r="E59" s="1429">
        <v>8.64</v>
      </c>
      <c r="F59" s="1429">
        <v>9</v>
      </c>
      <c r="G59" s="1429">
        <v>9.5399999999999991</v>
      </c>
      <c r="H59" s="1429">
        <v>9.7200000000000006</v>
      </c>
      <c r="I59" s="1429">
        <v>0</v>
      </c>
      <c r="J59" s="1429">
        <v>0</v>
      </c>
    </row>
    <row r="60" spans="2:26">
      <c r="B60" s="1429"/>
      <c r="C60" s="1430">
        <v>33318</v>
      </c>
      <c r="D60" s="1429">
        <v>9</v>
      </c>
      <c r="E60" s="1429">
        <v>10.08</v>
      </c>
      <c r="F60" s="1429">
        <v>10.8</v>
      </c>
      <c r="G60" s="1429">
        <v>11.52</v>
      </c>
      <c r="H60" s="1429">
        <v>11.88</v>
      </c>
      <c r="I60" s="1429" t="s">
        <v>1239</v>
      </c>
      <c r="J60" s="1429" t="s">
        <v>1239</v>
      </c>
    </row>
    <row r="61" spans="2:26">
      <c r="B61" s="1429"/>
      <c r="C61" s="1430">
        <v>33106</v>
      </c>
      <c r="D61" s="1429">
        <v>8.64</v>
      </c>
      <c r="E61" s="1429">
        <v>9.36</v>
      </c>
      <c r="F61" s="1429">
        <v>10.08</v>
      </c>
      <c r="G61" s="1429">
        <v>10.8</v>
      </c>
      <c r="H61" s="1429">
        <v>11.16</v>
      </c>
      <c r="I61" s="1429">
        <v>0</v>
      </c>
      <c r="J61" s="1429">
        <v>0</v>
      </c>
    </row>
    <row r="62" spans="2:26">
      <c r="B62" s="1429"/>
      <c r="C62" s="1430">
        <v>32540</v>
      </c>
      <c r="D62" s="1429">
        <v>11.34</v>
      </c>
      <c r="E62" s="1429">
        <v>11.34</v>
      </c>
      <c r="F62" s="1429">
        <v>12.78</v>
      </c>
      <c r="G62" s="1429">
        <v>14.4</v>
      </c>
      <c r="H62" s="1429">
        <v>19.260000000000002</v>
      </c>
      <c r="I62" s="1429">
        <v>0</v>
      </c>
      <c r="J62" s="1429">
        <v>0</v>
      </c>
    </row>
    <row r="63" spans="2:26">
      <c r="B63" s="1429"/>
      <c r="C63" s="1430"/>
      <c r="D63" s="1429"/>
      <c r="E63" s="1429"/>
      <c r="F63" s="1429"/>
      <c r="G63" s="1429"/>
      <c r="H63" s="1429"/>
      <c r="I63" s="1429"/>
      <c r="J63" s="1429"/>
    </row>
    <row r="64" spans="2:26">
      <c r="B64" s="1432"/>
      <c r="C64" s="1433"/>
      <c r="D64" s="1432"/>
      <c r="E64" s="1432"/>
      <c r="F64" s="1432"/>
      <c r="G64" s="1432"/>
      <c r="H64" s="1432"/>
      <c r="I64" s="1432"/>
      <c r="J64" s="1432"/>
    </row>
    <row r="65" spans="2:10">
      <c r="B65" s="1432"/>
      <c r="C65" s="1433"/>
      <c r="D65" s="1432"/>
      <c r="E65" s="1432"/>
      <c r="F65" s="1432"/>
      <c r="G65" s="1432"/>
      <c r="H65" s="1432"/>
      <c r="I65" s="1432"/>
      <c r="J65" s="1432"/>
    </row>
    <row r="66" spans="2:10">
      <c r="B66" s="1432"/>
      <c r="C66" s="1433"/>
      <c r="D66" s="1432"/>
      <c r="E66" s="1432"/>
      <c r="F66" s="1432"/>
      <c r="G66" s="1432"/>
      <c r="H66" s="1432"/>
      <c r="I66" s="1432"/>
      <c r="J66" s="1432"/>
    </row>
    <row r="67" spans="2:10">
      <c r="B67" s="1381"/>
      <c r="C67" s="1381"/>
      <c r="D67" s="1381"/>
      <c r="E67" s="1381"/>
      <c r="F67" s="1381"/>
      <c r="G67" s="1381"/>
      <c r="H67" s="1381"/>
      <c r="I67" s="1381"/>
      <c r="J67" s="1381"/>
    </row>
    <row r="68" spans="2:10">
      <c r="B68" s="1381"/>
      <c r="C68" s="1381"/>
      <c r="D68" s="1381"/>
      <c r="E68" s="1381"/>
      <c r="F68" s="1381"/>
      <c r="G68" s="1381"/>
      <c r="H68" s="1381"/>
      <c r="I68" s="1381"/>
      <c r="J68" s="1381"/>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4" zoomScaleNormal="60" zoomScaleSheetLayoutView="100" workbookViewId="0">
      <selection activeCell="L59" sqref="L59"/>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f>F66</f>
        <v>72674</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f>ROUND(IF(D3="",B2*10000/'数据-汇总表'!E3,B2*10000/D3),0)</f>
        <v>7160</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2406</v>
      </c>
      <c r="B4" s="362"/>
      <c r="C4" s="3572" t="s">
        <v>2407</v>
      </c>
      <c r="D4" s="3573"/>
      <c r="E4" s="3574" t="s">
        <v>2408</v>
      </c>
      <c r="F4" s="3575"/>
      <c r="G4" s="3572" t="s">
        <v>2409</v>
      </c>
      <c r="H4" s="3573"/>
      <c r="I4" s="3572" t="s">
        <v>2410</v>
      </c>
      <c r="J4" s="3573"/>
      <c r="K4" s="567" t="s">
        <v>2411</v>
      </c>
      <c r="L4" s="2913"/>
      <c r="M4" s="2914"/>
      <c r="N4" s="2914"/>
      <c r="O4" s="2914"/>
      <c r="P4" s="3576" t="s">
        <v>2412</v>
      </c>
      <c r="Q4" s="3577"/>
      <c r="R4" s="3582" t="s">
        <v>2408</v>
      </c>
      <c r="S4" s="3583"/>
      <c r="T4" s="3582" t="s">
        <v>2409</v>
      </c>
      <c r="U4" s="3583"/>
      <c r="V4" s="3588" t="s">
        <v>2410</v>
      </c>
      <c r="W4" s="3588"/>
      <c r="X4" s="1508"/>
      <c r="Y4" s="3582" t="s">
        <v>2412</v>
      </c>
      <c r="Z4" s="3583"/>
      <c r="AA4" s="3569" t="s">
        <v>2408</v>
      </c>
      <c r="AB4" s="3570" t="s">
        <v>2409</v>
      </c>
      <c r="AC4" s="3569" t="s">
        <v>2410</v>
      </c>
    </row>
    <row r="5" spans="1:30" ht="15">
      <c r="A5" s="364"/>
      <c r="B5" s="365"/>
      <c r="C5" s="3591" t="s">
        <v>2303</v>
      </c>
      <c r="D5" s="3592"/>
      <c r="E5" s="3598" t="str">
        <f>土地案例!A2</f>
        <v>北京市大兴区黄村镇DX00-0201-6001地块B14旅馆用地</v>
      </c>
      <c r="F5" s="3599"/>
      <c r="G5" s="3591" t="str">
        <f>土地案例!A4</f>
        <v>北京经济技术开发区路东区G4F-4、G6F-1、G6F-5、G7F-1、G7F-2、G7F-3地块F3其他类多功能用地国有建设用地</v>
      </c>
      <c r="H5" s="3592"/>
      <c r="I5" s="3591" t="str">
        <f>土地案例!A6</f>
        <v>北京经济技术开发区河西区X78C2地块B4综合性商业金融服务业用地</v>
      </c>
      <c r="J5" s="3592"/>
      <c r="K5" s="567"/>
      <c r="L5" s="2913"/>
      <c r="M5" s="2914"/>
      <c r="N5" s="2914"/>
      <c r="O5" s="2914"/>
      <c r="P5" s="3578"/>
      <c r="Q5" s="3579"/>
      <c r="R5" s="3584"/>
      <c r="S5" s="3585"/>
      <c r="T5" s="3584"/>
      <c r="U5" s="3585"/>
      <c r="V5" s="3588"/>
      <c r="W5" s="3588"/>
      <c r="X5" s="1508"/>
      <c r="Y5" s="3584"/>
      <c r="Z5" s="3585"/>
      <c r="AA5" s="3570"/>
      <c r="AB5" s="3570"/>
      <c r="AC5" s="3570"/>
    </row>
    <row r="6" spans="1:30" ht="15.75" thickBot="1">
      <c r="A6" s="366"/>
      <c r="B6" s="367"/>
      <c r="C6" s="3589" t="s">
        <v>2307</v>
      </c>
      <c r="D6" s="3590"/>
      <c r="E6" s="3596" t="s">
        <v>2307</v>
      </c>
      <c r="F6" s="3597"/>
      <c r="G6" s="3589" t="s">
        <v>2307</v>
      </c>
      <c r="H6" s="3590"/>
      <c r="I6" s="3589" t="s">
        <v>2307</v>
      </c>
      <c r="J6" s="3590"/>
      <c r="K6" s="567" t="s">
        <v>2308</v>
      </c>
      <c r="L6" s="2913"/>
      <c r="M6" s="2914"/>
      <c r="N6" s="2914"/>
      <c r="O6" s="2914"/>
      <c r="P6" s="3580"/>
      <c r="Q6" s="3581"/>
      <c r="R6" s="3584"/>
      <c r="S6" s="3585"/>
      <c r="T6" s="3586"/>
      <c r="U6" s="3587"/>
      <c r="V6" s="3588"/>
      <c r="W6" s="3588"/>
      <c r="X6" s="1508"/>
      <c r="Y6" s="3586"/>
      <c r="Z6" s="3587"/>
      <c r="AA6" s="3571"/>
      <c r="AB6" s="3571"/>
      <c r="AC6" s="3571"/>
    </row>
    <row r="7" spans="1:30" s="113" customFormat="1" ht="15.75" thickBot="1">
      <c r="A7" s="368" t="s">
        <v>2309</v>
      </c>
      <c r="B7" s="369"/>
      <c r="C7" s="370">
        <f>'数据-取费表'!B2</f>
        <v>44567</v>
      </c>
      <c r="D7" s="371">
        <v>100</v>
      </c>
      <c r="E7" s="372">
        <f>土地案例!L2</f>
        <v>44554</v>
      </c>
      <c r="F7" s="373">
        <f>SUMIF(70:70,YEAR(E7)&amp;"-"&amp;INT((MONTH(E7)+2)/3),71:71)</f>
        <v>99</v>
      </c>
      <c r="G7" s="2129">
        <f>土地案例!L4</f>
        <v>44046</v>
      </c>
      <c r="H7" s="371">
        <f>SUMIF(70:70,YEAR(G7)&amp;"-"&amp;INT((MONTH(G7)+2)/3),71:71)</f>
        <v>94</v>
      </c>
      <c r="I7" s="2129">
        <f>土地案例!L6</f>
        <v>43706</v>
      </c>
      <c r="J7" s="371">
        <f>SUMIF(70:70,YEAR(I7)&amp;"-"&amp;INT((MONTH(I7)+2)/3),71:71)</f>
        <v>90</v>
      </c>
      <c r="K7" s="568"/>
      <c r="L7" s="2915"/>
      <c r="M7" s="2916"/>
      <c r="N7" s="2916"/>
      <c r="O7" s="2916"/>
      <c r="P7" s="3593" t="s">
        <v>2310</v>
      </c>
      <c r="Q7" s="3595"/>
      <c r="R7" s="710" t="s">
        <v>17</v>
      </c>
      <c r="S7" s="711">
        <f t="shared" ref="S7:S15" si="0">F7</f>
        <v>99</v>
      </c>
      <c r="T7" s="710" t="s">
        <v>17</v>
      </c>
      <c r="U7" s="711">
        <f t="shared" ref="U7:U15" si="1">H7</f>
        <v>94</v>
      </c>
      <c r="V7" s="710" t="s">
        <v>17</v>
      </c>
      <c r="W7" s="711">
        <f t="shared" ref="W7:W15" si="2">J7</f>
        <v>90</v>
      </c>
      <c r="X7" s="712"/>
      <c r="Y7" s="3593" t="s">
        <v>2310</v>
      </c>
      <c r="Z7" s="3594"/>
      <c r="AA7" s="713">
        <f>D7/F7</f>
        <v>1.0101010101010102</v>
      </c>
      <c r="AB7" s="713">
        <f>D7/H7</f>
        <v>1.0638297872340425</v>
      </c>
      <c r="AC7" s="713">
        <f>D7/J7</f>
        <v>1.1111111111111112</v>
      </c>
    </row>
    <row r="8" spans="1:30" s="113" customFormat="1" ht="15.75" thickBot="1">
      <c r="A8" s="368" t="s">
        <v>2311</v>
      </c>
      <c r="B8" s="369"/>
      <c r="C8" s="374" t="s">
        <v>2312</v>
      </c>
      <c r="D8" s="371">
        <v>100</v>
      </c>
      <c r="E8" s="374" t="s">
        <v>3329</v>
      </c>
      <c r="F8" s="373">
        <f>SUMIF(73:73,E8,74:74)-SUMIF(73:73,C8,74:74)+100</f>
        <v>100</v>
      </c>
      <c r="G8" s="374" t="s">
        <v>3329</v>
      </c>
      <c r="H8" s="371">
        <f>SUMIF(73:73,G8,74:74)-SUMIF(73:73,C8,74:74)+100</f>
        <v>100</v>
      </c>
      <c r="I8" s="374" t="s">
        <v>3329</v>
      </c>
      <c r="J8" s="371">
        <f>SUMIF(73:73,I8,74:74)-SUMIF(73:73,C8,74:74)+100</f>
        <v>100</v>
      </c>
      <c r="K8" s="568"/>
      <c r="L8" s="2915"/>
      <c r="M8" s="2916"/>
      <c r="N8" s="2916"/>
      <c r="O8" s="2916"/>
      <c r="P8" s="3593" t="s">
        <v>2313</v>
      </c>
      <c r="Q8" s="3594"/>
      <c r="R8" s="710" t="s">
        <v>17</v>
      </c>
      <c r="S8" s="711">
        <f t="shared" si="0"/>
        <v>100</v>
      </c>
      <c r="T8" s="710" t="s">
        <v>17</v>
      </c>
      <c r="U8" s="711">
        <f t="shared" si="1"/>
        <v>100</v>
      </c>
      <c r="V8" s="710" t="s">
        <v>17</v>
      </c>
      <c r="W8" s="711">
        <f t="shared" si="2"/>
        <v>100</v>
      </c>
      <c r="X8" s="712"/>
      <c r="Y8" s="3593" t="s">
        <v>2313</v>
      </c>
      <c r="Z8" s="3594"/>
      <c r="AA8" s="713">
        <f t="shared" ref="AA8:AA45" si="3">D8/F8</f>
        <v>1</v>
      </c>
      <c r="AB8" s="713">
        <f t="shared" ref="AB8:AB45" si="4">D8/H8</f>
        <v>1</v>
      </c>
      <c r="AC8" s="713">
        <f t="shared" ref="AC8:AC45" si="5">D8/J8</f>
        <v>1</v>
      </c>
    </row>
    <row r="9" spans="1:30" s="113" customFormat="1" ht="28.5">
      <c r="A9" s="375" t="s">
        <v>2314</v>
      </c>
      <c r="B9" s="67" t="s">
        <v>2315</v>
      </c>
      <c r="C9" s="2132" t="s">
        <v>1283</v>
      </c>
      <c r="D9" s="131">
        <v>100</v>
      </c>
      <c r="E9" s="2132" t="str">
        <f>土地案例!I2</f>
        <v>B14旅馆用地</v>
      </c>
      <c r="F9" s="131">
        <f>SUMIF(75:75,E9,76:76)-SUMIF(75:75,C9,76:76)+100</f>
        <v>98</v>
      </c>
      <c r="G9" s="2132" t="str">
        <f>土地案例!I4</f>
        <v>F3其他类多功能用地</v>
      </c>
      <c r="H9" s="131">
        <f>SUMIF(75:75,G9,76:76)-SUMIF(75:75,C9,76:76)+100</f>
        <v>96</v>
      </c>
      <c r="I9" s="2132" t="str">
        <f>土地案例!I6</f>
        <v>B4综合性商业金融服务业用地</v>
      </c>
      <c r="J9" s="131">
        <f>SUMIF(75:75,I9,76:76)-SUMIF(75:75,C9,76:76)+100</f>
        <v>100</v>
      </c>
      <c r="K9" s="568"/>
      <c r="L9" s="2915"/>
      <c r="M9" s="2916"/>
      <c r="N9" s="2916"/>
      <c r="O9" s="2970"/>
      <c r="P9" s="3557" t="s">
        <v>2316</v>
      </c>
      <c r="Q9" s="1496" t="str">
        <f t="shared" ref="Q9:Q15" si="6">B9</f>
        <v>用途</v>
      </c>
      <c r="R9" s="710" t="s">
        <v>17</v>
      </c>
      <c r="S9" s="711">
        <f t="shared" si="0"/>
        <v>98</v>
      </c>
      <c r="T9" s="710" t="s">
        <v>17</v>
      </c>
      <c r="U9" s="711">
        <f t="shared" si="1"/>
        <v>96</v>
      </c>
      <c r="V9" s="710" t="s">
        <v>17</v>
      </c>
      <c r="W9" s="711">
        <f t="shared" si="2"/>
        <v>100</v>
      </c>
      <c r="X9" s="712"/>
      <c r="Y9" s="3429" t="s">
        <v>2317</v>
      </c>
      <c r="Z9" s="55" t="str">
        <f t="shared" ref="Z9:Z15" si="7">Q9</f>
        <v>用途</v>
      </c>
      <c r="AA9" s="713">
        <f t="shared" si="3"/>
        <v>1.0204081632653061</v>
      </c>
      <c r="AB9" s="713">
        <f t="shared" si="4"/>
        <v>1.0416666666666667</v>
      </c>
      <c r="AC9" s="713">
        <f t="shared" si="5"/>
        <v>1</v>
      </c>
    </row>
    <row r="10" spans="1:30" s="386" customFormat="1" ht="27">
      <c r="A10" s="380"/>
      <c r="B10" s="381" t="s">
        <v>2318</v>
      </c>
      <c r="C10" s="391"/>
      <c r="D10" s="132">
        <v>100</v>
      </c>
      <c r="E10" s="424"/>
      <c r="F10" s="132">
        <f>ROUND(100/'数据-取费表'!G16,0)</f>
        <v>135</v>
      </c>
      <c r="G10" s="422"/>
      <c r="H10" s="132">
        <f>ROUND(100/'数据-取费表'!G16,0)</f>
        <v>135</v>
      </c>
      <c r="I10" s="422"/>
      <c r="J10" s="132">
        <f>ROUND(100/'数据-取费表'!G16,0)</f>
        <v>135</v>
      </c>
      <c r="K10" s="628"/>
      <c r="L10" s="2917"/>
      <c r="M10" s="2918"/>
      <c r="N10" s="2918"/>
      <c r="O10" s="2971"/>
      <c r="P10" s="3557"/>
      <c r="Q10" s="1496" t="str">
        <f t="shared" si="6"/>
        <v>土地使用年限（年）</v>
      </c>
      <c r="R10" s="710" t="s">
        <v>17</v>
      </c>
      <c r="S10" s="711">
        <f t="shared" si="0"/>
        <v>135</v>
      </c>
      <c r="T10" s="710" t="s">
        <v>17</v>
      </c>
      <c r="U10" s="711">
        <f t="shared" si="1"/>
        <v>135</v>
      </c>
      <c r="V10" s="710" t="s">
        <v>17</v>
      </c>
      <c r="W10" s="711">
        <f t="shared" si="2"/>
        <v>135</v>
      </c>
      <c r="X10" s="712"/>
      <c r="Y10" s="3429"/>
      <c r="Z10" s="55" t="str">
        <f t="shared" si="7"/>
        <v>土地使用年限（年）</v>
      </c>
      <c r="AA10" s="713">
        <f t="shared" si="3"/>
        <v>0.7407407407407407</v>
      </c>
      <c r="AB10" s="713">
        <f t="shared" si="4"/>
        <v>0.7407407407407407</v>
      </c>
      <c r="AC10" s="713">
        <f t="shared" si="5"/>
        <v>0.7407407407407407</v>
      </c>
    </row>
    <row r="11" spans="1:30" ht="15">
      <c r="A11" s="387"/>
      <c r="B11" s="381" t="s">
        <v>2319</v>
      </c>
      <c r="C11" s="388">
        <f>'数据-汇总表'!I6</f>
        <v>2.39</v>
      </c>
      <c r="D11" s="132">
        <v>100</v>
      </c>
      <c r="E11" s="388">
        <v>2</v>
      </c>
      <c r="F11" s="132">
        <f>LOOKUP(E11,80:80,81:81)-LOOKUP(C11,80:80,81:81)+100</f>
        <v>100</v>
      </c>
      <c r="G11" s="389">
        <v>2.5</v>
      </c>
      <c r="H11" s="132">
        <f>LOOKUP(G11,80:80,81:81)-LOOKUP(C11,80:80,81:81)+100</f>
        <v>100</v>
      </c>
      <c r="I11" s="388">
        <v>2</v>
      </c>
      <c r="J11" s="132">
        <f>LOOKUP(I11,80:80,81:81)-LOOKUP(C11,80:80,81:81)+100</f>
        <v>100</v>
      </c>
      <c r="K11" s="629">
        <v>3</v>
      </c>
      <c r="L11" s="2919"/>
      <c r="M11" s="2914"/>
      <c r="N11" s="2914"/>
      <c r="O11" s="2972"/>
      <c r="P11" s="3557"/>
      <c r="Q11" s="1496" t="str">
        <f t="shared" si="6"/>
        <v>容积率</v>
      </c>
      <c r="R11" s="710" t="s">
        <v>17</v>
      </c>
      <c r="S11" s="711">
        <f t="shared" si="0"/>
        <v>100</v>
      </c>
      <c r="T11" s="710" t="s">
        <v>17</v>
      </c>
      <c r="U11" s="711">
        <f t="shared" si="1"/>
        <v>100</v>
      </c>
      <c r="V11" s="710" t="s">
        <v>17</v>
      </c>
      <c r="W11" s="711">
        <f t="shared" si="2"/>
        <v>100</v>
      </c>
      <c r="X11" s="712"/>
      <c r="Y11" s="3429"/>
      <c r="Z11" s="55" t="str">
        <f t="shared" si="7"/>
        <v>容积率</v>
      </c>
      <c r="AA11" s="713">
        <f t="shared" si="3"/>
        <v>1</v>
      </c>
      <c r="AB11" s="713">
        <f t="shared" si="4"/>
        <v>1</v>
      </c>
      <c r="AC11" s="713">
        <f t="shared" si="5"/>
        <v>1</v>
      </c>
    </row>
    <row r="12" spans="1:30" s="113" customFormat="1" ht="15">
      <c r="A12" s="390"/>
      <c r="B12" s="2048" t="s">
        <v>2508</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557"/>
      <c r="Q12" s="1496" t="str">
        <f t="shared" si="6"/>
        <v>配建</v>
      </c>
      <c r="R12" s="710" t="s">
        <v>17</v>
      </c>
      <c r="S12" s="711">
        <f t="shared" si="0"/>
        <v>100</v>
      </c>
      <c r="T12" s="710" t="s">
        <v>17</v>
      </c>
      <c r="U12" s="711">
        <f t="shared" si="1"/>
        <v>100</v>
      </c>
      <c r="V12" s="710" t="s">
        <v>17</v>
      </c>
      <c r="W12" s="711">
        <f t="shared" si="2"/>
        <v>100</v>
      </c>
      <c r="X12" s="712"/>
      <c r="Y12" s="3429"/>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557"/>
      <c r="Q13" s="1496">
        <f t="shared" si="6"/>
        <v>111</v>
      </c>
      <c r="R13" s="710" t="s">
        <v>17</v>
      </c>
      <c r="S13" s="711">
        <f t="shared" si="0"/>
        <v>100</v>
      </c>
      <c r="T13" s="710" t="s">
        <v>17</v>
      </c>
      <c r="U13" s="711">
        <f t="shared" si="1"/>
        <v>100</v>
      </c>
      <c r="V13" s="710" t="s">
        <v>17</v>
      </c>
      <c r="W13" s="711">
        <f t="shared" si="2"/>
        <v>100</v>
      </c>
      <c r="X13" s="712"/>
      <c r="Y13" s="3429"/>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557"/>
      <c r="Q14" s="1496">
        <f t="shared" si="6"/>
        <v>111</v>
      </c>
      <c r="R14" s="710" t="s">
        <v>17</v>
      </c>
      <c r="S14" s="711">
        <f t="shared" si="0"/>
        <v>100</v>
      </c>
      <c r="T14" s="710" t="s">
        <v>17</v>
      </c>
      <c r="U14" s="711">
        <f t="shared" si="1"/>
        <v>100</v>
      </c>
      <c r="V14" s="710" t="s">
        <v>17</v>
      </c>
      <c r="W14" s="711">
        <f t="shared" si="2"/>
        <v>100</v>
      </c>
      <c r="X14" s="712"/>
      <c r="Y14" s="3429"/>
      <c r="Z14" s="55">
        <f t="shared" si="7"/>
        <v>111</v>
      </c>
      <c r="AA14" s="713">
        <f>D14/F14</f>
        <v>1</v>
      </c>
      <c r="AB14" s="713">
        <f>D14/H14</f>
        <v>1</v>
      </c>
      <c r="AC14" s="713">
        <f>D14/J14</f>
        <v>1</v>
      </c>
    </row>
    <row r="15" spans="1:30" ht="99.75" hidden="1">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559" t="s">
        <v>2321</v>
      </c>
      <c r="Q15" s="1505" t="str">
        <f t="shared" si="6"/>
        <v>居住社区成熟度</v>
      </c>
      <c r="R15" s="714" t="s">
        <v>17</v>
      </c>
      <c r="S15" s="715">
        <f t="shared" si="0"/>
        <v>100</v>
      </c>
      <c r="T15" s="714" t="s">
        <v>17</v>
      </c>
      <c r="U15" s="715">
        <f t="shared" si="1"/>
        <v>100</v>
      </c>
      <c r="V15" s="714" t="s">
        <v>17</v>
      </c>
      <c r="W15" s="715">
        <f t="shared" si="2"/>
        <v>100</v>
      </c>
      <c r="X15" s="1508"/>
      <c r="Y15" s="3559" t="s">
        <v>2321</v>
      </c>
      <c r="Z15" s="1509" t="str">
        <f t="shared" si="7"/>
        <v>居住社区成熟度</v>
      </c>
      <c r="AA15" s="1506">
        <f t="shared" si="3"/>
        <v>1</v>
      </c>
      <c r="AB15" s="1506">
        <f t="shared" si="4"/>
        <v>1</v>
      </c>
      <c r="AC15" s="1506">
        <f t="shared" si="5"/>
        <v>1</v>
      </c>
    </row>
    <row r="16" spans="1:30" ht="15" hidden="1">
      <c r="A16" s="387"/>
      <c r="B16" s="405"/>
      <c r="C16" s="406"/>
      <c r="D16" s="407"/>
      <c r="E16" s="2053"/>
      <c r="F16" s="407"/>
      <c r="G16" s="2053"/>
      <c r="H16" s="409"/>
      <c r="I16" s="2052"/>
      <c r="J16" s="407"/>
      <c r="K16" s="628"/>
      <c r="L16" s="2920"/>
      <c r="M16" s="2914"/>
      <c r="N16" s="2914"/>
      <c r="O16" s="2972"/>
      <c r="P16" s="3560"/>
      <c r="Q16" s="1505"/>
      <c r="R16" s="714"/>
      <c r="S16" s="715"/>
      <c r="T16" s="714"/>
      <c r="U16" s="715"/>
      <c r="V16" s="714"/>
      <c r="W16" s="715"/>
      <c r="X16" s="1508"/>
      <c r="Y16" s="3560"/>
      <c r="Z16" s="1509"/>
      <c r="AA16" s="1506">
        <v>1</v>
      </c>
      <c r="AB16" s="1506">
        <v>1</v>
      </c>
      <c r="AC16" s="1506">
        <v>1</v>
      </c>
    </row>
    <row r="17" spans="1:29" ht="71.25">
      <c r="A17" s="387"/>
      <c r="B17" s="410" t="s">
        <v>2414</v>
      </c>
      <c r="C17" s="2110" t="str">
        <f>估价对象房地状况!C16</f>
        <v>估价对象位于XX商圈，周边商业氛围成熟，人流量大，商业繁华度好</v>
      </c>
      <c r="D17" s="409">
        <v>100</v>
      </c>
      <c r="E17" s="411"/>
      <c r="F17" s="409">
        <f>SUMIF(90:90,E18,91:91)-SUMIF(90:90,C18,91:91)+100</f>
        <v>95</v>
      </c>
      <c r="G17" s="411"/>
      <c r="H17" s="414">
        <f>SUMIF(90:90,G18,91:91)-SUMIF(90:90,C18,91:91)+100</f>
        <v>95</v>
      </c>
      <c r="I17" s="413"/>
      <c r="J17" s="414">
        <f>SUMIF(90:90,I18,91:91)-SUMIF(90:90,C18,91:91)+100</f>
        <v>95</v>
      </c>
      <c r="K17" s="629">
        <v>5</v>
      </c>
      <c r="L17" s="2920"/>
      <c r="M17" s="2914"/>
      <c r="N17" s="2914"/>
      <c r="O17" s="2972"/>
      <c r="P17" s="3560"/>
      <c r="Q17" s="1505" t="str">
        <f>B17</f>
        <v>商业繁华度</v>
      </c>
      <c r="R17" s="714" t="s">
        <v>17</v>
      </c>
      <c r="S17" s="715">
        <f>F17</f>
        <v>95</v>
      </c>
      <c r="T17" s="714" t="s">
        <v>17</v>
      </c>
      <c r="U17" s="715">
        <f>H17</f>
        <v>95</v>
      </c>
      <c r="V17" s="714" t="s">
        <v>17</v>
      </c>
      <c r="W17" s="715">
        <f>J17</f>
        <v>95</v>
      </c>
      <c r="X17" s="1508"/>
      <c r="Y17" s="3560"/>
      <c r="Z17" s="1509" t="str">
        <f>Q17</f>
        <v>商业繁华度</v>
      </c>
      <c r="AA17" s="1506">
        <f t="shared" si="3"/>
        <v>1.0526315789473684</v>
      </c>
      <c r="AB17" s="1506">
        <f t="shared" si="4"/>
        <v>1.0526315789473684</v>
      </c>
      <c r="AC17" s="1506">
        <f t="shared" si="5"/>
        <v>1.0526315789473684</v>
      </c>
    </row>
    <row r="18" spans="1:29" ht="15">
      <c r="A18" s="387"/>
      <c r="B18" s="415"/>
      <c r="C18" s="2056" t="s">
        <v>3343</v>
      </c>
      <c r="D18" s="409"/>
      <c r="E18" s="2058" t="s">
        <v>3345</v>
      </c>
      <c r="F18" s="409"/>
      <c r="G18" s="2058" t="s">
        <v>3345</v>
      </c>
      <c r="H18" s="407"/>
      <c r="I18" s="2057" t="s">
        <v>3345</v>
      </c>
      <c r="J18" s="407"/>
      <c r="K18" s="628"/>
      <c r="L18" s="2920"/>
      <c r="M18" s="2914"/>
      <c r="N18" s="2914"/>
      <c r="O18" s="2972"/>
      <c r="P18" s="3560"/>
      <c r="Q18" s="1505"/>
      <c r="R18" s="714"/>
      <c r="S18" s="715"/>
      <c r="T18" s="714"/>
      <c r="U18" s="715"/>
      <c r="V18" s="714"/>
      <c r="W18" s="715"/>
      <c r="X18" s="1508"/>
      <c r="Y18" s="3560"/>
      <c r="Z18" s="1509"/>
      <c r="AA18" s="1506">
        <v>1</v>
      </c>
      <c r="AB18" s="1506">
        <v>1</v>
      </c>
      <c r="AC18" s="1506">
        <v>1</v>
      </c>
    </row>
    <row r="19" spans="1:29" ht="71.25" hidden="1">
      <c r="A19" s="387"/>
      <c r="B19" s="410" t="s">
        <v>2448</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560"/>
      <c r="Q19" s="1505" t="str">
        <f>B19</f>
        <v>办公集聚程度</v>
      </c>
      <c r="R19" s="714" t="s">
        <v>17</v>
      </c>
      <c r="S19" s="715">
        <f>F19</f>
        <v>100</v>
      </c>
      <c r="T19" s="714" t="s">
        <v>17</v>
      </c>
      <c r="U19" s="715">
        <f>H19</f>
        <v>100</v>
      </c>
      <c r="V19" s="714" t="s">
        <v>17</v>
      </c>
      <c r="W19" s="715">
        <f>J19</f>
        <v>100</v>
      </c>
      <c r="X19" s="1508"/>
      <c r="Y19" s="3560"/>
      <c r="Z19" s="1509" t="str">
        <f>Q19</f>
        <v>办公集聚程度</v>
      </c>
      <c r="AA19" s="1506">
        <f t="shared" si="3"/>
        <v>1</v>
      </c>
      <c r="AB19" s="1506">
        <f t="shared" si="4"/>
        <v>1</v>
      </c>
      <c r="AC19" s="1506">
        <f t="shared" si="5"/>
        <v>1</v>
      </c>
    </row>
    <row r="20" spans="1:29" ht="15" hidden="1">
      <c r="A20" s="387"/>
      <c r="B20" s="415"/>
      <c r="C20" s="406"/>
      <c r="D20" s="407"/>
      <c r="E20" s="2053"/>
      <c r="F20" s="407"/>
      <c r="G20" s="2053"/>
      <c r="H20" s="407"/>
      <c r="I20" s="2052"/>
      <c r="J20" s="407"/>
      <c r="K20" s="628"/>
      <c r="L20" s="2920"/>
      <c r="M20" s="2914"/>
      <c r="N20" s="2914"/>
      <c r="O20" s="2972"/>
      <c r="P20" s="3560"/>
      <c r="Q20" s="1505"/>
      <c r="R20" s="714"/>
      <c r="S20" s="715"/>
      <c r="T20" s="714"/>
      <c r="U20" s="715"/>
      <c r="V20" s="714"/>
      <c r="W20" s="715"/>
      <c r="X20" s="1508"/>
      <c r="Y20" s="3560"/>
      <c r="Z20" s="1509"/>
      <c r="AA20" s="1506">
        <v>1</v>
      </c>
      <c r="AB20" s="1506">
        <v>1</v>
      </c>
      <c r="AC20" s="1506">
        <v>1</v>
      </c>
    </row>
    <row r="21" spans="1:29" ht="85.5">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97</v>
      </c>
      <c r="I21" s="413"/>
      <c r="J21" s="409">
        <f>SUMIF(94:94,I22,95:95)-SUMIF(94:94,C22,95:95)+100</f>
        <v>97</v>
      </c>
      <c r="K21" s="629">
        <v>3</v>
      </c>
      <c r="L21" s="2920"/>
      <c r="M21" s="2914"/>
      <c r="N21" s="2914"/>
      <c r="O21" s="2972"/>
      <c r="P21" s="3560"/>
      <c r="Q21" s="1505" t="str">
        <f>B21</f>
        <v>交通便捷度</v>
      </c>
      <c r="R21" s="714" t="s">
        <v>17</v>
      </c>
      <c r="S21" s="715">
        <f>F21</f>
        <v>100</v>
      </c>
      <c r="T21" s="714" t="s">
        <v>17</v>
      </c>
      <c r="U21" s="715">
        <f>H21</f>
        <v>97</v>
      </c>
      <c r="V21" s="714" t="s">
        <v>17</v>
      </c>
      <c r="W21" s="715">
        <f>J21</f>
        <v>97</v>
      </c>
      <c r="X21" s="1508"/>
      <c r="Y21" s="3560"/>
      <c r="Z21" s="1509" t="str">
        <f>Q21</f>
        <v>交通便捷度</v>
      </c>
      <c r="AA21" s="1506">
        <f t="shared" si="3"/>
        <v>1</v>
      </c>
      <c r="AB21" s="1506">
        <f t="shared" si="4"/>
        <v>1.0309278350515463</v>
      </c>
      <c r="AC21" s="1506">
        <f t="shared" si="5"/>
        <v>1.0309278350515463</v>
      </c>
    </row>
    <row r="22" spans="1:29" ht="15">
      <c r="A22" s="387"/>
      <c r="B22" s="1265"/>
      <c r="C22" s="406" t="s">
        <v>3343</v>
      </c>
      <c r="D22" s="409"/>
      <c r="E22" s="2053" t="s">
        <v>3343</v>
      </c>
      <c r="F22" s="407"/>
      <c r="G22" s="2053" t="s">
        <v>3345</v>
      </c>
      <c r="H22" s="407"/>
      <c r="I22" s="2052" t="s">
        <v>3345</v>
      </c>
      <c r="J22" s="407"/>
      <c r="K22" s="628"/>
      <c r="L22" s="2920"/>
      <c r="M22" s="2914"/>
      <c r="N22" s="2914"/>
      <c r="O22" s="2972"/>
      <c r="P22" s="3560"/>
      <c r="Q22" s="1505"/>
      <c r="R22" s="714"/>
      <c r="S22" s="715"/>
      <c r="T22" s="714"/>
      <c r="U22" s="715"/>
      <c r="V22" s="714"/>
      <c r="W22" s="715"/>
      <c r="X22" s="1508"/>
      <c r="Y22" s="3560"/>
      <c r="Z22" s="1509"/>
      <c r="AA22" s="1506">
        <v>1</v>
      </c>
      <c r="AB22" s="1506">
        <v>1</v>
      </c>
      <c r="AC22" s="1506">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3</v>
      </c>
      <c r="L23" s="2920"/>
      <c r="M23" s="2914"/>
      <c r="N23" s="2914"/>
      <c r="O23" s="2972"/>
      <c r="P23" s="3560"/>
      <c r="Q23" s="1505" t="str">
        <f t="shared" ref="Q23:Q37" si="8">B23</f>
        <v>区域土地利用方向</v>
      </c>
      <c r="R23" s="714" t="s">
        <v>17</v>
      </c>
      <c r="S23" s="715">
        <f>F23</f>
        <v>100</v>
      </c>
      <c r="T23" s="714" t="s">
        <v>17</v>
      </c>
      <c r="U23" s="715">
        <f>H23</f>
        <v>100</v>
      </c>
      <c r="V23" s="714" t="s">
        <v>17</v>
      </c>
      <c r="W23" s="715">
        <f>J23</f>
        <v>100</v>
      </c>
      <c r="X23" s="1508"/>
      <c r="Y23" s="3560"/>
      <c r="Z23" s="1509" t="str">
        <f>Q23</f>
        <v>区域土地利用方向</v>
      </c>
      <c r="AA23" s="1506">
        <f t="shared" si="3"/>
        <v>1</v>
      </c>
      <c r="AB23" s="1506">
        <f t="shared" si="4"/>
        <v>1</v>
      </c>
      <c r="AC23" s="1506">
        <f t="shared" si="5"/>
        <v>1</v>
      </c>
    </row>
    <row r="24" spans="1:29" ht="15">
      <c r="A24" s="364"/>
      <c r="B24" s="415"/>
      <c r="C24" s="573" t="s">
        <v>3343</v>
      </c>
      <c r="D24" s="407"/>
      <c r="E24" s="2053" t="s">
        <v>3343</v>
      </c>
      <c r="F24" s="407"/>
      <c r="G24" s="2052" t="s">
        <v>3343</v>
      </c>
      <c r="H24" s="407"/>
      <c r="I24" s="2052" t="s">
        <v>3343</v>
      </c>
      <c r="J24" s="407"/>
      <c r="K24" s="751"/>
      <c r="L24" s="2920"/>
      <c r="M24" s="2914"/>
      <c r="N24" s="2914"/>
      <c r="O24" s="2972"/>
      <c r="P24" s="3560"/>
      <c r="Q24" s="1505"/>
      <c r="R24" s="714"/>
      <c r="S24" s="715"/>
      <c r="T24" s="714"/>
      <c r="U24" s="715"/>
      <c r="V24" s="714"/>
      <c r="W24" s="715"/>
      <c r="X24" s="1508"/>
      <c r="Y24" s="3560"/>
      <c r="Z24" s="1509"/>
      <c r="AA24" s="1506"/>
      <c r="AB24" s="1506"/>
      <c r="AC24" s="1506"/>
    </row>
    <row r="25" spans="1:29" ht="57">
      <c r="A25" s="364"/>
      <c r="B25" s="1265" t="s">
        <v>2510</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v>3</v>
      </c>
      <c r="L25" s="2920"/>
      <c r="M25" s="2914"/>
      <c r="N25" s="2914"/>
      <c r="O25" s="2972"/>
      <c r="P25" s="3560"/>
      <c r="Q25" s="1505" t="str">
        <f t="shared" si="8"/>
        <v>自然及人文环境状况</v>
      </c>
      <c r="R25" s="714" t="s">
        <v>17</v>
      </c>
      <c r="S25" s="715">
        <f>F25</f>
        <v>100</v>
      </c>
      <c r="T25" s="714" t="s">
        <v>17</v>
      </c>
      <c r="U25" s="715">
        <f>H25</f>
        <v>100</v>
      </c>
      <c r="V25" s="714" t="s">
        <v>17</v>
      </c>
      <c r="W25" s="715">
        <f>J25</f>
        <v>100</v>
      </c>
      <c r="X25" s="1508"/>
      <c r="Y25" s="3560"/>
      <c r="Z25" s="1509" t="str">
        <f>Q25</f>
        <v>自然及人文环境状况</v>
      </c>
      <c r="AA25" s="1506">
        <f t="shared" si="3"/>
        <v>1</v>
      </c>
      <c r="AB25" s="1506">
        <f t="shared" si="4"/>
        <v>1</v>
      </c>
      <c r="AC25" s="1506">
        <f t="shared" si="5"/>
        <v>1</v>
      </c>
    </row>
    <row r="26" spans="1:29" ht="15">
      <c r="A26" s="364"/>
      <c r="B26" s="415"/>
      <c r="C26" s="406" t="s">
        <v>3343</v>
      </c>
      <c r="D26" s="407"/>
      <c r="E26" s="2059" t="s">
        <v>3343</v>
      </c>
      <c r="F26" s="407"/>
      <c r="G26" s="2059" t="s">
        <v>3343</v>
      </c>
      <c r="H26" s="407"/>
      <c r="I26" s="406" t="s">
        <v>3343</v>
      </c>
      <c r="J26" s="407"/>
      <c r="K26" s="628"/>
      <c r="L26" s="2920"/>
      <c r="M26" s="2914"/>
      <c r="N26" s="2914"/>
      <c r="O26" s="2972"/>
      <c r="P26" s="3560"/>
      <c r="Q26" s="1505"/>
      <c r="R26" s="714"/>
      <c r="S26" s="715"/>
      <c r="T26" s="714"/>
      <c r="U26" s="715"/>
      <c r="V26" s="714"/>
      <c r="W26" s="715"/>
      <c r="X26" s="1508"/>
      <c r="Y26" s="3560"/>
      <c r="Z26" s="1509"/>
      <c r="AA26" s="1506">
        <v>1</v>
      </c>
      <c r="AB26" s="1506">
        <v>1</v>
      </c>
      <c r="AC26" s="1506">
        <v>1</v>
      </c>
    </row>
    <row r="27" spans="1:29" s="113" customFormat="1" ht="42.75">
      <c r="A27" s="605"/>
      <c r="B27" s="1265" t="s">
        <v>2415</v>
      </c>
      <c r="C27" s="2055" t="str">
        <f>估价对象房地状况!C21</f>
        <v>估价对象所在区域公共配套设施齐备情况</v>
      </c>
      <c r="D27" s="409">
        <v>100</v>
      </c>
      <c r="E27" s="411"/>
      <c r="F27" s="409">
        <f>SUMIF(100:100,E28,101:101)-SUMIF(100:100,C28,101:101)+100</f>
        <v>98</v>
      </c>
      <c r="G27" s="411"/>
      <c r="H27" s="409">
        <f>SUMIF(100:100,G28,101:101)-SUMIF(100:100,C28,101:101)+100</f>
        <v>98</v>
      </c>
      <c r="I27" s="413"/>
      <c r="J27" s="409">
        <f>SUMIF(100:100,I28,101:101)-SUMIF(100:100,C28,101:101)+100</f>
        <v>98</v>
      </c>
      <c r="K27" s="629">
        <v>2</v>
      </c>
      <c r="L27" s="2915"/>
      <c r="M27" s="2916"/>
      <c r="N27" s="2916"/>
      <c r="O27" s="2970"/>
      <c r="P27" s="3560"/>
      <c r="Q27" s="1496" t="str">
        <f t="shared" si="8"/>
        <v>公共配套设施</v>
      </c>
      <c r="R27" s="710" t="s">
        <v>17</v>
      </c>
      <c r="S27" s="711">
        <f>F27</f>
        <v>98</v>
      </c>
      <c r="T27" s="710" t="s">
        <v>17</v>
      </c>
      <c r="U27" s="711">
        <f>H27</f>
        <v>98</v>
      </c>
      <c r="V27" s="710" t="s">
        <v>17</v>
      </c>
      <c r="W27" s="711">
        <f>J27</f>
        <v>98</v>
      </c>
      <c r="X27" s="712"/>
      <c r="Y27" s="3560"/>
      <c r="Z27" s="55" t="str">
        <f>Q27</f>
        <v>公共配套设施</v>
      </c>
      <c r="AA27" s="1506">
        <f>D27/F27</f>
        <v>1.0204081632653061</v>
      </c>
      <c r="AB27" s="1506">
        <f>D27/H27</f>
        <v>1.0204081632653061</v>
      </c>
      <c r="AC27" s="1506">
        <f>D27/J27</f>
        <v>1.0204081632653061</v>
      </c>
    </row>
    <row r="28" spans="1:29" s="113" customFormat="1" ht="15">
      <c r="A28" s="605"/>
      <c r="B28" s="415"/>
      <c r="C28" s="2133" t="s">
        <v>3343</v>
      </c>
      <c r="D28" s="407"/>
      <c r="E28" s="2059" t="s">
        <v>3345</v>
      </c>
      <c r="F28" s="407"/>
      <c r="G28" s="2059" t="s">
        <v>3345</v>
      </c>
      <c r="H28" s="407"/>
      <c r="I28" s="406" t="s">
        <v>3345</v>
      </c>
      <c r="J28" s="407"/>
      <c r="K28" s="628"/>
      <c r="L28" s="2915"/>
      <c r="M28" s="2916"/>
      <c r="N28" s="2916"/>
      <c r="O28" s="2970"/>
      <c r="P28" s="3560"/>
      <c r="Q28" s="1496"/>
      <c r="R28" s="710"/>
      <c r="S28" s="711"/>
      <c r="T28" s="710"/>
      <c r="U28" s="711"/>
      <c r="V28" s="710"/>
      <c r="W28" s="711"/>
      <c r="X28" s="712"/>
      <c r="Y28" s="3560"/>
      <c r="Z28" s="55"/>
      <c r="AA28" s="1506">
        <v>1</v>
      </c>
      <c r="AB28" s="1506">
        <v>1</v>
      </c>
      <c r="AC28" s="1506">
        <v>1</v>
      </c>
    </row>
    <row r="29" spans="1:29" s="113" customFormat="1" ht="28.5">
      <c r="A29" s="605"/>
      <c r="B29" s="1265"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15"/>
      <c r="M29" s="2916"/>
      <c r="N29" s="2916"/>
      <c r="O29" s="2970"/>
      <c r="P29" s="3560"/>
      <c r="Q29" s="1496" t="str">
        <f t="shared" ref="Q29" si="9">B29</f>
        <v>基础设施水平</v>
      </c>
      <c r="R29" s="710" t="s">
        <v>17</v>
      </c>
      <c r="S29" s="711">
        <f>F29</f>
        <v>100</v>
      </c>
      <c r="T29" s="710" t="s">
        <v>17</v>
      </c>
      <c r="U29" s="711">
        <f>H29</f>
        <v>100</v>
      </c>
      <c r="V29" s="710" t="s">
        <v>17</v>
      </c>
      <c r="W29" s="711">
        <f>J29</f>
        <v>100</v>
      </c>
      <c r="X29" s="712"/>
      <c r="Y29" s="3560"/>
      <c r="Z29" s="55" t="str">
        <f>Q29</f>
        <v>基础设施水平</v>
      </c>
      <c r="AA29" s="1506">
        <f>D29/F29</f>
        <v>1</v>
      </c>
      <c r="AB29" s="1506">
        <f>D29/H29</f>
        <v>1</v>
      </c>
      <c r="AC29" s="1506">
        <f>D29/J29</f>
        <v>1</v>
      </c>
    </row>
    <row r="30" spans="1:29" s="113" customFormat="1" ht="15">
      <c r="A30" s="605"/>
      <c r="B30" s="415"/>
      <c r="C30" s="2133" t="s">
        <v>3346</v>
      </c>
      <c r="D30" s="407"/>
      <c r="E30" s="2133" t="s">
        <v>3346</v>
      </c>
      <c r="F30" s="407"/>
      <c r="G30" s="2133" t="s">
        <v>3346</v>
      </c>
      <c r="H30" s="407"/>
      <c r="I30" s="2133" t="s">
        <v>3346</v>
      </c>
      <c r="J30" s="407"/>
      <c r="K30" s="628"/>
      <c r="L30" s="2915"/>
      <c r="M30" s="2916"/>
      <c r="N30" s="2916"/>
      <c r="O30" s="2970"/>
      <c r="P30" s="3560"/>
      <c r="Q30" s="1496"/>
      <c r="R30" s="710"/>
      <c r="S30" s="711"/>
      <c r="T30" s="710"/>
      <c r="U30" s="711"/>
      <c r="V30" s="710"/>
      <c r="W30" s="711"/>
      <c r="X30" s="712"/>
      <c r="Y30" s="3560"/>
      <c r="Z30" s="55"/>
      <c r="AA30" s="1506">
        <v>1</v>
      </c>
      <c r="AB30" s="1506">
        <v>1</v>
      </c>
      <c r="AC30" s="1506">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v>2</v>
      </c>
      <c r="L31" s="2920"/>
      <c r="M31" s="2914"/>
      <c r="N31" s="2914"/>
      <c r="O31" s="2972"/>
      <c r="P31" s="3560"/>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560"/>
      <c r="Z31" s="1509" t="str">
        <f t="shared" ref="Z31:Z45" si="13">Q31</f>
        <v>临街状况</v>
      </c>
      <c r="AA31" s="1506">
        <f t="shared" si="3"/>
        <v>1</v>
      </c>
      <c r="AB31" s="1506">
        <f t="shared" si="4"/>
        <v>1</v>
      </c>
      <c r="AC31" s="1506">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v>2</v>
      </c>
      <c r="L32" s="2920"/>
      <c r="M32" s="2914"/>
      <c r="N32" s="2914"/>
      <c r="O32" s="2972"/>
      <c r="P32" s="3560"/>
      <c r="Q32" s="1505" t="str">
        <f t="shared" si="8"/>
        <v>毗邻道路的类型与等级</v>
      </c>
      <c r="R32" s="714" t="s">
        <v>17</v>
      </c>
      <c r="S32" s="715">
        <f t="shared" si="10"/>
        <v>100</v>
      </c>
      <c r="T32" s="714" t="s">
        <v>17</v>
      </c>
      <c r="U32" s="715">
        <f t="shared" si="11"/>
        <v>100</v>
      </c>
      <c r="V32" s="714" t="s">
        <v>17</v>
      </c>
      <c r="W32" s="715">
        <f t="shared" si="12"/>
        <v>100</v>
      </c>
      <c r="X32" s="1508"/>
      <c r="Y32" s="3560"/>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20"/>
      <c r="M33" s="2914"/>
      <c r="N33" s="2914"/>
      <c r="O33" s="2972"/>
      <c r="P33" s="3560"/>
      <c r="Q33" s="1505"/>
      <c r="R33" s="714"/>
      <c r="S33" s="715"/>
      <c r="T33" s="714"/>
      <c r="U33" s="715"/>
      <c r="V33" s="714"/>
      <c r="W33" s="715"/>
      <c r="X33" s="1508"/>
      <c r="Y33" s="3560"/>
      <c r="Z33" s="1509"/>
      <c r="AA33" s="1506">
        <v>1</v>
      </c>
      <c r="AB33" s="1506">
        <v>1</v>
      </c>
      <c r="AC33" s="1506">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560"/>
      <c r="Q34" s="1505" t="str">
        <f t="shared" si="8"/>
        <v>土地级别</v>
      </c>
      <c r="R34" s="714" t="s">
        <v>17</v>
      </c>
      <c r="S34" s="715">
        <f t="shared" si="10"/>
        <v>100</v>
      </c>
      <c r="T34" s="714" t="s">
        <v>17</v>
      </c>
      <c r="U34" s="715">
        <f t="shared" si="11"/>
        <v>100</v>
      </c>
      <c r="V34" s="714" t="s">
        <v>17</v>
      </c>
      <c r="W34" s="715">
        <f t="shared" si="12"/>
        <v>100</v>
      </c>
      <c r="X34" s="1508"/>
      <c r="Y34" s="3560"/>
      <c r="Z34" s="1509" t="str">
        <f t="shared" si="13"/>
        <v>土地级别</v>
      </c>
      <c r="AA34" s="1506">
        <f t="shared" si="3"/>
        <v>1</v>
      </c>
      <c r="AB34" s="1506">
        <f t="shared" si="4"/>
        <v>1</v>
      </c>
      <c r="AC34" s="1506">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560"/>
      <c r="Q35" s="1505">
        <f t="shared" si="8"/>
        <v>111</v>
      </c>
      <c r="R35" s="714" t="s">
        <v>17</v>
      </c>
      <c r="S35" s="715">
        <f t="shared" si="10"/>
        <v>100</v>
      </c>
      <c r="T35" s="714" t="s">
        <v>17</v>
      </c>
      <c r="U35" s="715">
        <f t="shared" si="11"/>
        <v>100</v>
      </c>
      <c r="V35" s="714" t="s">
        <v>17</v>
      </c>
      <c r="W35" s="715">
        <f t="shared" si="12"/>
        <v>100</v>
      </c>
      <c r="X35" s="1508"/>
      <c r="Y35" s="3560"/>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615" t="s">
        <v>2326</v>
      </c>
      <c r="Q36" s="1505">
        <f t="shared" si="8"/>
        <v>111</v>
      </c>
      <c r="R36" s="714" t="s">
        <v>17</v>
      </c>
      <c r="S36" s="715">
        <f t="shared" si="10"/>
        <v>100</v>
      </c>
      <c r="T36" s="714" t="s">
        <v>17</v>
      </c>
      <c r="U36" s="715">
        <f t="shared" si="11"/>
        <v>100</v>
      </c>
      <c r="V36" s="714" t="s">
        <v>17</v>
      </c>
      <c r="W36" s="715">
        <f t="shared" si="12"/>
        <v>100</v>
      </c>
      <c r="X36" s="1508"/>
      <c r="Y36" s="3564" t="s">
        <v>2326</v>
      </c>
      <c r="Z36" s="1509">
        <f t="shared" si="13"/>
        <v>111</v>
      </c>
      <c r="AA36" s="1506">
        <f t="shared" si="3"/>
        <v>1</v>
      </c>
      <c r="AB36" s="1506">
        <f t="shared" si="4"/>
        <v>1</v>
      </c>
      <c r="AC36" s="1506">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564"/>
      <c r="Q37" s="1505">
        <f t="shared" si="8"/>
        <v>111</v>
      </c>
      <c r="R37" s="717" t="s">
        <v>17</v>
      </c>
      <c r="S37" s="718">
        <f t="shared" si="10"/>
        <v>100</v>
      </c>
      <c r="T37" s="717" t="s">
        <v>17</v>
      </c>
      <c r="U37" s="718">
        <f t="shared" si="11"/>
        <v>100</v>
      </c>
      <c r="V37" s="717" t="s">
        <v>17</v>
      </c>
      <c r="W37" s="718">
        <f t="shared" si="12"/>
        <v>100</v>
      </c>
      <c r="X37" s="719"/>
      <c r="Y37" s="3564"/>
      <c r="Z37" s="720">
        <f t="shared" si="13"/>
        <v>111</v>
      </c>
      <c r="AA37" s="1506">
        <f t="shared" si="3"/>
        <v>1</v>
      </c>
      <c r="AB37" s="1506">
        <f t="shared" si="4"/>
        <v>1</v>
      </c>
      <c r="AC37" s="1506">
        <f t="shared" si="5"/>
        <v>1</v>
      </c>
    </row>
    <row r="38" spans="1:29" ht="15">
      <c r="A38" s="431" t="s">
        <v>2324</v>
      </c>
      <c r="B38" s="415" t="s">
        <v>2512</v>
      </c>
      <c r="C38" s="635">
        <f>'数据-汇总表'!D31</f>
        <v>25666.1</v>
      </c>
      <c r="D38" s="426">
        <v>100</v>
      </c>
      <c r="E38" s="635">
        <f>土地案例!F2</f>
        <v>30395.05</v>
      </c>
      <c r="F38" s="426">
        <f>LOOKUP(E38,117:117,118:118)-LOOKUP(C38,117:117,118:118)+100</f>
        <v>100</v>
      </c>
      <c r="G38" s="635">
        <f>土地案例!E4</f>
        <v>265269.8</v>
      </c>
      <c r="H38" s="426">
        <f>LOOKUP(G38,117:117,118:118)-LOOKUP(C38,117:117,118:118)+100</f>
        <v>103</v>
      </c>
      <c r="I38" s="487">
        <f>土地案例!F6</f>
        <v>84552.93</v>
      </c>
      <c r="J38" s="426">
        <f>LOOKUP(I38,117:117,118:118)-LOOKUP(C38,117:117,118:118)+100</f>
        <v>101</v>
      </c>
      <c r="K38" s="570"/>
      <c r="L38" s="2920"/>
      <c r="M38" s="2914"/>
      <c r="N38" s="2914"/>
      <c r="O38" s="2972"/>
      <c r="P38" s="3564"/>
      <c r="Q38" s="1505" t="str">
        <f>B38</f>
        <v>宗地面积</v>
      </c>
      <c r="R38" s="714" t="s">
        <v>17</v>
      </c>
      <c r="S38" s="715">
        <f t="shared" si="10"/>
        <v>100</v>
      </c>
      <c r="T38" s="714" t="s">
        <v>17</v>
      </c>
      <c r="U38" s="715">
        <f t="shared" si="11"/>
        <v>103</v>
      </c>
      <c r="V38" s="714" t="s">
        <v>17</v>
      </c>
      <c r="W38" s="715">
        <f t="shared" si="12"/>
        <v>101</v>
      </c>
      <c r="X38" s="1508"/>
      <c r="Y38" s="3564"/>
      <c r="Z38" s="1509" t="str">
        <f t="shared" si="13"/>
        <v>宗地面积</v>
      </c>
      <c r="AA38" s="1506">
        <f t="shared" si="3"/>
        <v>1</v>
      </c>
      <c r="AB38" s="1506">
        <f t="shared" si="4"/>
        <v>0.970873786407767</v>
      </c>
      <c r="AC38" s="1506">
        <f t="shared" si="5"/>
        <v>0.99009900990099009</v>
      </c>
    </row>
    <row r="39" spans="1:29" ht="15">
      <c r="A39" s="431"/>
      <c r="B39" s="381" t="s">
        <v>2513</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20"/>
      <c r="M39" s="2914"/>
      <c r="N39" s="2914"/>
      <c r="O39" s="2972"/>
      <c r="P39" s="3564"/>
      <c r="Q39" s="1505" t="str">
        <f t="shared" ref="Q39:Q45" si="14">B39</f>
        <v>宗地形状</v>
      </c>
      <c r="R39" s="714" t="s">
        <v>17</v>
      </c>
      <c r="S39" s="715">
        <f t="shared" si="10"/>
        <v>100</v>
      </c>
      <c r="T39" s="714" t="s">
        <v>17</v>
      </c>
      <c r="U39" s="715">
        <f t="shared" si="11"/>
        <v>100</v>
      </c>
      <c r="V39" s="714" t="s">
        <v>17</v>
      </c>
      <c r="W39" s="715">
        <f t="shared" si="12"/>
        <v>100</v>
      </c>
      <c r="X39" s="1508"/>
      <c r="Y39" s="3564"/>
      <c r="Z39" s="1509" t="str">
        <f t="shared" si="13"/>
        <v>宗地形状</v>
      </c>
      <c r="AA39" s="1506">
        <f t="shared" si="3"/>
        <v>1</v>
      </c>
      <c r="AB39" s="1506">
        <f t="shared" si="4"/>
        <v>1</v>
      </c>
      <c r="AC39" s="1506">
        <f t="shared" si="5"/>
        <v>1</v>
      </c>
    </row>
    <row r="40" spans="1:29" ht="15">
      <c r="A40" s="431"/>
      <c r="B40" s="381" t="s">
        <v>2514</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20"/>
      <c r="M40" s="2914"/>
      <c r="N40" s="2914"/>
      <c r="O40" s="2972"/>
      <c r="P40" s="3564"/>
      <c r="Q40" s="1505" t="str">
        <f t="shared" si="14"/>
        <v>临街宽度及深度</v>
      </c>
      <c r="R40" s="714" t="s">
        <v>17</v>
      </c>
      <c r="S40" s="715">
        <f t="shared" si="10"/>
        <v>100</v>
      </c>
      <c r="T40" s="714" t="s">
        <v>17</v>
      </c>
      <c r="U40" s="715">
        <f t="shared" si="11"/>
        <v>100</v>
      </c>
      <c r="V40" s="714" t="s">
        <v>17</v>
      </c>
      <c r="W40" s="715">
        <f t="shared" si="12"/>
        <v>100</v>
      </c>
      <c r="X40" s="1508"/>
      <c r="Y40" s="3564"/>
      <c r="Z40" s="1509" t="str">
        <f t="shared" si="13"/>
        <v>临街宽度及深度</v>
      </c>
      <c r="AA40" s="1506">
        <f t="shared" si="3"/>
        <v>1</v>
      </c>
      <c r="AB40" s="1506">
        <f t="shared" si="4"/>
        <v>1</v>
      </c>
      <c r="AC40" s="1506">
        <f t="shared" si="5"/>
        <v>1</v>
      </c>
    </row>
    <row r="41" spans="1:29" s="113" customFormat="1" ht="15">
      <c r="A41" s="432"/>
      <c r="B41" s="381" t="s">
        <v>2515</v>
      </c>
      <c r="C41" s="3332" t="s">
        <v>3346</v>
      </c>
      <c r="D41" s="132">
        <v>100</v>
      </c>
      <c r="E41" s="3332" t="s">
        <v>3350</v>
      </c>
      <c r="F41" s="394">
        <f>SUMIF(123:123,E41,124:124)-SUMIF(123:123,C41,124:124)+100</f>
        <v>96</v>
      </c>
      <c r="G41" s="3332" t="s">
        <v>3351</v>
      </c>
      <c r="H41" s="394">
        <f>SUMIF(123:123,G41,124:124)-SUMIF(123:123,C41,124:124)+100</f>
        <v>100</v>
      </c>
      <c r="I41" s="3332" t="s">
        <v>3353</v>
      </c>
      <c r="J41" s="394">
        <f>SUMIF(123:123,I41,124:124)-SUMIF(123:123,C41,124:124)+100</f>
        <v>99</v>
      </c>
      <c r="K41" s="569">
        <v>1</v>
      </c>
      <c r="L41" s="2915"/>
      <c r="M41" s="2916"/>
      <c r="N41" s="2916"/>
      <c r="O41" s="2970"/>
      <c r="P41" s="3564"/>
      <c r="Q41" s="1505" t="str">
        <f t="shared" si="14"/>
        <v>宗地开发程度</v>
      </c>
      <c r="R41" s="710" t="s">
        <v>17</v>
      </c>
      <c r="S41" s="711">
        <f t="shared" si="10"/>
        <v>96</v>
      </c>
      <c r="T41" s="710" t="s">
        <v>17</v>
      </c>
      <c r="U41" s="711">
        <f t="shared" si="11"/>
        <v>100</v>
      </c>
      <c r="V41" s="710" t="s">
        <v>17</v>
      </c>
      <c r="W41" s="711">
        <f t="shared" si="12"/>
        <v>99</v>
      </c>
      <c r="X41" s="712"/>
      <c r="Y41" s="3564"/>
      <c r="Z41" s="55" t="str">
        <f t="shared" si="13"/>
        <v>宗地开发程度</v>
      </c>
      <c r="AA41" s="713">
        <f t="shared" si="3"/>
        <v>1.0416666666666667</v>
      </c>
      <c r="AB41" s="713">
        <f t="shared" si="4"/>
        <v>1</v>
      </c>
      <c r="AC41" s="713">
        <f t="shared" si="5"/>
        <v>1.0101010101010102</v>
      </c>
    </row>
    <row r="42" spans="1:29" ht="15">
      <c r="A42" s="431"/>
      <c r="B42" s="381" t="s">
        <v>2516</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20"/>
      <c r="M42" s="2914"/>
      <c r="N42" s="2914"/>
      <c r="O42" s="2972"/>
      <c r="P42" s="3564" t="s">
        <v>2326</v>
      </c>
      <c r="Q42" s="1505" t="str">
        <f t="shared" si="14"/>
        <v>工程地质条件</v>
      </c>
      <c r="R42" s="714" t="s">
        <v>17</v>
      </c>
      <c r="S42" s="715">
        <f t="shared" si="10"/>
        <v>100</v>
      </c>
      <c r="T42" s="714" t="s">
        <v>17</v>
      </c>
      <c r="U42" s="715">
        <f t="shared" si="11"/>
        <v>100</v>
      </c>
      <c r="V42" s="714" t="s">
        <v>17</v>
      </c>
      <c r="W42" s="715">
        <f t="shared" si="12"/>
        <v>100</v>
      </c>
      <c r="X42" s="1508"/>
      <c r="Y42" s="3564" t="s">
        <v>2326</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564"/>
      <c r="Q43" s="1505">
        <f t="shared" si="14"/>
        <v>111</v>
      </c>
      <c r="R43" s="714" t="s">
        <v>17</v>
      </c>
      <c r="S43" s="715">
        <f t="shared" si="10"/>
        <v>100</v>
      </c>
      <c r="T43" s="714" t="s">
        <v>17</v>
      </c>
      <c r="U43" s="715">
        <f t="shared" si="11"/>
        <v>100</v>
      </c>
      <c r="V43" s="714" t="s">
        <v>17</v>
      </c>
      <c r="W43" s="715">
        <f t="shared" si="12"/>
        <v>100</v>
      </c>
      <c r="X43" s="1508"/>
      <c r="Y43" s="3564"/>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564"/>
      <c r="Q44" s="1505">
        <f t="shared" si="14"/>
        <v>111</v>
      </c>
      <c r="R44" s="714" t="s">
        <v>17</v>
      </c>
      <c r="S44" s="715">
        <f t="shared" si="10"/>
        <v>100</v>
      </c>
      <c r="T44" s="714" t="s">
        <v>17</v>
      </c>
      <c r="U44" s="715">
        <f t="shared" si="11"/>
        <v>100</v>
      </c>
      <c r="V44" s="714" t="s">
        <v>17</v>
      </c>
      <c r="W44" s="715">
        <f t="shared" si="12"/>
        <v>100</v>
      </c>
      <c r="X44" s="1508"/>
      <c r="Y44" s="3564"/>
      <c r="Z44" s="1509">
        <f t="shared" si="13"/>
        <v>111</v>
      </c>
      <c r="AA44" s="1506">
        <f t="shared" si="3"/>
        <v>1</v>
      </c>
      <c r="AB44" s="1506">
        <f t="shared" si="4"/>
        <v>1</v>
      </c>
      <c r="AC44" s="1506">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564"/>
      <c r="Q45" s="1505">
        <f t="shared" si="14"/>
        <v>111</v>
      </c>
      <c r="R45" s="717" t="s">
        <v>17</v>
      </c>
      <c r="S45" s="718">
        <f t="shared" si="10"/>
        <v>100</v>
      </c>
      <c r="T45" s="717" t="s">
        <v>17</v>
      </c>
      <c r="U45" s="718">
        <f t="shared" si="11"/>
        <v>100</v>
      </c>
      <c r="V45" s="717" t="s">
        <v>17</v>
      </c>
      <c r="W45" s="718">
        <f t="shared" si="12"/>
        <v>100</v>
      </c>
      <c r="X45" s="719"/>
      <c r="Y45" s="3564"/>
      <c r="Z45" s="720">
        <f t="shared" si="13"/>
        <v>111</v>
      </c>
      <c r="AA45" s="1506">
        <f t="shared" si="3"/>
        <v>1</v>
      </c>
      <c r="AB45" s="1506">
        <f t="shared" si="4"/>
        <v>1</v>
      </c>
      <c r="AC45" s="1506">
        <f t="shared" si="5"/>
        <v>1</v>
      </c>
    </row>
    <row r="46" spans="1:29" ht="15">
      <c r="A46" s="438" t="s">
        <v>2481</v>
      </c>
      <c r="B46" s="2137" t="s">
        <v>2517</v>
      </c>
      <c r="C46" s="638" t="s">
        <v>1</v>
      </c>
      <c r="D46" s="440"/>
      <c r="E46" s="441">
        <f>土地案例!P2</f>
        <v>14015</v>
      </c>
      <c r="F46" s="442"/>
      <c r="G46" s="443">
        <f>土地案例!P4</f>
        <v>10500</v>
      </c>
      <c r="H46" s="444"/>
      <c r="I46" s="441">
        <f>土地案例!P6</f>
        <v>11413</v>
      </c>
      <c r="J46" s="444"/>
      <c r="K46" s="723"/>
      <c r="L46" s="2922"/>
      <c r="M46" s="2923"/>
      <c r="N46" s="2914"/>
      <c r="O46" s="2923"/>
      <c r="P46" s="3557" t="str">
        <f>A46</f>
        <v>成交单价</v>
      </c>
      <c r="Q46" s="3557"/>
      <c r="R46" s="3588">
        <f>E46</f>
        <v>14015</v>
      </c>
      <c r="S46" s="3588"/>
      <c r="T46" s="3588">
        <f>G46</f>
        <v>10500</v>
      </c>
      <c r="U46" s="3588"/>
      <c r="V46" s="3588">
        <f>I46</f>
        <v>11413</v>
      </c>
      <c r="W46" s="3588"/>
      <c r="X46" s="699"/>
      <c r="Y46" s="721"/>
      <c r="Z46" s="699"/>
      <c r="AA46" s="699"/>
      <c r="AB46" s="699"/>
      <c r="AC46" s="699"/>
    </row>
    <row r="47" spans="1:29" ht="15.75" thickBot="1">
      <c r="A47" s="445" t="s">
        <v>2430</v>
      </c>
      <c r="B47" s="639"/>
      <c r="C47" s="448">
        <f>R48</f>
        <v>10547</v>
      </c>
      <c r="D47" s="2507" t="s">
        <v>2819</v>
      </c>
      <c r="E47" s="448">
        <f>R47</f>
        <v>11972</v>
      </c>
      <c r="F47" s="2508"/>
      <c r="G47" s="447">
        <f>T47</f>
        <v>9266</v>
      </c>
      <c r="H47" s="2508"/>
      <c r="I47" s="448">
        <f>V47</f>
        <v>10403</v>
      </c>
      <c r="J47" s="2508"/>
      <c r="K47" s="2510">
        <f>F47+H47+J47</f>
        <v>0</v>
      </c>
      <c r="L47" s="2922"/>
      <c r="M47" s="2923"/>
      <c r="N47" s="2923"/>
      <c r="O47" s="2923"/>
      <c r="P47" s="3557" t="str">
        <f>A47</f>
        <v>比较价值（元/平方米）</v>
      </c>
      <c r="Q47" s="3557"/>
      <c r="R47" s="3650">
        <f>ROUND(PRODUCT(R46,AA7:AA45),0)</f>
        <v>11972</v>
      </c>
      <c r="S47" s="3650"/>
      <c r="T47" s="3650">
        <f>ROUND(PRODUCT(T46,AB7:AB45),0)</f>
        <v>9266</v>
      </c>
      <c r="U47" s="3650"/>
      <c r="V47" s="3650">
        <f>ROUND(PRODUCT(V46,AC7:AC45),0)</f>
        <v>10403</v>
      </c>
      <c r="W47" s="3650"/>
      <c r="X47" s="699"/>
      <c r="Y47" s="699"/>
      <c r="Z47" s="699"/>
      <c r="AA47" s="699"/>
      <c r="AB47" s="699"/>
      <c r="AC47" s="699"/>
    </row>
    <row r="48" spans="1:29" ht="15.75" thickBot="1">
      <c r="A48" s="449" t="s">
        <v>2518</v>
      </c>
      <c r="B48" s="450"/>
      <c r="C48" s="451">
        <f>R48</f>
        <v>10547</v>
      </c>
      <c r="D48" s="451"/>
      <c r="E48" s="451"/>
      <c r="F48" s="451"/>
      <c r="G48" s="451"/>
      <c r="H48" s="451"/>
      <c r="I48" s="451"/>
      <c r="J48" s="451"/>
      <c r="K48" s="724"/>
      <c r="L48" s="2922"/>
      <c r="M48" s="2923"/>
      <c r="N48" s="2923"/>
      <c r="O48" s="2923"/>
      <c r="P48" s="3554" t="str">
        <f>A48</f>
        <v>估价对象XX用房的比较价值（楼面单价，元/平方米）</v>
      </c>
      <c r="Q48" s="3555"/>
      <c r="R48" s="3649">
        <f>ROUND(IF(D47="简单平均",AVERAGE(R47:W47),R47*F47+T47*H47+V47*J47),0)</f>
        <v>10547</v>
      </c>
      <c r="S48" s="3649"/>
      <c r="T48" s="3649"/>
      <c r="U48" s="3649"/>
      <c r="V48" s="3649"/>
      <c r="W48" s="3649"/>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f>IF(E46&lt;E47,E47/E46-1,E46/E47-1)</f>
        <v>0.17064817908453067</v>
      </c>
      <c r="F51" s="457" t="str">
        <f>IF(OR(E51&gt;=0.3,E51&lt;=-0.3),"超过30%","")</f>
        <v/>
      </c>
      <c r="G51" s="456">
        <f>IF(G46&lt;G47,G47/G46-1,G46/G47-1)</f>
        <v>0.13317504856464502</v>
      </c>
      <c r="H51" s="457" t="str">
        <f>IF(OR(G51&gt;=0.3,G51&lt;=-0.3),"超过30%","")</f>
        <v/>
      </c>
      <c r="I51" s="456">
        <f>IF(I46&lt;I47,I47/I46-1,I46/I47-1)</f>
        <v>9.7087378640776656E-2</v>
      </c>
      <c r="J51" s="457" t="str">
        <f>IF(OR(I51&gt;=0.3,I51&lt;=-0.3),"超过30%","")</f>
        <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f>IF(E47&lt;G47,G47/E47-1,E47/G47-1)</f>
        <v>0.29203539823008851</v>
      </c>
      <c r="F52" s="457" t="str">
        <f>IF(OR(E52&gt;=0.2,E52&lt;=-0.2),"超过20%","")</f>
        <v>超过20%</v>
      </c>
      <c r="G52" s="456">
        <f>IF(G47&lt;I47,I47/G47-1,G47/I47-1)</f>
        <v>0.12270666954457154</v>
      </c>
      <c r="H52" s="457" t="str">
        <f>IF(OR(G52&gt;=0.2,G52&lt;=-0.2),"超过20%","")</f>
        <v/>
      </c>
      <c r="I52" s="456">
        <f>IF(I47&lt;E47,E47/I47-1,I47/E47-1)</f>
        <v>0.15082187830433536</v>
      </c>
      <c r="J52" s="457" t="str">
        <f>IF(OR(I52&gt;=0.2,I52&lt;=-0.2),"超过20%","")</f>
        <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f>IF(E46&lt;G46,G46/E46-1,E46/G46-1)</f>
        <v>0.33476190476190482</v>
      </c>
      <c r="F53" s="457" t="str">
        <f>IF(OR(E53&gt;=0.3,E53&lt;=-0.3),"超过30%","")</f>
        <v>超过30%</v>
      </c>
      <c r="G53" s="456">
        <f>IF(G46&lt;I46,I46/G46-1,G46/I46-1)</f>
        <v>8.6952380952380892E-2</v>
      </c>
      <c r="H53" s="457" t="str">
        <f>IF(OR(G53&gt;=0.3,G53&lt;=-0.3),"超过30%","")</f>
        <v/>
      </c>
      <c r="I53" s="456">
        <f>IF(I46&lt;E46,E46/I46-1,I46/E46-1)</f>
        <v>0.22798563042144915</v>
      </c>
      <c r="J53" s="457" t="str">
        <f>IF(OR(I53&gt;=0.3,I53&lt;=-0.3),"超过30%","")</f>
        <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2519</v>
      </c>
      <c r="B55" s="641" t="s">
        <v>2520</v>
      </c>
      <c r="C55" s="2138" t="s">
        <v>2521</v>
      </c>
      <c r="D55" s="2139" t="s">
        <v>2522</v>
      </c>
      <c r="E55" s="642" t="s">
        <v>2523</v>
      </c>
      <c r="F55" s="1021" t="s">
        <v>2524</v>
      </c>
      <c r="G55" s="3572" t="s">
        <v>2525</v>
      </c>
      <c r="H55" s="3643"/>
      <c r="I55" s="140" t="s">
        <v>2526</v>
      </c>
      <c r="J55" s="2140">
        <f>项目基本情况!F35</f>
        <v>0</v>
      </c>
      <c r="K55" s="2141" t="s">
        <v>2527</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2528</v>
      </c>
      <c r="B56" s="645">
        <f>C48</f>
        <v>10547</v>
      </c>
      <c r="C56" s="646">
        <v>1</v>
      </c>
      <c r="D56" s="1075">
        <v>1</v>
      </c>
      <c r="E56" s="646">
        <f>'数据-汇总表'!E8+'数据-汇总表'!E9</f>
        <v>60856.65</v>
      </c>
      <c r="F56" s="1017">
        <f t="shared" ref="F56:F65" si="15">ROUND(B56*E56/10000,0)</f>
        <v>64186</v>
      </c>
      <c r="G56" s="3568"/>
      <c r="H56" s="3557"/>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2529</v>
      </c>
      <c r="B57" s="224">
        <f>ROUND($C$48*C57*D57,0)</f>
        <v>1846</v>
      </c>
      <c r="C57" s="176">
        <f t="shared" ref="C57:C65" si="16">IF($C$55="北京市系数",I57,J57)</f>
        <v>0.7</v>
      </c>
      <c r="D57" s="1076">
        <v>0.25</v>
      </c>
      <c r="E57" s="650">
        <f>'数据-汇总表'!G19</f>
        <v>39704.18</v>
      </c>
      <c r="F57" s="1017">
        <f t="shared" si="15"/>
        <v>7329</v>
      </c>
      <c r="G57" s="3644" t="s">
        <v>2530</v>
      </c>
      <c r="H57" s="1018" t="str">
        <f>项目基本情况!B37</f>
        <v>七级</v>
      </c>
      <c r="I57" s="1022">
        <f>SUMIF(修正!A45:A56,H57,修正!B45:B56)</f>
        <v>0.7</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2531</v>
      </c>
      <c r="B58" s="224">
        <f t="shared" ref="B58:B65" si="17">ROUND($C$48*C58*D58,0)</f>
        <v>1055</v>
      </c>
      <c r="C58" s="176">
        <f t="shared" si="16"/>
        <v>0.4</v>
      </c>
      <c r="D58" s="1076">
        <v>0.25</v>
      </c>
      <c r="E58" s="650"/>
      <c r="F58" s="1017">
        <f t="shared" si="15"/>
        <v>0</v>
      </c>
      <c r="G58" s="3644"/>
      <c r="H58" s="1018" t="str">
        <f>项目基本情况!B37</f>
        <v>七级</v>
      </c>
      <c r="I58" s="1022">
        <f>SUMIF(修正!A45:A56,H58,修正!C45:C56)</f>
        <v>0.4</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2532</v>
      </c>
      <c r="B59" s="224">
        <f t="shared" si="17"/>
        <v>738</v>
      </c>
      <c r="C59" s="176">
        <f t="shared" si="16"/>
        <v>0.28000000000000003</v>
      </c>
      <c r="D59" s="1076">
        <v>0.25</v>
      </c>
      <c r="E59" s="650"/>
      <c r="F59" s="1017">
        <f t="shared" si="15"/>
        <v>0</v>
      </c>
      <c r="G59" s="3644"/>
      <c r="H59" s="1018" t="str">
        <f>项目基本情况!B37</f>
        <v>七级</v>
      </c>
      <c r="I59" s="1022">
        <f>SUMIF(修正!A45:A56,H59,修正!D45:D56)</f>
        <v>0.28000000000000003</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2533</v>
      </c>
      <c r="B60" s="224">
        <f t="shared" si="17"/>
        <v>659</v>
      </c>
      <c r="C60" s="176">
        <f t="shared" si="16"/>
        <v>0.25</v>
      </c>
      <c r="D60" s="1076">
        <v>0.25</v>
      </c>
      <c r="E60" s="650"/>
      <c r="F60" s="1017">
        <f t="shared" si="15"/>
        <v>0</v>
      </c>
      <c r="G60" s="3644"/>
      <c r="H60" s="1018" t="str">
        <f>项目基本情况!B37</f>
        <v>七级</v>
      </c>
      <c r="I60" s="1022">
        <f>SUMIF(修正!A45:A56,H60,修正!E45:E56)</f>
        <v>0.25</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2534</v>
      </c>
      <c r="B61" s="224">
        <f t="shared" si="17"/>
        <v>0</v>
      </c>
      <c r="C61" s="176">
        <f t="shared" si="16"/>
        <v>0</v>
      </c>
      <c r="D61" s="1076">
        <v>0.25</v>
      </c>
      <c r="E61" s="223">
        <f>'数据-汇总表'!E11</f>
        <v>0</v>
      </c>
      <c r="F61" s="1017">
        <f t="shared" si="15"/>
        <v>0</v>
      </c>
      <c r="G61" s="2142" t="s">
        <v>2535</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2536</v>
      </c>
      <c r="B62" s="224">
        <f t="shared" si="17"/>
        <v>0</v>
      </c>
      <c r="C62" s="176">
        <f t="shared" si="16"/>
        <v>0</v>
      </c>
      <c r="D62" s="1076">
        <v>0.25</v>
      </c>
      <c r="E62" s="223">
        <f>'数据-汇总表'!E12</f>
        <v>0</v>
      </c>
      <c r="F62" s="1017">
        <f t="shared" si="15"/>
        <v>0</v>
      </c>
      <c r="G62" s="1023" t="s">
        <v>2537</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2538</v>
      </c>
      <c r="B63" s="224">
        <f t="shared" si="17"/>
        <v>0</v>
      </c>
      <c r="C63" s="176">
        <f t="shared" si="16"/>
        <v>0</v>
      </c>
      <c r="D63" s="1076">
        <v>0.25</v>
      </c>
      <c r="E63" s="223">
        <f>'数据-汇总表'!E13</f>
        <v>0</v>
      </c>
      <c r="F63" s="1017">
        <f t="shared" si="15"/>
        <v>0</v>
      </c>
      <c r="G63" s="1023" t="s">
        <v>2539</v>
      </c>
      <c r="H63" s="1018">
        <f>IF(G63="商业",项目基本情况!B37,IF(G63="办公",项目基本情况!C37,IF(G63="住宅",项目基本情况!D37,项目基本情况!E37)))</f>
        <v>0</v>
      </c>
      <c r="I63" s="1022">
        <f>SUMIF(修正!A45:A56,H63,修正!H45:H56)</f>
        <v>0</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2540</v>
      </c>
      <c r="B64" s="224">
        <f t="shared" si="17"/>
        <v>527</v>
      </c>
      <c r="C64" s="176">
        <f t="shared" si="16"/>
        <v>0.2</v>
      </c>
      <c r="D64" s="1076">
        <v>0.25</v>
      </c>
      <c r="E64" s="223">
        <f>'数据-汇总表'!E14</f>
        <v>22000.37</v>
      </c>
      <c r="F64" s="1017">
        <f t="shared" si="15"/>
        <v>1159</v>
      </c>
      <c r="G64" s="2142" t="s">
        <v>2530</v>
      </c>
      <c r="H64" s="1018" t="str">
        <f>项目基本情况!B37</f>
        <v>七级</v>
      </c>
      <c r="I64" s="1022">
        <f>SUMIF(修正!A45:A56,H64,修正!H45:H56)</f>
        <v>0.2</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2541</v>
      </c>
      <c r="B65" s="224">
        <f t="shared" si="17"/>
        <v>0</v>
      </c>
      <c r="C65" s="176">
        <f t="shared" si="16"/>
        <v>0</v>
      </c>
      <c r="D65" s="1076">
        <v>0.25</v>
      </c>
      <c r="E65" s="223">
        <f>'数据-汇总表'!E15</f>
        <v>0</v>
      </c>
      <c r="F65" s="1017">
        <f t="shared" si="15"/>
        <v>0</v>
      </c>
      <c r="G65" s="2143" t="s">
        <v>2535</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2542</v>
      </c>
      <c r="B66" s="652" t="s">
        <v>28</v>
      </c>
      <c r="C66" s="652" t="s">
        <v>29</v>
      </c>
      <c r="D66" s="652" t="s">
        <v>997</v>
      </c>
      <c r="E66" s="652">
        <f>IF(B46="楼面地价",SUM(E56:E65),'数据-汇总表'!D3)</f>
        <v>122561.2</v>
      </c>
      <c r="F66" s="653">
        <f>IF(B46="楼面地价",SUM(F56:F65),ROUND(C48*E66/10000,0))</f>
        <v>72674</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2022-1-1</v>
      </c>
      <c r="D68" s="701">
        <f>EDATE(C68,-3)</f>
        <v>44470</v>
      </c>
      <c r="E68" s="701">
        <f>EDATE(D68,-3)</f>
        <v>44378</v>
      </c>
      <c r="F68" s="701">
        <f t="shared" ref="F68:O68" si="18">EDATE(E68,-3)</f>
        <v>44287</v>
      </c>
      <c r="G68" s="701">
        <f t="shared" si="18"/>
        <v>44197</v>
      </c>
      <c r="H68" s="701">
        <f t="shared" si="18"/>
        <v>44105</v>
      </c>
      <c r="I68" s="701">
        <f t="shared" si="18"/>
        <v>44013</v>
      </c>
      <c r="J68" s="701">
        <f t="shared" si="18"/>
        <v>43922</v>
      </c>
      <c r="K68" s="701">
        <f t="shared" si="18"/>
        <v>43831</v>
      </c>
      <c r="L68" s="701">
        <f t="shared" si="18"/>
        <v>43739</v>
      </c>
      <c r="M68" s="701">
        <f t="shared" si="18"/>
        <v>43647</v>
      </c>
      <c r="N68" s="701">
        <f t="shared" si="18"/>
        <v>43556</v>
      </c>
      <c r="O68" s="701">
        <f t="shared" si="18"/>
        <v>43466</v>
      </c>
      <c r="P68" s="2923"/>
      <c r="Q68" s="2923"/>
      <c r="R68" s="2923"/>
      <c r="S68" s="2923"/>
      <c r="T68" s="2923"/>
      <c r="U68" s="2923"/>
      <c r="V68" s="2923"/>
      <c r="W68" s="2923"/>
      <c r="X68" s="2923"/>
      <c r="Y68" s="2923"/>
      <c r="Z68" s="2923"/>
      <c r="AA68" s="2923"/>
      <c r="AB68" s="2923"/>
      <c r="AC68" s="2923"/>
    </row>
    <row r="69" spans="1:29" ht="21.75"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28.5">
      <c r="A70" s="2144" t="s">
        <v>2543</v>
      </c>
      <c r="B70" s="1241"/>
      <c r="C70" s="1315" t="str">
        <f>YEAR(C68)&amp;"-"&amp;ROUNDUP(MONTH(C68)/3,0)</f>
        <v>2022-1</v>
      </c>
      <c r="D70" s="1315" t="str">
        <f>YEAR(D68)&amp;"-"&amp;ROUNDUP(MONTH(D68)/3,0)</f>
        <v>2021-4</v>
      </c>
      <c r="E70" s="1315" t="str">
        <f t="shared" ref="E70:V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3325" t="str">
        <f t="shared" si="19"/>
        <v>1900-1</v>
      </c>
      <c r="Q70" s="3325" t="str">
        <f t="shared" si="19"/>
        <v>1900-1</v>
      </c>
      <c r="R70" s="3325" t="str">
        <f t="shared" si="19"/>
        <v>1900-1</v>
      </c>
      <c r="S70" s="3325" t="str">
        <f t="shared" si="19"/>
        <v>1900-1</v>
      </c>
      <c r="T70" s="3325" t="str">
        <f t="shared" si="19"/>
        <v>1900-1</v>
      </c>
      <c r="U70" s="3325" t="str">
        <f t="shared" si="19"/>
        <v>1900-1</v>
      </c>
      <c r="V70" s="3325" t="str">
        <f t="shared" si="19"/>
        <v>1900-1</v>
      </c>
      <c r="W70" s="2939"/>
      <c r="X70" s="2939"/>
      <c r="Y70" s="2939"/>
      <c r="Z70" s="2939"/>
      <c r="AA70" s="2939"/>
      <c r="AB70" s="2939"/>
      <c r="AC70" s="2939"/>
    </row>
    <row r="71" spans="1:29" s="113" customFormat="1" ht="30" customHeight="1">
      <c r="A71" s="2145" t="s">
        <v>1283</v>
      </c>
      <c r="B71" s="294" t="str">
        <f>"北京市平均增长率"&amp;TEXT(SUMIF(基准地价修正!N21:N25,A71,基准地价修正!P21:P25),"0.00%")</f>
        <v>北京市平均增长率1.02%</v>
      </c>
      <c r="C71" s="560">
        <v>100</v>
      </c>
      <c r="D71" s="552">
        <v>99</v>
      </c>
      <c r="E71" s="552">
        <v>98</v>
      </c>
      <c r="F71" s="552">
        <v>97</v>
      </c>
      <c r="G71" s="552">
        <v>96</v>
      </c>
      <c r="H71" s="552">
        <v>95</v>
      </c>
      <c r="I71" s="552">
        <v>94</v>
      </c>
      <c r="J71" s="552">
        <v>93</v>
      </c>
      <c r="K71" s="552">
        <v>92</v>
      </c>
      <c r="L71" s="552">
        <v>91</v>
      </c>
      <c r="M71" s="552">
        <v>90</v>
      </c>
      <c r="N71" s="552">
        <v>89</v>
      </c>
      <c r="O71" s="552">
        <v>88</v>
      </c>
      <c r="P71" s="552">
        <v>87</v>
      </c>
      <c r="Q71" s="552">
        <v>86</v>
      </c>
      <c r="R71" s="552">
        <v>85</v>
      </c>
      <c r="S71" s="552">
        <v>84</v>
      </c>
      <c r="T71" s="552"/>
      <c r="U71" s="552"/>
      <c r="V71" s="552"/>
      <c r="W71" s="2857"/>
      <c r="X71" s="2857"/>
      <c r="Y71" s="2857"/>
      <c r="Z71" s="2857"/>
      <c r="AA71" s="2857"/>
      <c r="AB71" s="2857"/>
      <c r="AC71" s="2857"/>
    </row>
    <row r="72" spans="1:29" s="113" customFormat="1" ht="15.75" thickBot="1">
      <c r="A72" s="472" t="s">
        <v>2346</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ht="27.75">
      <c r="A75" s="484" t="s">
        <v>2349</v>
      </c>
      <c r="B75" s="485" t="s">
        <v>2315</v>
      </c>
      <c r="C75" s="3326" t="s">
        <v>3333</v>
      </c>
      <c r="D75" s="487" t="s">
        <v>3337</v>
      </c>
      <c r="E75" s="487" t="s">
        <v>3335</v>
      </c>
      <c r="F75" s="487" t="s">
        <v>3339</v>
      </c>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v>100</v>
      </c>
      <c r="D76" s="493">
        <v>100</v>
      </c>
      <c r="E76" s="493">
        <v>98</v>
      </c>
      <c r="F76" s="493">
        <v>96</v>
      </c>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2319</v>
      </c>
      <c r="C79" s="504" t="str">
        <f>C80&amp;"（含）"&amp;"-"&amp;D80</f>
        <v>0（含）-1</v>
      </c>
      <c r="D79" s="504" t="str">
        <f t="shared" ref="D79:L79" si="20">D80&amp;"（含）"&amp;"-"&amp;E80</f>
        <v>1（含）-2</v>
      </c>
      <c r="E79" s="504" t="str">
        <f t="shared" si="20"/>
        <v>2（含）-3</v>
      </c>
      <c r="F79" s="504" t="str">
        <f t="shared" si="20"/>
        <v>3（含）-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v>0</v>
      </c>
      <c r="D80" s="506">
        <v>1</v>
      </c>
      <c r="E80" s="506">
        <v>2</v>
      </c>
      <c r="F80" s="506">
        <v>3</v>
      </c>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97</v>
      </c>
      <c r="E81" s="501">
        <f t="shared" si="21"/>
        <v>94</v>
      </c>
      <c r="F81" s="501">
        <f t="shared" si="21"/>
        <v>91</v>
      </c>
      <c r="G81" s="501">
        <f t="shared" si="21"/>
        <v>88</v>
      </c>
      <c r="H81" s="501">
        <f t="shared" si="21"/>
        <v>85</v>
      </c>
      <c r="I81" s="501">
        <f t="shared" si="21"/>
        <v>82</v>
      </c>
      <c r="J81" s="501">
        <f t="shared" si="21"/>
        <v>79</v>
      </c>
      <c r="K81" s="501">
        <f t="shared" si="21"/>
        <v>76</v>
      </c>
      <c r="L81" s="501">
        <f t="shared" si="21"/>
        <v>73</v>
      </c>
      <c r="M81" s="501">
        <f t="shared" si="21"/>
        <v>70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2544</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95</v>
      </c>
      <c r="E91" s="501">
        <f>D91-$K17</f>
        <v>90</v>
      </c>
      <c r="F91" s="501">
        <f>E91-$K17</f>
        <v>85</v>
      </c>
      <c r="G91" s="501">
        <f>F91-$K17</f>
        <v>80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97</v>
      </c>
      <c r="E95" s="501">
        <f>D95-$K21</f>
        <v>94</v>
      </c>
      <c r="F95" s="501">
        <f>E95-$K21</f>
        <v>91</v>
      </c>
      <c r="G95" s="501">
        <f>F95-$K21</f>
        <v>88</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2545</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97</v>
      </c>
      <c r="E97" s="501">
        <f>D97-$K23</f>
        <v>94</v>
      </c>
      <c r="F97" s="501">
        <f>E97-$K23</f>
        <v>91</v>
      </c>
      <c r="G97" s="501">
        <f>F97-$K23</f>
        <v>88</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2546</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97</v>
      </c>
      <c r="E99" s="501">
        <f>D99-$K25</f>
        <v>94</v>
      </c>
      <c r="F99" s="501">
        <f>E99-$K25</f>
        <v>91</v>
      </c>
      <c r="G99" s="501">
        <f>F99-$K25</f>
        <v>88</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98</v>
      </c>
      <c r="E105" s="501">
        <f t="shared" ref="E105:M105" si="22">D105-$K31</f>
        <v>96</v>
      </c>
      <c r="F105" s="501">
        <f t="shared" si="22"/>
        <v>94</v>
      </c>
      <c r="G105" s="501">
        <f t="shared" si="22"/>
        <v>92</v>
      </c>
      <c r="H105" s="501">
        <f t="shared" si="22"/>
        <v>90</v>
      </c>
      <c r="I105" s="501">
        <f t="shared" si="22"/>
        <v>88</v>
      </c>
      <c r="J105" s="501">
        <f t="shared" si="22"/>
        <v>86</v>
      </c>
      <c r="K105" s="501">
        <f t="shared" si="22"/>
        <v>84</v>
      </c>
      <c r="L105" s="501">
        <f t="shared" si="22"/>
        <v>82</v>
      </c>
      <c r="M105" s="501">
        <f t="shared" si="22"/>
        <v>80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2452</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98</v>
      </c>
      <c r="E107" s="501">
        <f t="shared" ref="E107:M107" si="23">D107-$K32</f>
        <v>96</v>
      </c>
      <c r="F107" s="501">
        <f t="shared" si="23"/>
        <v>94</v>
      </c>
      <c r="G107" s="501">
        <f t="shared" si="23"/>
        <v>92</v>
      </c>
      <c r="H107" s="501">
        <f t="shared" si="23"/>
        <v>90</v>
      </c>
      <c r="I107" s="501">
        <f t="shared" si="23"/>
        <v>88</v>
      </c>
      <c r="J107" s="501">
        <f t="shared" si="23"/>
        <v>86</v>
      </c>
      <c r="K107" s="501">
        <f t="shared" si="23"/>
        <v>84</v>
      </c>
      <c r="L107" s="501">
        <f t="shared" si="23"/>
        <v>82</v>
      </c>
      <c r="M107" s="501">
        <f t="shared" si="23"/>
        <v>80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2511</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ht="28.5">
      <c r="A116" s="484" t="s">
        <v>2324</v>
      </c>
      <c r="B116" s="485" t="s">
        <v>2551</v>
      </c>
      <c r="C116" s="486" t="str">
        <f>C117&amp;"(含)"&amp;"-"&amp;D117</f>
        <v>0(含)-50000</v>
      </c>
      <c r="D116" s="486" t="str">
        <f t="shared" ref="D116:M116" si="25">D117&amp;"(含)"&amp;"-"&amp;E117</f>
        <v>50000(含)-100000</v>
      </c>
      <c r="E116" s="486" t="str">
        <f t="shared" si="25"/>
        <v>100000(含)-200000</v>
      </c>
      <c r="F116" s="486" t="str">
        <f t="shared" si="25"/>
        <v>200000(含)-300000</v>
      </c>
      <c r="G116" s="486" t="str">
        <f t="shared" si="25"/>
        <v>300000(含)-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v>0</v>
      </c>
      <c r="D117" s="552">
        <v>50000</v>
      </c>
      <c r="E117" s="552">
        <v>100000</v>
      </c>
      <c r="F117" s="552">
        <v>200000</v>
      </c>
      <c r="G117" s="552">
        <v>300000</v>
      </c>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v>100</v>
      </c>
      <c r="D118" s="548">
        <v>101</v>
      </c>
      <c r="E118" s="527">
        <v>102</v>
      </c>
      <c r="F118" s="548">
        <v>103</v>
      </c>
      <c r="G118" s="527">
        <v>104</v>
      </c>
      <c r="H118" s="548"/>
      <c r="I118" s="527"/>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2552</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2553</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2554</v>
      </c>
      <c r="C123" s="511" t="s">
        <v>3346</v>
      </c>
      <c r="D123" s="511" t="s">
        <v>3352</v>
      </c>
      <c r="E123" s="511" t="s">
        <v>3354</v>
      </c>
      <c r="F123" s="511" t="s">
        <v>3355</v>
      </c>
      <c r="G123" s="511" t="s">
        <v>3349</v>
      </c>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99</v>
      </c>
      <c r="E124" s="501">
        <f t="shared" ref="E124:M124" si="28">D124-$K41</f>
        <v>98</v>
      </c>
      <c r="F124" s="501">
        <f t="shared" si="28"/>
        <v>97</v>
      </c>
      <c r="G124" s="501">
        <f t="shared" si="28"/>
        <v>96</v>
      </c>
      <c r="H124" s="501">
        <f t="shared" si="28"/>
        <v>95</v>
      </c>
      <c r="I124" s="501">
        <f t="shared" si="28"/>
        <v>94</v>
      </c>
      <c r="J124" s="501">
        <f t="shared" si="28"/>
        <v>93</v>
      </c>
      <c r="K124" s="501">
        <f t="shared" si="28"/>
        <v>92</v>
      </c>
      <c r="L124" s="501">
        <f t="shared" si="28"/>
        <v>91</v>
      </c>
      <c r="M124" s="502">
        <f t="shared" si="28"/>
        <v>90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2555</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7" priority="18" stopIfTrue="1" operator="containsText" text="超过">
      <formula>NOT(ISERROR(SEARCH("超过",F51)))</formula>
    </cfRule>
  </conditionalFormatting>
  <conditionalFormatting sqref="J53">
    <cfRule type="containsText" dxfId="16" priority="17" stopIfTrue="1" operator="containsText" text="超过">
      <formula>NOT(ISERROR(SEARCH("超过",J53)))</formula>
    </cfRule>
  </conditionalFormatting>
  <conditionalFormatting sqref="H53">
    <cfRule type="containsText" dxfId="15" priority="16" stopIfTrue="1" operator="containsText" text="超过">
      <formula>NOT(ISERROR(SEARCH("超过",H53)))</formula>
    </cfRule>
  </conditionalFormatting>
  <conditionalFormatting sqref="F53">
    <cfRule type="containsText" dxfId="14" priority="15" stopIfTrue="1" operator="containsText" text="超过">
      <formula>NOT(ISERROR(SEARCH("超过",F53)))</formula>
    </cfRule>
  </conditionalFormatting>
  <conditionalFormatting sqref="F52 H52 J52">
    <cfRule type="containsText" dxfId="13" priority="14" stopIfTrue="1" operator="containsText" text="超过">
      <formula>NOT(ISERROR(SEARCH("超过",F52)))</formula>
    </cfRule>
  </conditionalFormatting>
  <conditionalFormatting sqref="E51">
    <cfRule type="expression" dxfId="12" priority="13" stopIfTrue="1">
      <formula>$F$51="超过30%"</formula>
    </cfRule>
  </conditionalFormatting>
  <conditionalFormatting sqref="G53">
    <cfRule type="expression" dxfId="11" priority="12" stopIfTrue="1">
      <formula>$H$53="超过30%"</formula>
    </cfRule>
  </conditionalFormatting>
  <conditionalFormatting sqref="E52">
    <cfRule type="expression" dxfId="10" priority="11" stopIfTrue="1">
      <formula>$F$52="超过20%"</formula>
    </cfRule>
  </conditionalFormatting>
  <conditionalFormatting sqref="E53">
    <cfRule type="expression" dxfId="9" priority="10" stopIfTrue="1">
      <formula>$F$53="超过30%"</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I51">
    <cfRule type="expression" dxfId="6" priority="7" stopIfTrue="1">
      <formula>$J$51="超过30%"</formula>
    </cfRule>
  </conditionalFormatting>
  <conditionalFormatting sqref="I52">
    <cfRule type="expression" dxfId="5" priority="6" stopIfTrue="1">
      <formula>$J$52="超过20%"</formula>
    </cfRule>
  </conditionalFormatting>
  <conditionalFormatting sqref="I53">
    <cfRule type="expression" dxfId="4" priority="5" stopIfTrue="1">
      <formula>$J$53="超过30%"</formula>
    </cfRule>
  </conditionalFormatting>
  <conditionalFormatting sqref="F47">
    <cfRule type="expression" dxfId="3" priority="4">
      <formula>$D$47="简单平均"</formula>
    </cfRule>
  </conditionalFormatting>
  <conditionalFormatting sqref="H47">
    <cfRule type="expression" dxfId="2" priority="3">
      <formula>$D$47="简单平均"</formula>
    </cfRule>
  </conditionalFormatting>
  <conditionalFormatting sqref="J47">
    <cfRule type="expression" dxfId="1" priority="2">
      <formula>$D$47="简单平均"</formula>
    </cfRule>
  </conditionalFormatting>
  <conditionalFormatting sqref="F7:F45 H7:H45 J7:J45">
    <cfRule type="cellIs" dxfId="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1"/>
  <sheetViews>
    <sheetView topLeftCell="E1" workbookViewId="0">
      <selection activeCell="T24" sqref="T24"/>
    </sheetView>
  </sheetViews>
  <sheetFormatPr defaultRowHeight="13.5"/>
  <sheetData>
    <row r="1" spans="19:19">
      <c r="S1">
        <v>101314</v>
      </c>
    </row>
  </sheetData>
  <phoneticPr fontId="140"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tabSelected="1" workbookViewId="0">
      <selection activeCell="G8" sqref="G8"/>
    </sheetView>
  </sheetViews>
  <sheetFormatPr defaultRowHeight="13.5"/>
  <cols>
    <col min="3" max="3" width="9.375" bestFit="1" customWidth="1"/>
    <col min="18" max="18" width="9" customWidth="1"/>
  </cols>
  <sheetData>
    <row r="1" spans="1:18" ht="24">
      <c r="A1" s="3319" t="s">
        <v>3293</v>
      </c>
      <c r="B1" s="3319"/>
      <c r="C1" s="3319"/>
      <c r="D1" s="3319"/>
      <c r="E1" s="3319"/>
    </row>
    <row r="2" spans="1:18">
      <c r="A2" s="3320" t="s">
        <v>3294</v>
      </c>
      <c r="B2" s="3320" t="s">
        <v>1281</v>
      </c>
      <c r="C2" s="3320" t="s">
        <v>3295</v>
      </c>
      <c r="D2" s="3319"/>
      <c r="E2" s="3319"/>
      <c r="K2" s="3695" t="s">
        <v>3356</v>
      </c>
      <c r="L2" s="3695" t="s">
        <v>3357</v>
      </c>
      <c r="M2" s="3695" t="s">
        <v>3358</v>
      </c>
    </row>
    <row r="3" spans="1:18">
      <c r="A3" s="3320">
        <v>-4</v>
      </c>
      <c r="B3" s="3320" t="s">
        <v>3296</v>
      </c>
      <c r="C3" s="3320">
        <v>1360.8799999999901</v>
      </c>
      <c r="D3" s="3686">
        <v>22000.37</v>
      </c>
      <c r="E3" s="3319"/>
      <c r="K3" s="3695">
        <v>1</v>
      </c>
      <c r="L3" s="3695">
        <v>3747.09</v>
      </c>
      <c r="M3" s="3695">
        <v>7.41</v>
      </c>
    </row>
    <row r="4" spans="1:18">
      <c r="A4" s="3320">
        <v>-3</v>
      </c>
      <c r="B4" s="3320" t="s">
        <v>3296</v>
      </c>
      <c r="C4" s="3320">
        <v>484.68999999999897</v>
      </c>
      <c r="D4" s="3686"/>
      <c r="E4" s="3319"/>
      <c r="K4" s="3695">
        <v>2</v>
      </c>
      <c r="L4" s="3695">
        <v>3373.37</v>
      </c>
      <c r="M4" s="3695">
        <v>5</v>
      </c>
    </row>
    <row r="5" spans="1:18">
      <c r="A5" s="3320">
        <v>-2</v>
      </c>
      <c r="B5" s="3320" t="s">
        <v>3296</v>
      </c>
      <c r="C5" s="3320">
        <v>20154.8</v>
      </c>
      <c r="D5" s="3686"/>
      <c r="E5" s="3319"/>
      <c r="G5" s="3329" t="s">
        <v>3341</v>
      </c>
      <c r="H5" s="3329" t="s">
        <v>3342</v>
      </c>
      <c r="K5" s="3695">
        <v>3</v>
      </c>
      <c r="L5" s="3695">
        <v>5087.3599999999997</v>
      </c>
      <c r="M5" s="3695">
        <v>4.16</v>
      </c>
    </row>
    <row r="6" spans="1:18" ht="24">
      <c r="A6" s="3320">
        <v>-1</v>
      </c>
      <c r="B6" s="3320" t="s">
        <v>3297</v>
      </c>
      <c r="C6" s="3320">
        <v>18203.810000000001</v>
      </c>
      <c r="D6" s="3319"/>
      <c r="E6" s="3319"/>
      <c r="G6" s="3330">
        <f>$G$7*H6</f>
        <v>2.4000000000000004</v>
      </c>
      <c r="H6" s="3330">
        <v>0.2</v>
      </c>
      <c r="I6">
        <f>G6*C6</f>
        <v>43689.144000000008</v>
      </c>
      <c r="K6" s="3695">
        <v>4</v>
      </c>
      <c r="L6" s="3695">
        <v>4085.06</v>
      </c>
      <c r="M6" s="3695">
        <v>2.4300000000000002</v>
      </c>
    </row>
    <row r="7" spans="1:18">
      <c r="A7" s="3320">
        <v>1</v>
      </c>
      <c r="B7" s="3320" t="s">
        <v>3298</v>
      </c>
      <c r="C7" s="3320">
        <v>10721.01</v>
      </c>
      <c r="D7" s="3686">
        <v>60856.65</v>
      </c>
      <c r="E7" s="3687">
        <v>61300.160000000003</v>
      </c>
      <c r="G7" s="3330">
        <v>12</v>
      </c>
      <c r="H7" s="3330">
        <v>1</v>
      </c>
      <c r="I7">
        <f t="shared" ref="I7:I13" si="0">G7*C7</f>
        <v>128652.12</v>
      </c>
      <c r="K7" s="3695">
        <v>5</v>
      </c>
      <c r="L7" s="3695">
        <v>3378.56</v>
      </c>
      <c r="M7" s="3695">
        <v>3.24</v>
      </c>
    </row>
    <row r="8" spans="1:18">
      <c r="A8" s="3320">
        <v>2</v>
      </c>
      <c r="B8" s="3320" t="s">
        <v>3298</v>
      </c>
      <c r="C8" s="3320">
        <v>10190.469999999999</v>
      </c>
      <c r="D8" s="3686"/>
      <c r="E8" s="3687"/>
      <c r="G8" s="3330">
        <f>$G$7*H8</f>
        <v>8.3999999999999986</v>
      </c>
      <c r="H8" s="3330">
        <v>0.7</v>
      </c>
      <c r="I8">
        <f t="shared" si="0"/>
        <v>85599.947999999975</v>
      </c>
      <c r="K8" s="3695">
        <v>6</v>
      </c>
      <c r="L8" s="3695"/>
      <c r="M8" s="3695"/>
      <c r="N8" s="3696" t="s">
        <v>3359</v>
      </c>
    </row>
    <row r="9" spans="1:18">
      <c r="A9" s="3320">
        <v>3</v>
      </c>
      <c r="B9" s="3320" t="s">
        <v>3298</v>
      </c>
      <c r="C9" s="3320">
        <v>10512.52</v>
      </c>
      <c r="D9" s="3686"/>
      <c r="E9" s="3687"/>
      <c r="G9" s="3330">
        <f t="shared" ref="G9:G13" si="1">$G$7*H9</f>
        <v>7.1999999999999993</v>
      </c>
      <c r="H9" s="3330">
        <v>0.6</v>
      </c>
      <c r="I9">
        <f t="shared" si="0"/>
        <v>75690.144</v>
      </c>
      <c r="K9" s="3695">
        <v>7</v>
      </c>
      <c r="L9" s="3695"/>
      <c r="M9" s="3695"/>
      <c r="N9" s="3696"/>
    </row>
    <row r="10" spans="1:18">
      <c r="A10" s="3320">
        <v>4</v>
      </c>
      <c r="B10" s="3320" t="s">
        <v>3298</v>
      </c>
      <c r="C10" s="3320">
        <v>10503.02</v>
      </c>
      <c r="D10" s="3686"/>
      <c r="E10" s="3687"/>
      <c r="G10" s="3330">
        <f t="shared" si="1"/>
        <v>6</v>
      </c>
      <c r="H10" s="3330">
        <v>0.5</v>
      </c>
      <c r="I10">
        <f t="shared" si="0"/>
        <v>63018.12</v>
      </c>
      <c r="K10" s="3695" t="s">
        <v>3360</v>
      </c>
      <c r="L10" s="3695"/>
      <c r="M10" s="3695">
        <f>ROUND([3]租赁进度!Y6/30,2)</f>
        <v>2.0299999999999998</v>
      </c>
      <c r="N10" s="3329" t="s">
        <v>3361</v>
      </c>
      <c r="O10" s="3330">
        <v>11820</v>
      </c>
      <c r="P10" s="3330">
        <f>M10*C6</f>
        <v>36953.734299999996</v>
      </c>
      <c r="R10" s="3324" t="s">
        <v>3362</v>
      </c>
    </row>
    <row r="11" spans="1:18">
      <c r="A11" s="3320">
        <v>5</v>
      </c>
      <c r="B11" s="3320" t="s">
        <v>3298</v>
      </c>
      <c r="C11" s="3320">
        <v>7946.38</v>
      </c>
      <c r="D11" s="3686"/>
      <c r="E11" s="3687"/>
      <c r="G11" s="3330">
        <f t="shared" si="1"/>
        <v>6</v>
      </c>
      <c r="H11" s="3330">
        <v>0.5</v>
      </c>
      <c r="I11">
        <f t="shared" si="0"/>
        <v>47678.28</v>
      </c>
      <c r="N11" s="3330">
        <v>1</v>
      </c>
      <c r="O11" s="3330">
        <f>L3</f>
        <v>3747.09</v>
      </c>
      <c r="P11" s="3330">
        <f>M3*C7</f>
        <v>79442.684099999999</v>
      </c>
      <c r="R11">
        <f>O11/C7</f>
        <v>0.34950904812139899</v>
      </c>
    </row>
    <row r="12" spans="1:18">
      <c r="A12" s="3320">
        <v>6</v>
      </c>
      <c r="B12" s="3320" t="s">
        <v>3298</v>
      </c>
      <c r="C12" s="3320">
        <v>7361.49</v>
      </c>
      <c r="D12" s="3686"/>
      <c r="E12" s="3687"/>
      <c r="G12" s="3330">
        <f t="shared" si="1"/>
        <v>6</v>
      </c>
      <c r="H12" s="3330">
        <v>0.5</v>
      </c>
      <c r="I12">
        <f t="shared" si="0"/>
        <v>44168.94</v>
      </c>
      <c r="N12" s="3330">
        <v>2</v>
      </c>
      <c r="O12" s="3330">
        <f>L4</f>
        <v>3373.37</v>
      </c>
      <c r="P12" s="3330">
        <f>M4*C8</f>
        <v>50952.35</v>
      </c>
      <c r="R12">
        <f>O12/C8</f>
        <v>0.33103183660812507</v>
      </c>
    </row>
    <row r="13" spans="1:18">
      <c r="A13" s="3320">
        <v>7</v>
      </c>
      <c r="B13" s="3320" t="s">
        <v>3298</v>
      </c>
      <c r="C13" s="3320">
        <v>3621.76</v>
      </c>
      <c r="D13" s="3686"/>
      <c r="E13" s="3687"/>
      <c r="G13" s="3330">
        <f t="shared" si="1"/>
        <v>6</v>
      </c>
      <c r="H13" s="3330">
        <v>0.5</v>
      </c>
      <c r="I13">
        <f t="shared" si="0"/>
        <v>21730.560000000001</v>
      </c>
      <c r="N13" s="3330">
        <v>3</v>
      </c>
      <c r="O13" s="3330">
        <f>L5</f>
        <v>5087.3599999999997</v>
      </c>
      <c r="P13" s="3330">
        <f>M5*C9</f>
        <v>43732.083200000001</v>
      </c>
      <c r="R13">
        <f>O13/C9</f>
        <v>0.48393344317061937</v>
      </c>
    </row>
    <row r="14" spans="1:18">
      <c r="A14" s="3320" t="s">
        <v>3299</v>
      </c>
      <c r="B14" s="3320" t="s">
        <v>70</v>
      </c>
      <c r="C14" s="3320">
        <v>443.51</v>
      </c>
      <c r="D14" s="3321"/>
      <c r="E14" s="3687"/>
      <c r="F14" s="3324" t="s">
        <v>3348</v>
      </c>
      <c r="G14" s="3331">
        <f>ROUND(I14/C15,1)</f>
        <v>5</v>
      </c>
      <c r="H14" s="3330"/>
      <c r="I14">
        <f>SUM(I6:I13)</f>
        <v>510227.25599999994</v>
      </c>
      <c r="N14" s="3330">
        <v>4</v>
      </c>
      <c r="O14" s="3330">
        <f>L6</f>
        <v>4085.06</v>
      </c>
      <c r="P14" s="3330">
        <f>M6*C10</f>
        <v>25522.338600000003</v>
      </c>
      <c r="R14">
        <f>O14/C10</f>
        <v>0.38894146635919952</v>
      </c>
    </row>
    <row r="15" spans="1:18">
      <c r="A15" s="3320" t="s">
        <v>37</v>
      </c>
      <c r="B15" s="3320" t="s">
        <v>70</v>
      </c>
      <c r="C15" s="3320">
        <v>101504.34</v>
      </c>
      <c r="D15" s="3319">
        <v>1.0256663807783599</v>
      </c>
      <c r="E15" s="3319"/>
      <c r="N15" s="3330">
        <v>5</v>
      </c>
      <c r="O15" s="3330">
        <f>L7</f>
        <v>3378.56</v>
      </c>
      <c r="P15" s="3330">
        <f>M7*C11</f>
        <v>25746.271200000003</v>
      </c>
      <c r="R15">
        <f>O15/C11</f>
        <v>0.42516969991367137</v>
      </c>
    </row>
    <row r="16" spans="1:18">
      <c r="P16" s="3330">
        <f>SUM(P10:P15)</f>
        <v>262349.46140000003</v>
      </c>
      <c r="Q16">
        <f>P16/C15</f>
        <v>2.5846132431381754</v>
      </c>
    </row>
    <row r="18" spans="16:17">
      <c r="P18">
        <f>P16/0.8</f>
        <v>327936.82675000001</v>
      </c>
      <c r="Q18">
        <f>P18/C15</f>
        <v>3.2307665539227193</v>
      </c>
    </row>
  </sheetData>
  <mergeCells count="4">
    <mergeCell ref="D3:D5"/>
    <mergeCell ref="D7:D13"/>
    <mergeCell ref="E7:E14"/>
    <mergeCell ref="N8:N9"/>
  </mergeCells>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
  <sheetViews>
    <sheetView topLeftCell="B67" workbookViewId="0">
      <selection activeCell="O79" sqref="O79"/>
    </sheetView>
  </sheetViews>
  <sheetFormatPr defaultRowHeight="20.100000000000001" customHeight="1"/>
  <cols>
    <col min="1" max="1" width="50.75" customWidth="1"/>
  </cols>
  <sheetData>
    <row r="1" spans="1:18" ht="20.100000000000001" customHeight="1">
      <c r="E1" s="3324" t="s">
        <v>3330</v>
      </c>
      <c r="F1" s="3324" t="s">
        <v>3331</v>
      </c>
      <c r="G1" s="3324" t="s">
        <v>3332</v>
      </c>
      <c r="L1" s="3324" t="s">
        <v>3323</v>
      </c>
      <c r="M1" s="3324" t="s">
        <v>3324</v>
      </c>
      <c r="N1" s="3324" t="s">
        <v>3325</v>
      </c>
      <c r="O1" s="3324" t="s">
        <v>3326</v>
      </c>
      <c r="P1" s="3324" t="s">
        <v>3327</v>
      </c>
      <c r="Q1" s="3324" t="s">
        <v>3328</v>
      </c>
    </row>
    <row r="2" spans="1:18" s="3323" customFormat="1" ht="20.100000000000001" customHeight="1">
      <c r="A2" s="3322" t="s">
        <v>3302</v>
      </c>
      <c r="B2" s="3690" t="s">
        <v>3304</v>
      </c>
      <c r="C2" s="3691" t="s">
        <v>3129</v>
      </c>
      <c r="D2" s="3691" t="s">
        <v>3305</v>
      </c>
      <c r="E2" s="3692">
        <v>15197.52</v>
      </c>
      <c r="F2" s="3692">
        <v>30395.05</v>
      </c>
      <c r="G2" s="3691">
        <v>2</v>
      </c>
      <c r="H2" s="3689" t="s">
        <v>3306</v>
      </c>
      <c r="I2" s="3691" t="s">
        <v>3334</v>
      </c>
      <c r="J2" s="3689" t="s">
        <v>3307</v>
      </c>
      <c r="K2" s="3688">
        <v>44554</v>
      </c>
      <c r="L2" s="3688">
        <v>44554</v>
      </c>
      <c r="M2" s="3689" t="s">
        <v>3308</v>
      </c>
      <c r="N2" s="3694" t="s">
        <v>3309</v>
      </c>
      <c r="O2" s="3692">
        <v>42600</v>
      </c>
      <c r="P2" s="3692">
        <v>14015</v>
      </c>
      <c r="Q2" s="3692">
        <v>0</v>
      </c>
    </row>
    <row r="3" spans="1:18" s="3323" customFormat="1" ht="20.100000000000001" customHeight="1">
      <c r="A3" s="3322" t="s">
        <v>3303</v>
      </c>
      <c r="B3" s="3690"/>
      <c r="C3" s="3691"/>
      <c r="D3" s="3691"/>
      <c r="E3" s="3692"/>
      <c r="F3" s="3692"/>
      <c r="G3" s="3691"/>
      <c r="H3" s="3689"/>
      <c r="I3" s="3691"/>
      <c r="J3" s="3689"/>
      <c r="K3" s="3688"/>
      <c r="L3" s="3688"/>
      <c r="M3" s="3689"/>
      <c r="N3" s="3694"/>
      <c r="O3" s="3692"/>
      <c r="P3" s="3692"/>
      <c r="Q3" s="3692"/>
    </row>
    <row r="4" spans="1:18" s="3323" customFormat="1" ht="20.100000000000001" customHeight="1">
      <c r="A4" s="3693" t="s">
        <v>3310</v>
      </c>
      <c r="B4" s="3690" t="s">
        <v>3311</v>
      </c>
      <c r="C4" s="3691" t="s">
        <v>3129</v>
      </c>
      <c r="D4" s="3691" t="s">
        <v>3305</v>
      </c>
      <c r="E4" s="3692">
        <v>265269.8</v>
      </c>
      <c r="F4" s="3692">
        <v>665975.69999999995</v>
      </c>
      <c r="G4" s="3691" t="s">
        <v>3312</v>
      </c>
      <c r="H4" s="3689" t="s">
        <v>3306</v>
      </c>
      <c r="I4" s="3691" t="s">
        <v>3338</v>
      </c>
      <c r="J4" s="3689" t="s">
        <v>1239</v>
      </c>
      <c r="K4" s="3688">
        <v>44046</v>
      </c>
      <c r="L4" s="3688">
        <v>44046</v>
      </c>
      <c r="M4" s="3689" t="s">
        <v>3308</v>
      </c>
      <c r="N4" s="3694" t="s">
        <v>3314</v>
      </c>
      <c r="O4" s="3692">
        <v>699300</v>
      </c>
      <c r="P4" s="3692">
        <v>10500</v>
      </c>
      <c r="Q4" s="3692">
        <v>0</v>
      </c>
      <c r="R4" s="3323">
        <f>F4/E4</f>
        <v>2.5105598149506654</v>
      </c>
    </row>
    <row r="5" spans="1:18" s="3323" customFormat="1" ht="20.100000000000001" customHeight="1">
      <c r="A5" s="3693"/>
      <c r="B5" s="3690"/>
      <c r="C5" s="3691"/>
      <c r="D5" s="3691"/>
      <c r="E5" s="3692"/>
      <c r="F5" s="3692"/>
      <c r="G5" s="3691"/>
      <c r="H5" s="3689"/>
      <c r="I5" s="3691"/>
      <c r="J5" s="3689"/>
      <c r="K5" s="3688"/>
      <c r="L5" s="3688"/>
      <c r="M5" s="3689"/>
      <c r="N5" s="3694"/>
      <c r="O5" s="3692"/>
      <c r="P5" s="3692"/>
      <c r="Q5" s="3692"/>
    </row>
    <row r="6" spans="1:18" s="3323" customFormat="1" ht="39.75" customHeight="1">
      <c r="A6" s="3693" t="s">
        <v>3315</v>
      </c>
      <c r="B6" s="3690" t="s">
        <v>3316</v>
      </c>
      <c r="C6" s="3691" t="s">
        <v>3129</v>
      </c>
      <c r="D6" s="3691" t="s">
        <v>3305</v>
      </c>
      <c r="E6" s="3692">
        <v>42276.47</v>
      </c>
      <c r="F6" s="3692">
        <v>84552.93</v>
      </c>
      <c r="G6" s="3691" t="s">
        <v>3317</v>
      </c>
      <c r="H6" s="3689" t="s">
        <v>3306</v>
      </c>
      <c r="I6" s="3691" t="s">
        <v>3336</v>
      </c>
      <c r="J6" s="3689" t="s">
        <v>1239</v>
      </c>
      <c r="K6" s="3688">
        <v>43706</v>
      </c>
      <c r="L6" s="3688">
        <v>43706</v>
      </c>
      <c r="M6" s="3689" t="s">
        <v>3308</v>
      </c>
      <c r="N6" s="3694" t="s">
        <v>3318</v>
      </c>
      <c r="O6" s="3692">
        <v>96500</v>
      </c>
      <c r="P6" s="3692">
        <v>11413</v>
      </c>
      <c r="Q6" s="3692">
        <v>1.58</v>
      </c>
    </row>
    <row r="7" spans="1:18" s="3323" customFormat="1" ht="20.100000000000001" customHeight="1">
      <c r="A7" s="3693"/>
      <c r="B7" s="3690"/>
      <c r="C7" s="3691"/>
      <c r="D7" s="3691"/>
      <c r="E7" s="3692"/>
      <c r="F7" s="3692"/>
      <c r="G7" s="3691"/>
      <c r="H7" s="3689"/>
      <c r="I7" s="3691"/>
      <c r="J7" s="3689"/>
      <c r="K7" s="3688"/>
      <c r="L7" s="3688"/>
      <c r="M7" s="3689"/>
      <c r="N7" s="3694"/>
      <c r="O7" s="3692"/>
      <c r="P7" s="3692"/>
      <c r="Q7" s="3692"/>
    </row>
    <row r="8" spans="1:18" s="3323" customFormat="1" ht="20.100000000000001" customHeight="1">
      <c r="A8" s="3693" t="s">
        <v>3319</v>
      </c>
      <c r="B8" s="3690" t="s">
        <v>3320</v>
      </c>
      <c r="C8" s="3691" t="s">
        <v>3129</v>
      </c>
      <c r="D8" s="3691" t="s">
        <v>3305</v>
      </c>
      <c r="E8" s="3692">
        <v>51736.9</v>
      </c>
      <c r="F8" s="3692">
        <v>81600.05</v>
      </c>
      <c r="G8" s="3691" t="s">
        <v>3321</v>
      </c>
      <c r="H8" s="3689" t="s">
        <v>3306</v>
      </c>
      <c r="I8" s="3691" t="s">
        <v>3313</v>
      </c>
      <c r="J8" s="3689" t="s">
        <v>1239</v>
      </c>
      <c r="K8" s="3688">
        <v>43613</v>
      </c>
      <c r="L8" s="3688">
        <v>43613</v>
      </c>
      <c r="M8" s="3689" t="s">
        <v>3308</v>
      </c>
      <c r="N8" s="3694" t="s">
        <v>3322</v>
      </c>
      <c r="O8" s="3692">
        <v>150000</v>
      </c>
      <c r="P8" s="3692">
        <v>18382</v>
      </c>
      <c r="Q8" s="3692">
        <v>0</v>
      </c>
    </row>
    <row r="9" spans="1:18" s="3323" customFormat="1" ht="20.100000000000001" customHeight="1">
      <c r="A9" s="3693"/>
      <c r="B9" s="3690"/>
      <c r="C9" s="3691"/>
      <c r="D9" s="3691"/>
      <c r="E9" s="3692"/>
      <c r="F9" s="3692"/>
      <c r="G9" s="3691"/>
      <c r="H9" s="3689"/>
      <c r="I9" s="3691"/>
      <c r="J9" s="3689"/>
      <c r="K9" s="3688"/>
      <c r="L9" s="3688"/>
      <c r="M9" s="3689"/>
      <c r="N9" s="3694"/>
      <c r="O9" s="3692"/>
      <c r="P9" s="3692"/>
      <c r="Q9" s="3692"/>
    </row>
  </sheetData>
  <mergeCells count="67">
    <mergeCell ref="Q8:Q9"/>
    <mergeCell ref="N8:N9"/>
    <mergeCell ref="O8:O9"/>
    <mergeCell ref="P8:P9"/>
    <mergeCell ref="H8:H9"/>
    <mergeCell ref="I8:I9"/>
    <mergeCell ref="J8:J9"/>
    <mergeCell ref="K8:K9"/>
    <mergeCell ref="L8:L9"/>
    <mergeCell ref="M8:M9"/>
    <mergeCell ref="O6:O7"/>
    <mergeCell ref="P6:P7"/>
    <mergeCell ref="Q6:Q7"/>
    <mergeCell ref="A8:A9"/>
    <mergeCell ref="B8:B9"/>
    <mergeCell ref="C8:C9"/>
    <mergeCell ref="D8:D9"/>
    <mergeCell ref="E8:E9"/>
    <mergeCell ref="F8:F9"/>
    <mergeCell ref="G8:G9"/>
    <mergeCell ref="L6:L7"/>
    <mergeCell ref="M6:M7"/>
    <mergeCell ref="N6:N7"/>
    <mergeCell ref="F6:F7"/>
    <mergeCell ref="G6:G7"/>
    <mergeCell ref="H6:H7"/>
    <mergeCell ref="Q4:Q5"/>
    <mergeCell ref="A6:A7"/>
    <mergeCell ref="B6:B7"/>
    <mergeCell ref="C6:C7"/>
    <mergeCell ref="D6:D7"/>
    <mergeCell ref="E6:E7"/>
    <mergeCell ref="J4:J5"/>
    <mergeCell ref="K4:K5"/>
    <mergeCell ref="L4:L5"/>
    <mergeCell ref="M4:M5"/>
    <mergeCell ref="N4:N5"/>
    <mergeCell ref="I6:I7"/>
    <mergeCell ref="J6:J7"/>
    <mergeCell ref="K6:K7"/>
    <mergeCell ref="O4:O5"/>
    <mergeCell ref="P4:P5"/>
    <mergeCell ref="Q2:Q3"/>
    <mergeCell ref="A4:A5"/>
    <mergeCell ref="B4:B5"/>
    <mergeCell ref="C4:C5"/>
    <mergeCell ref="D4:D5"/>
    <mergeCell ref="E4:E5"/>
    <mergeCell ref="F4:F5"/>
    <mergeCell ref="G4:G5"/>
    <mergeCell ref="H4:H5"/>
    <mergeCell ref="I4:I5"/>
    <mergeCell ref="N2:N3"/>
    <mergeCell ref="O2:O3"/>
    <mergeCell ref="P2:P3"/>
    <mergeCell ref="H2:H3"/>
    <mergeCell ref="I2:I3"/>
    <mergeCell ref="J2:J3"/>
    <mergeCell ref="K2:K3"/>
    <mergeCell ref="L2:L3"/>
    <mergeCell ref="M2:M3"/>
    <mergeCell ref="B2:B3"/>
    <mergeCell ref="C2:C3"/>
    <mergeCell ref="D2:D3"/>
    <mergeCell ref="E2:E3"/>
    <mergeCell ref="F2:F3"/>
    <mergeCell ref="G2:G3"/>
  </mergeCells>
  <phoneticPr fontId="140" type="noConversion"/>
  <hyperlinks>
    <hyperlink ref="A2" r:id="rId1" tooltip="北京市大兴区黄村镇DX00-0201-6001地块B14旅馆用地" display="https://creis.fang.com/land/4.0/land-detail/bidding-detail?landId=b312a772-c783-45ea-b1ec-069c30393fdd&amp;cityId=6679b8fe-0231-4c3e-95e2-1afa9e3fea5f&amp;cityName=%E5%8C%97%E4%BA%AC&amp;cityCode=110100"/>
    <hyperlink ref="A3" r:id="rId2" display="https://creis.fang.com/land/4.0/land-detail/bidding-transfer?landId=b312a772-c783-45ea-b1ec-069c30393fdd&amp;cityId=6679b8fe-0231-4c3e-95e2-1afa9e3fea5f&amp;cityName=%E5%8C%97%E4%BA%AC&amp;cityCode=110100"/>
    <hyperlink ref="N2" r:id="rId3" display="https://creis.fang.com/land/4.0/land/company-info?companyName=%E5%8C%97%E4%BA%AC%E5%A4%A7%E5%85%B4%E5%AE%BE%E9%A6%86%E6%9C%89%E9%99%90%E8%B4%A3%E4%BB%BB%E5%85%AC%E5%8F%B8"/>
    <hyperlink ref="A4" r:id="rId4" tooltip="北京经济技术开发区路东区G4F-4、G6F-1、G6F-5、G7F-1、G7F-2、G7F-3地块F3其他类多功能用地国有建设用地" display="https://creis.fang.com/land/4.0/land-detail/bidding-detail?landId=943e4ded-ddf7-4b11-a192-8593d26f1f10&amp;cityId=6679b8fe-0231-4c3e-95e2-1afa9e3fea5f&amp;cityName=%E5%8C%97%E4%BA%AC&amp;cityCode=110100"/>
    <hyperlink ref="N4" r:id="rId5" display="https://creis.fang.com/land/4.0/land/company-info?companyName=%E5%8C%97%E4%BA%AC%E9%80%9A%E6%98%8E%E6%B9%96%E4%BF%A1%E6%81%AF%E5%9F%8E%E5%8F%91%E5%B1%95%E6%9C%89%E9%99%90%E5%85%AC%E5%8F%B8"/>
    <hyperlink ref="A6" r:id="rId6" tooltip="北京经济技术开发区河西区X78C2地块B4综合性商业金融服务业用地" display="https://creis.fang.com/land/4.0/land-detail/bidding-detail?landId=670048a0-4c06-4d9f-a996-8c3efb69e3a9&amp;cityId=6679b8fe-0231-4c3e-95e2-1afa9e3fea5f&amp;cityName=%E5%8C%97%E4%BA%AC&amp;cityCode=110100"/>
    <hyperlink ref="N6" r:id="rId7" display="https://creis.fang.com/land/4.0/land/company-info?companyName=%E5%8C%97%E4%BA%AC%E5%B0%9A%E6%81%92%E9%94%A6%E7%91%9E%E5%95%86%E4%B8%9A%E8%BF%90%E8%90%A5%E7%AE%A1%E7%90%86%E6%9C%89%E9%99%90%E5%85%AC%E5%8F%B8"/>
    <hyperlink ref="A8" r:id="rId8" tooltip="北京经济技术开发区南海子郊野公园B片区B-04/ B-06/B-11地块F3其他类多功能用地" display="https://creis.fang.com/land/4.0/land-detail/bidding-detail?landId=a9858500-1e82-4120-9f02-04ed3ba77468&amp;cityId=6679b8fe-0231-4c3e-95e2-1afa9e3fea5f&amp;cityName=%E5%8C%97%E4%BA%AC&amp;cityCode=110100"/>
    <hyperlink ref="N8" r:id="rId9" display="https://creis.fang.com/land/4.0/land/company-info?companyName=%E5%8C%97%E4%BA%AC%E5%9B%BD%E8%8B%91%E4%BD%93%E8%82%B2%E6%96%87%E5%8C%96%E6%8A%95%E8%B5%84%E6%9C%89%E9%99%90%E8%B4%A3%E4%BB%BB%E5%85%AC%E5%8F%B8"/>
  </hyperlinks>
  <pageMargins left="0.7" right="0.7" top="0.75" bottom="0.75" header="0.3" footer="0.3"/>
  <pageSetup paperSize="9" orientation="portrait" r:id="rId10"/>
  <drawing r:id="rId1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N65"/>
  <sheetViews>
    <sheetView workbookViewId="0">
      <selection activeCell="N66" sqref="N66"/>
    </sheetView>
  </sheetViews>
  <sheetFormatPr defaultRowHeight="13.5"/>
  <sheetData>
    <row r="1" spans="14:14">
      <c r="N1" s="3324" t="s">
        <v>3347</v>
      </c>
    </row>
    <row r="2" spans="14:14">
      <c r="N2">
        <v>13</v>
      </c>
    </row>
    <row r="12" spans="14:14">
      <c r="N12">
        <v>3.3</v>
      </c>
    </row>
    <row r="25" spans="14:14">
      <c r="N25">
        <v>10</v>
      </c>
    </row>
    <row r="33" spans="14:14">
      <c r="N33">
        <v>6.3</v>
      </c>
    </row>
    <row r="55" spans="14:14">
      <c r="N55">
        <v>4.4000000000000004</v>
      </c>
    </row>
    <row r="65" spans="14:14">
      <c r="N65">
        <v>6.9</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356" t="str">
        <f>IF(项目基本情况!B9="房地产市场价值","估价结果一览表","结果表-2")</f>
        <v>结果表-2</v>
      </c>
      <c r="B1" s="3356"/>
      <c r="C1" s="3356"/>
      <c r="D1" s="3356"/>
      <c r="E1" s="3356"/>
      <c r="F1" s="3356"/>
      <c r="G1" s="3356"/>
      <c r="H1" s="3356"/>
      <c r="I1" s="3356"/>
    </row>
    <row r="2" spans="1:9" ht="30" customHeight="1" thickTop="1">
      <c r="A2" s="3357" t="s">
        <v>1546</v>
      </c>
      <c r="B2" s="3357" t="s">
        <v>1547</v>
      </c>
      <c r="C2" s="3357" t="s">
        <v>1548</v>
      </c>
      <c r="D2" s="3357" t="str">
        <f>结果表!D116</f>
        <v>出让国有建设用地使用权价值</v>
      </c>
      <c r="E2" s="3357"/>
      <c r="F2" s="3357" t="str">
        <f>结果表!F116</f>
        <v>在建建筑物价值</v>
      </c>
      <c r="G2" s="3357"/>
      <c r="H2" s="3357" t="str">
        <f>IF(项目基本情况!B9="房地产市场价值","房地产市场价值","房地产价值")</f>
        <v>房地产价值</v>
      </c>
      <c r="I2" s="3357"/>
    </row>
    <row r="3" spans="1:9" ht="15">
      <c r="A3" s="3351"/>
      <c r="B3" s="3351"/>
      <c r="C3" s="3351"/>
      <c r="D3" s="963" t="s">
        <v>1543</v>
      </c>
      <c r="E3" s="963" t="s">
        <v>1549</v>
      </c>
      <c r="F3" s="963" t="s">
        <v>1543</v>
      </c>
      <c r="G3" s="963" t="s">
        <v>1544</v>
      </c>
      <c r="H3" s="963" t="s">
        <v>1543</v>
      </c>
      <c r="I3" s="963" t="s">
        <v>1544</v>
      </c>
    </row>
    <row r="4" spans="1:9" ht="15">
      <c r="A4" s="1659" t="str">
        <f>项目基本情况!S2</f>
        <v>北京市房地产</v>
      </c>
      <c r="B4" s="963">
        <f>项目基本情况!C17</f>
        <v>101504.34</v>
      </c>
      <c r="C4" s="963">
        <f>项目基本情况!C18</f>
        <v>25666.1</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351" t="s">
        <v>1545</v>
      </c>
      <c r="B5" s="3351"/>
      <c r="C5" s="3351"/>
      <c r="D5" s="3352" t="e">
        <f ca="1">结果表!D119</f>
        <v>#REF!</v>
      </c>
      <c r="E5" s="3352"/>
      <c r="F5" s="3352" t="e">
        <f ca="1">结果表!F119</f>
        <v>#REF!</v>
      </c>
      <c r="G5" s="3352"/>
      <c r="H5" s="3352" t="e">
        <f ca="1">结果表!H119</f>
        <v>#REF!</v>
      </c>
      <c r="I5" s="3352"/>
    </row>
    <row r="6" spans="1:9" ht="15.75">
      <c r="A6" s="3350" t="str">
        <f>结果表!A120</f>
        <v>估价师知悉的法定优先受偿款</v>
      </c>
      <c r="B6" s="3350"/>
      <c r="C6" s="3350"/>
      <c r="D6" s="3350">
        <f>结果表!D120</f>
        <v>0</v>
      </c>
      <c r="E6" s="3350"/>
      <c r="F6" s="3350"/>
      <c r="G6" s="3350"/>
      <c r="H6" s="3350"/>
      <c r="I6" s="3350"/>
    </row>
    <row r="7" spans="1:9" ht="15">
      <c r="A7" s="3351" t="s">
        <v>1545</v>
      </c>
      <c r="B7" s="3351"/>
      <c r="C7" s="3351"/>
      <c r="D7" s="3353" t="str">
        <f>结果表!D121</f>
        <v>零元整</v>
      </c>
      <c r="E7" s="3354"/>
      <c r="F7" s="3354"/>
      <c r="G7" s="3354"/>
      <c r="H7" s="3354"/>
      <c r="I7" s="3355"/>
    </row>
    <row r="8" spans="1:9" ht="15.75">
      <c r="A8" s="3350" t="str">
        <f>结果表!A122</f>
        <v>房地产抵押价值</v>
      </c>
      <c r="B8" s="3350"/>
      <c r="C8" s="3350"/>
      <c r="D8" s="3350" t="e">
        <f ca="1">结果表!D122</f>
        <v>#REF!</v>
      </c>
      <c r="E8" s="3350"/>
      <c r="F8" s="3350"/>
      <c r="G8" s="3350"/>
      <c r="H8" s="3350"/>
      <c r="I8" s="3350"/>
    </row>
    <row r="9" spans="1:9" ht="15">
      <c r="A9" s="3351" t="s">
        <v>1545</v>
      </c>
      <c r="B9" s="3351"/>
      <c r="C9" s="3351"/>
      <c r="D9" s="3352" t="e">
        <f ca="1">结果表!D123</f>
        <v>#REF!</v>
      </c>
      <c r="E9" s="3352"/>
      <c r="F9" s="3352"/>
      <c r="G9" s="3352"/>
      <c r="H9" s="3352"/>
      <c r="I9" s="3352"/>
    </row>
    <row r="10" spans="1:9" ht="15.75">
      <c r="A10" s="3350" t="str">
        <f>结果表!A124</f>
        <v/>
      </c>
      <c r="B10" s="3350"/>
      <c r="C10" s="3350"/>
      <c r="D10" s="3350" t="str">
        <f>结果表!D124</f>
        <v>——</v>
      </c>
      <c r="E10" s="3350"/>
      <c r="F10" s="3350"/>
      <c r="G10" s="3350"/>
      <c r="H10" s="3350"/>
      <c r="I10" s="3350"/>
    </row>
    <row r="11" spans="1:9" ht="15">
      <c r="A11" s="3351" t="s">
        <v>1545</v>
      </c>
      <c r="B11" s="3351"/>
      <c r="C11" s="3351"/>
      <c r="D11" s="3352" t="e">
        <f>结果表!D125</f>
        <v>#VALUE!</v>
      </c>
      <c r="E11" s="3352"/>
      <c r="F11" s="3352"/>
      <c r="G11" s="3352"/>
      <c r="H11" s="3352"/>
      <c r="I11" s="3352"/>
    </row>
    <row r="12" spans="1:9" ht="15.75">
      <c r="A12" s="3350" t="str">
        <f>结果表!A126</f>
        <v/>
      </c>
      <c r="B12" s="3350"/>
      <c r="C12" s="3350"/>
      <c r="D12" s="3350" t="str">
        <f>结果表!D126</f>
        <v>——</v>
      </c>
      <c r="E12" s="3350"/>
      <c r="F12" s="3350"/>
      <c r="G12" s="3350"/>
      <c r="H12" s="3350"/>
      <c r="I12" s="3350"/>
    </row>
    <row r="13" spans="1:9" ht="15.75" thickBot="1">
      <c r="A13" s="3347" t="s">
        <v>1545</v>
      </c>
      <c r="B13" s="3347"/>
      <c r="C13" s="3347"/>
      <c r="D13" s="3348" t="e">
        <f>结果表!D127</f>
        <v>#VALUE!</v>
      </c>
      <c r="E13" s="3348"/>
      <c r="F13" s="3348"/>
      <c r="G13" s="3348"/>
      <c r="H13" s="3348"/>
      <c r="I13" s="3348"/>
    </row>
    <row r="14" spans="1:9" ht="15" thickTop="1">
      <c r="A14" s="3349" t="s">
        <v>1550</v>
      </c>
      <c r="B14" s="3349"/>
      <c r="C14" s="3349"/>
      <c r="D14" s="3349"/>
      <c r="E14" s="3349"/>
      <c r="F14" s="3349"/>
      <c r="G14" s="3349"/>
      <c r="H14" s="3349"/>
      <c r="I14" s="3349"/>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364" t="s">
        <v>1567</v>
      </c>
      <c r="B1" s="3364"/>
      <c r="C1" s="3364"/>
      <c r="D1" s="3364"/>
    </row>
    <row r="2" spans="1:4" ht="18">
      <c r="A2" s="3365" t="s">
        <v>1551</v>
      </c>
      <c r="B2" s="3365"/>
      <c r="C2" s="3365"/>
      <c r="D2" s="3365"/>
    </row>
    <row r="3" spans="1:4" ht="18.75">
      <c r="A3" s="1663" t="s">
        <v>1552</v>
      </c>
      <c r="B3" s="1663" t="s">
        <v>1553</v>
      </c>
      <c r="C3" s="1663" t="s">
        <v>1554</v>
      </c>
      <c r="D3" s="1663" t="s">
        <v>1555</v>
      </c>
    </row>
    <row r="4" spans="1:4" ht="56.25" customHeight="1">
      <c r="A4" s="1664">
        <f>项目基本情况!B4</f>
        <v>0</v>
      </c>
      <c r="B4" s="1665">
        <f>项目基本情况!C4</f>
        <v>0</v>
      </c>
      <c r="C4" s="1666"/>
      <c r="D4" s="1667" t="s">
        <v>1556</v>
      </c>
    </row>
    <row r="5" spans="1:4" ht="56.25" customHeight="1">
      <c r="A5" s="1664">
        <f>项目基本情况!D4</f>
        <v>0</v>
      </c>
      <c r="B5" s="1665">
        <f>项目基本情况!E4</f>
        <v>0</v>
      </c>
      <c r="C5" s="1668"/>
      <c r="D5" s="1667" t="s">
        <v>1556</v>
      </c>
    </row>
    <row r="6" spans="1:4" ht="18">
      <c r="A6" s="3365" t="s">
        <v>1557</v>
      </c>
      <c r="B6" s="3365"/>
      <c r="C6" s="3365"/>
      <c r="D6" s="3365"/>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366" t="s">
        <v>1560</v>
      </c>
      <c r="B11" s="3358"/>
      <c r="C11" s="3358"/>
      <c r="D11" s="3358"/>
    </row>
    <row r="12" spans="1:4" ht="15.75">
      <c r="A12" s="33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3"/>
      <c r="C12" s="3363"/>
      <c r="D12" s="3363"/>
    </row>
    <row r="13" spans="1:4" ht="30" customHeight="1">
      <c r="A13" s="33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3"/>
      <c r="C13" s="3363"/>
      <c r="D13" s="3363"/>
    </row>
    <row r="14" spans="1:4" ht="15.75" customHeight="1">
      <c r="A14" s="3358" t="str">
        <f>IF(项目基本情况!B8="抵押","4.本次评估估价师所知悉的法定优先受偿款情况说明如下：","——")</f>
        <v>4.本次评估估价师所知悉的法定优先受偿款情况说明如下：</v>
      </c>
      <c r="B14" s="3363"/>
      <c r="C14" s="3363"/>
      <c r="D14" s="3363"/>
    </row>
    <row r="15" spans="1:4" ht="42" customHeight="1">
      <c r="A15" s="33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8"/>
      <c r="C15" s="3358"/>
      <c r="D15" s="3358"/>
    </row>
    <row r="16" spans="1:4" ht="30" customHeight="1">
      <c r="A16" s="3360" t="s">
        <v>1561</v>
      </c>
      <c r="B16" s="3360"/>
      <c r="C16" s="3360"/>
      <c r="D16" s="3360"/>
    </row>
    <row r="17" spans="1:4" ht="144" customHeight="1">
      <c r="A17" s="3360" t="s">
        <v>1562</v>
      </c>
      <c r="B17" s="3360"/>
      <c r="C17" s="3360"/>
      <c r="D17" s="3360"/>
    </row>
    <row r="18" spans="1:4" ht="15.75" customHeight="1">
      <c r="A18" s="3358" t="str">
        <f>IF(项目基本情况!B8="抵押",结果表!K120,"——")</f>
        <v>故，本次评估不存在估价师知悉的法定优先受偿款</v>
      </c>
      <c r="B18" s="3358"/>
      <c r="C18" s="3358"/>
      <c r="D18" s="3358"/>
    </row>
    <row r="19" spans="1:4" ht="46.5" customHeight="1">
      <c r="A19" s="33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8"/>
      <c r="C19" s="3358"/>
      <c r="D19" s="3358"/>
    </row>
    <row r="20" spans="1:4" ht="57.75" customHeight="1">
      <c r="A20" s="33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8"/>
      <c r="C20" s="3358"/>
      <c r="D20" s="3358"/>
    </row>
    <row r="21" spans="1:4" ht="57.75" customHeight="1">
      <c r="A21" s="33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1"/>
      <c r="C21" s="3361"/>
      <c r="D21" s="3361"/>
    </row>
    <row r="22" spans="1:4" ht="18.75" customHeight="1">
      <c r="A22" s="3362" t="s">
        <v>1563</v>
      </c>
      <c r="B22" s="3362"/>
      <c r="C22" s="3362"/>
      <c r="D22" s="3362"/>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359">
        <v>42551</v>
      </c>
      <c r="D31" s="33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372" t="s">
        <v>1574</v>
      </c>
      <c r="B15" s="3367" t="s">
        <v>136</v>
      </c>
      <c r="C15" s="3368"/>
    </row>
    <row r="16" spans="1:7" ht="13.5">
      <c r="A16" s="3373"/>
      <c r="B16" s="3367" t="s">
        <v>69</v>
      </c>
      <c r="C16" s="3368"/>
    </row>
    <row r="17" spans="1:3" ht="13.5">
      <c r="A17" s="3373"/>
      <c r="B17" s="3370" t="s">
        <v>1575</v>
      </c>
      <c r="C17" s="1686" t="s">
        <v>1574</v>
      </c>
    </row>
    <row r="18" spans="1:3" ht="13.5">
      <c r="A18" s="3373"/>
      <c r="B18" s="3370"/>
      <c r="C18" s="1686" t="s">
        <v>1576</v>
      </c>
    </row>
    <row r="19" spans="1:3" ht="13.5">
      <c r="A19" s="3373"/>
      <c r="B19" s="3370"/>
      <c r="C19" s="1686" t="s">
        <v>1577</v>
      </c>
    </row>
    <row r="20" spans="1:3" ht="13.5">
      <c r="A20" s="3374"/>
      <c r="B20" s="3369" t="s">
        <v>1578</v>
      </c>
      <c r="C20" s="3368"/>
    </row>
    <row r="21" spans="1:3" ht="13.5">
      <c r="A21" s="1687" t="s">
        <v>1579</v>
      </c>
      <c r="B21" s="1688"/>
      <c r="C21" s="1689"/>
    </row>
    <row r="22" spans="1:3" ht="13.5">
      <c r="A22" s="3371" t="s">
        <v>1580</v>
      </c>
      <c r="B22" s="3369" t="s">
        <v>1581</v>
      </c>
      <c r="C22" s="3368"/>
    </row>
    <row r="23" spans="1:3" ht="13.5">
      <c r="A23" s="3371"/>
      <c r="B23" s="3369" t="s">
        <v>1582</v>
      </c>
      <c r="C23" s="3368"/>
    </row>
    <row r="24" spans="1:3" ht="13.5">
      <c r="A24" s="3371"/>
      <c r="B24" s="3369" t="s">
        <v>1583</v>
      </c>
      <c r="C24" s="3368"/>
    </row>
    <row r="25" spans="1:3" ht="13.5">
      <c r="A25" s="3371"/>
      <c r="B25" s="3370" t="s">
        <v>1584</v>
      </c>
      <c r="C25" s="1686" t="s">
        <v>1585</v>
      </c>
    </row>
    <row r="26" spans="1:3" ht="13.5">
      <c r="A26" s="3371"/>
      <c r="B26" s="3370"/>
      <c r="C26" s="1686" t="s">
        <v>1586</v>
      </c>
    </row>
    <row r="27" spans="1:3" ht="13.5">
      <c r="A27" s="3371"/>
      <c r="B27" s="3370"/>
      <c r="C27" s="1686" t="s">
        <v>1587</v>
      </c>
    </row>
    <row r="28" spans="1:3" ht="13.5">
      <c r="A28" s="3371"/>
      <c r="B28" s="3370"/>
      <c r="C28" s="1686" t="s">
        <v>1588</v>
      </c>
    </row>
    <row r="29" spans="1:3" ht="13.5">
      <c r="A29" s="3371"/>
      <c r="B29" s="3370"/>
      <c r="C29" s="1686" t="s">
        <v>1589</v>
      </c>
    </row>
    <row r="30" spans="1:3" ht="13.5">
      <c r="A30" s="3371"/>
      <c r="B30" s="3370"/>
      <c r="C30" s="1686" t="s">
        <v>1590</v>
      </c>
    </row>
    <row r="31" spans="1:3" ht="13.5">
      <c r="A31" s="3371"/>
      <c r="B31" s="3370"/>
      <c r="C31" s="1686" t="s">
        <v>1591</v>
      </c>
    </row>
    <row r="32" spans="1:3" ht="13.5">
      <c r="A32" s="3371"/>
      <c r="B32" s="3370"/>
      <c r="C32" s="1686" t="s">
        <v>1592</v>
      </c>
    </row>
    <row r="33" spans="1:3" ht="13.5">
      <c r="A33" s="3371"/>
      <c r="B33" s="3370"/>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2820</v>
      </c>
      <c r="B2" s="2531">
        <f ca="1">TODAY()</f>
        <v>44574</v>
      </c>
      <c r="C2" s="2532" t="s">
        <v>2821</v>
      </c>
      <c r="D2" s="2532"/>
      <c r="E2" s="2532"/>
      <c r="F2" s="2528"/>
      <c r="G2" s="2528"/>
      <c r="H2" s="2528"/>
    </row>
    <row r="3" spans="1:8" ht="24" customHeight="1">
      <c r="A3" s="2533" t="s">
        <v>2822</v>
      </c>
      <c r="B3" s="2534" t="s">
        <v>2823</v>
      </c>
      <c r="C3" s="2534" t="s">
        <v>2824</v>
      </c>
      <c r="D3" s="2535" t="s">
        <v>2825</v>
      </c>
      <c r="E3" s="2536" t="s">
        <v>2826</v>
      </c>
      <c r="F3" s="1443" t="s">
        <v>2827</v>
      </c>
      <c r="G3" s="2534" t="s">
        <v>2824</v>
      </c>
      <c r="H3" s="2535" t="s">
        <v>2828</v>
      </c>
    </row>
    <row r="4" spans="1:8" ht="24" customHeight="1">
      <c r="A4" s="1443" t="s">
        <v>2829</v>
      </c>
      <c r="B4" s="1443">
        <f ca="1">IF(C4&lt;B2,"已过期",1119970066)</f>
        <v>1119970066</v>
      </c>
      <c r="C4" s="2537">
        <v>44876</v>
      </c>
      <c r="D4" s="2538" t="str">
        <f ca="1">A4&amp;"（注册号："&amp;B4&amp;"）"</f>
        <v>梁津（注册号：1119970066）</v>
      </c>
      <c r="E4" s="2539" t="s">
        <v>2829</v>
      </c>
      <c r="F4" s="1443">
        <f ca="1">IF(G4&lt;B2,"已过期",96010014)</f>
        <v>96010014</v>
      </c>
      <c r="G4" s="2540">
        <v>47118</v>
      </c>
      <c r="H4" s="2541" t="str">
        <f ca="1">E4&amp;"（注册号："&amp;F4&amp;"）"</f>
        <v>梁津（注册号：96010014）</v>
      </c>
    </row>
    <row r="5" spans="1:8" ht="24" customHeight="1">
      <c r="A5" s="1443" t="s">
        <v>2830</v>
      </c>
      <c r="B5" s="1443">
        <f ca="1">IF(C5&lt;B2,"已过期",1119970111)</f>
        <v>1119970111</v>
      </c>
      <c r="C5" s="2537">
        <v>44876</v>
      </c>
      <c r="D5" s="2538" t="str">
        <f t="shared" ref="D5:D15" ca="1" si="0">A5&amp;"（注册号："&amp;B5&amp;"）"</f>
        <v>叶凌（注册号：1119970111）</v>
      </c>
      <c r="E5" s="2539" t="s">
        <v>2830</v>
      </c>
      <c r="F5" s="1443">
        <f ca="1">IF(G5&lt;B2,"已过期",94010078)</f>
        <v>94010078</v>
      </c>
      <c r="G5" s="2540">
        <v>46387</v>
      </c>
      <c r="H5" s="2541" t="str">
        <f t="shared" ref="H5:H16" ca="1" si="1">E5&amp;"（注册号："&amp;F5&amp;"）"</f>
        <v>叶凌（注册号：94010078）</v>
      </c>
    </row>
    <row r="6" spans="1:8" ht="24" customHeight="1">
      <c r="A6" s="1443" t="s">
        <v>2831</v>
      </c>
      <c r="B6" s="1443" t="str">
        <f ca="1">IF(C6&lt;B2,"已过期",1120050019)</f>
        <v>已过期</v>
      </c>
      <c r="C6" s="2537">
        <v>44395</v>
      </c>
      <c r="D6" s="2538" t="str">
        <f t="shared" ca="1" si="0"/>
        <v>王鹏（注册号：已过期）</v>
      </c>
      <c r="E6" s="2539" t="s">
        <v>2831</v>
      </c>
      <c r="F6" s="1443">
        <f ca="1">IF(G6&lt;B2,"已过期",2002110030)</f>
        <v>2002110030</v>
      </c>
      <c r="G6" s="2540">
        <v>46387</v>
      </c>
      <c r="H6" s="2541" t="str">
        <f t="shared" ca="1" si="1"/>
        <v>王鹏（注册号：2002110030）</v>
      </c>
    </row>
    <row r="7" spans="1:8" ht="24" customHeight="1">
      <c r="A7" s="1443" t="s">
        <v>2832</v>
      </c>
      <c r="B7" s="1443">
        <f ca="1">IF(C7&lt;B2,"已过期",1120000080)</f>
        <v>1120000080</v>
      </c>
      <c r="C7" s="2537">
        <v>44876</v>
      </c>
      <c r="D7" s="2538" t="str">
        <f t="shared" ca="1" si="0"/>
        <v>欧红伟（注册号：1120000080）</v>
      </c>
      <c r="E7" s="2539" t="s">
        <v>2832</v>
      </c>
      <c r="F7" s="1443">
        <f ca="1">IF(G7&lt;B2,"已过期",2000110082)</f>
        <v>2000110082</v>
      </c>
      <c r="G7" s="2540">
        <v>46387</v>
      </c>
      <c r="H7" s="2541" t="str">
        <f t="shared" ca="1" si="1"/>
        <v>欧红伟（注册号：2000110082）</v>
      </c>
    </row>
    <row r="8" spans="1:8" ht="24" customHeight="1">
      <c r="A8" s="1443" t="s">
        <v>2833</v>
      </c>
      <c r="B8" s="1443">
        <f ca="1">IF(C8&lt;B2,"已过期",1419970001)</f>
        <v>1419970001</v>
      </c>
      <c r="C8" s="2537">
        <v>44899</v>
      </c>
      <c r="D8" s="2538" t="str">
        <f t="shared" ca="1" si="0"/>
        <v>吴薇（注册号：1419970001）</v>
      </c>
      <c r="E8" s="2539" t="s">
        <v>2833</v>
      </c>
      <c r="F8" s="1443">
        <f ca="1">IF(G8&lt;B2,"已过期",2002110125)</f>
        <v>2002110125</v>
      </c>
      <c r="G8" s="2540">
        <v>47118</v>
      </c>
      <c r="H8" s="2541" t="str">
        <f t="shared" ca="1" si="1"/>
        <v>吴薇（注册号：2002110125）</v>
      </c>
    </row>
    <row r="9" spans="1:8" ht="24" customHeight="1">
      <c r="A9" s="1443" t="s">
        <v>2834</v>
      </c>
      <c r="B9" s="1443" t="str">
        <f ca="1">IF(C9&lt;B2,"已过期",1120060040)</f>
        <v>已过期</v>
      </c>
      <c r="C9" s="2542">
        <v>44554</v>
      </c>
      <c r="D9" s="2538" t="str">
        <f t="shared" ca="1" si="0"/>
        <v>陈颖（注册号：已过期）</v>
      </c>
      <c r="E9" s="2539" t="s">
        <v>2834</v>
      </c>
      <c r="F9" s="1443">
        <f ca="1">IF(G9&lt;B2,"已过期",2004110096)</f>
        <v>2004110096</v>
      </c>
      <c r="G9" s="2540">
        <v>47118</v>
      </c>
      <c r="H9" s="2541" t="str">
        <f t="shared" ca="1" si="1"/>
        <v>陈颖（注册号：2004110096）</v>
      </c>
    </row>
    <row r="10" spans="1:8" ht="24" customHeight="1">
      <c r="A10" s="1443" t="s">
        <v>2835</v>
      </c>
      <c r="B10" s="1443">
        <f ca="1">IF(C10&lt;B2,"已过期",1120100036)</f>
        <v>1120100036</v>
      </c>
      <c r="C10" s="2542">
        <v>44675</v>
      </c>
      <c r="D10" s="2538" t="str">
        <f t="shared" ca="1" si="0"/>
        <v>崔锴（注册号：1120100036）</v>
      </c>
      <c r="E10" s="2539" t="s">
        <v>2835</v>
      </c>
      <c r="F10" s="1443">
        <f ca="1">IF(G10&lt;B2,"已过期",2010110070)</f>
        <v>2010110070</v>
      </c>
      <c r="G10" s="2540">
        <v>47907</v>
      </c>
      <c r="H10" s="2541" t="str">
        <f t="shared" ca="1" si="1"/>
        <v>崔锴（注册号：2010110070）</v>
      </c>
    </row>
    <row r="11" spans="1:8" ht="24" customHeight="1">
      <c r="A11" s="1443" t="s">
        <v>2836</v>
      </c>
      <c r="B11" s="1443">
        <f ca="1">IF(C11&lt;B2,"已过期",1120070131)</f>
        <v>1120070131</v>
      </c>
      <c r="C11" s="2537">
        <v>44849</v>
      </c>
      <c r="D11" s="2538" t="str">
        <f t="shared" ca="1" si="0"/>
        <v>郑燚（注册号：1120070131）</v>
      </c>
      <c r="E11" s="2539" t="s">
        <v>2836</v>
      </c>
      <c r="F11" s="1443">
        <f ca="1">IF(G11&lt;B2,"已过期",2014110011)</f>
        <v>2014110011</v>
      </c>
      <c r="G11" s="2540">
        <v>49302</v>
      </c>
      <c r="H11" s="2541" t="str">
        <f t="shared" ca="1" si="1"/>
        <v>郑燚（注册号：2014110011）</v>
      </c>
    </row>
    <row r="12" spans="1:8" ht="24" customHeight="1">
      <c r="A12" s="1443" t="s">
        <v>2837</v>
      </c>
      <c r="B12" s="1443">
        <f ca="1">IF(C12&lt;B2,"已过期",1120040230)</f>
        <v>1120040230</v>
      </c>
      <c r="C12" s="2542">
        <v>44864</v>
      </c>
      <c r="D12" s="2538" t="str">
        <f t="shared" ca="1" si="0"/>
        <v>苏海（注册号：1120040230）</v>
      </c>
      <c r="E12" s="2539" t="s">
        <v>2837</v>
      </c>
      <c r="F12" s="1443">
        <f ca="1">IF(G12&lt;B2,"已过期",98030020)</f>
        <v>98030020</v>
      </c>
      <c r="G12" s="2540">
        <v>47118</v>
      </c>
      <c r="H12" s="2541" t="str">
        <f t="shared" ca="1" si="1"/>
        <v>苏海（注册号：98030020）</v>
      </c>
    </row>
    <row r="13" spans="1:8" ht="24" customHeight="1">
      <c r="A13" s="1443" t="s">
        <v>2838</v>
      </c>
      <c r="B13" s="1443" t="str">
        <f ca="1">IF(C13&lt;B2,"已过期",1120020033)</f>
        <v>已过期</v>
      </c>
      <c r="C13" s="2537">
        <v>44339</v>
      </c>
      <c r="D13" s="2538" t="str">
        <f t="shared" ca="1" si="0"/>
        <v>刘敬东（注册号：已过期）</v>
      </c>
      <c r="E13" s="2539" t="s">
        <v>2838</v>
      </c>
      <c r="F13" s="1443">
        <f ca="1">IF(G13&lt;B2,"已过期",2000110137)</f>
        <v>2000110137</v>
      </c>
      <c r="G13" s="2540">
        <v>46387</v>
      </c>
      <c r="H13" s="2541" t="str">
        <f t="shared" ca="1" si="1"/>
        <v>刘敬东（注册号：2000110137）</v>
      </c>
    </row>
    <row r="14" spans="1:8" ht="24" customHeight="1">
      <c r="A14" s="1443" t="s">
        <v>2839</v>
      </c>
      <c r="B14" s="1443">
        <f ca="1">IF(C14&lt;B2,"已过期",1119980106)</f>
        <v>1119980106</v>
      </c>
      <c r="C14" s="2542">
        <v>44969</v>
      </c>
      <c r="D14" s="2538" t="str">
        <f t="shared" ca="1" si="0"/>
        <v>刘俊财（注册号：1119980106）</v>
      </c>
      <c r="E14" s="2539" t="s">
        <v>2839</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2840</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375" t="s">
        <v>2841</v>
      </c>
      <c r="B17" s="3375"/>
      <c r="C17" s="3375"/>
      <c r="D17" s="3375"/>
      <c r="E17" s="3375"/>
      <c r="F17" s="3375"/>
      <c r="G17" s="3375"/>
      <c r="H17" s="3375"/>
    </row>
    <row r="18" spans="1:8" ht="24" customHeight="1">
      <c r="A18" s="3376" t="s">
        <v>2842</v>
      </c>
      <c r="B18" s="3376"/>
      <c r="C18" s="3376"/>
      <c r="D18" s="2535"/>
      <c r="E18" s="3377" t="s">
        <v>2843</v>
      </c>
      <c r="F18" s="3376"/>
      <c r="G18" s="3376"/>
    </row>
    <row r="19" spans="1:8" s="2546" customFormat="1" ht="24" customHeight="1">
      <c r="A19" s="2545" t="s">
        <v>2844</v>
      </c>
      <c r="B19" s="2534" t="s">
        <v>2845</v>
      </c>
      <c r="C19" s="2534" t="s">
        <v>2824</v>
      </c>
      <c r="D19" s="2535"/>
      <c r="E19" s="2539" t="s">
        <v>2844</v>
      </c>
      <c r="F19" s="2534" t="s">
        <v>2845</v>
      </c>
      <c r="G19" s="2534" t="s">
        <v>2824</v>
      </c>
    </row>
    <row r="20" spans="1:8" s="2546" customFormat="1" ht="24" customHeight="1">
      <c r="A20" s="2547" t="s">
        <v>2846</v>
      </c>
      <c r="B20" s="2547" t="s">
        <v>2847</v>
      </c>
      <c r="C20" s="2540">
        <v>44820</v>
      </c>
      <c r="D20" s="2548"/>
      <c r="E20" s="2549" t="s">
        <v>2848</v>
      </c>
      <c r="F20" s="2547" t="s">
        <v>2849</v>
      </c>
      <c r="G20" s="2550">
        <v>44377</v>
      </c>
    </row>
    <row r="21" spans="1:8" s="2546" customFormat="1" ht="24" customHeight="1">
      <c r="A21" s="2547"/>
      <c r="B21" s="2547"/>
      <c r="C21" s="2551"/>
      <c r="D21" s="2552"/>
      <c r="E21" s="2549" t="s">
        <v>2850</v>
      </c>
      <c r="F21" s="2553" t="s">
        <v>2851</v>
      </c>
      <c r="G21" s="2554">
        <v>44012</v>
      </c>
    </row>
    <row r="22" spans="1:8" ht="24" customHeight="1">
      <c r="C22" s="2555"/>
      <c r="D22" s="2555"/>
      <c r="E22" s="2556"/>
      <c r="F22" s="2557"/>
      <c r="G22" s="2558"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土地比较法-工业</vt:lpstr>
      <vt:lpstr>收益法-经营</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土地比较法-住宅、综合</vt:lpstr>
      <vt:lpstr>利润表</vt:lpstr>
      <vt:lpstr>面积明细</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2022-01-13T09:10:21Z</dcterms:modified>
</cp:coreProperties>
</file>